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646"/>
  </bookViews>
  <sheets>
    <sheet name="!!! ФІНАНСОВИЙ ПЛАН ЗМІНИ !!!" sheetId="8" r:id="rId1"/>
    <sheet name="Доходи" sheetId="4" r:id="rId2"/>
    <sheet name="Видатки" sheetId="17" r:id="rId3"/>
    <sheet name="Деталізація" sheetId="23" r:id="rId4"/>
    <sheet name="Зведена Д-В" sheetId="10" r:id="rId5"/>
    <sheet name="ФОП" sheetId="20" r:id="rId6"/>
    <sheet name="01.01.2022" sheetId="21" r:id="rId7"/>
    <sheet name="01.10.2022" sheetId="22" r:id="rId8"/>
    <sheet name="НЧ - СД" sheetId="27" r:id="rId9"/>
    <sheet name="Енергоносії" sheetId="24" r:id="rId10"/>
    <sheet name="Програма МБ 2022 рік" sheetId="26" r:id="rId11"/>
    <sheet name="ОЗ" sheetId="28" r:id="rId12"/>
    <sheet name="0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123Graph_XGRAPH3" localSheetId="2" hidden="1">[1]GDP!#REF!</definedName>
    <definedName name="__123Graph_XGRAPH3" hidden="1">[1]GDP!#REF!</definedName>
    <definedName name="_xlnm._FilterDatabase" localSheetId="12" hidden="1">'0'!$B$20:$E$20</definedName>
    <definedName name="_xlnm._FilterDatabase" localSheetId="6" hidden="1">'01.01.2022'!$C$8:$X$686</definedName>
    <definedName name="_xlnm._FilterDatabase" localSheetId="7" hidden="1">'01.10.2022'!$C$8:$X$686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 localSheetId="2">#REF!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 localSheetId="2">#REF!</definedName>
    <definedName name="Cost_Category_National_ID">#REF!</definedName>
    <definedName name="CREXPORT" localSheetId="7">#REF!</definedName>
    <definedName name="CREXPORT">#REF!</definedName>
    <definedName name="Cе511" localSheetId="2">#REF!</definedName>
    <definedName name="Cе511">#REF!</definedName>
    <definedName name="d">'[8]МТР Газ України'!$B$4</definedName>
    <definedName name="dCPIb" localSheetId="2">[9]попер_роз!#REF!</definedName>
    <definedName name="dCPIb">[9]попер_роз!#REF!</definedName>
    <definedName name="Detail" localSheetId="7">#REF!</definedName>
    <definedName name="Detail">#REF!</definedName>
    <definedName name="dPPIb" localSheetId="2">[9]попер_роз!#REF!</definedName>
    <definedName name="dPPIb">[9]попер_роз!#REF!</definedName>
    <definedName name="ds" localSheetId="2">'[10]7  Інші витрати'!#REF!</definedName>
    <definedName name="ds">'[10]7  Інші витрати'!#REF!</definedName>
    <definedName name="Fact_Type_ID" localSheetId="2">#REF!</definedName>
    <definedName name="Fact_Type_ID">#REF!</definedName>
    <definedName name="G">'[11]МТР Газ України'!$B$1</definedName>
    <definedName name="Header" localSheetId="7">#REF!</definedName>
    <definedName name="Header">#REF!</definedName>
    <definedName name="ij1sssss" localSheetId="2">'[12]7  Інші витрати'!#REF!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 localSheetId="2">'[16]7  Інші витрати'!#REF!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localSheetId="7" hidden="1">{#N/A,#N/A,FALSE,"Лист4"}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 localSheetId="7">#REF!</definedName>
    <definedName name="RText">#REF!</definedName>
    <definedName name="ShowFil" localSheetId="2">[13]!ShowFil</definedName>
    <definedName name="ShowFil">[13]!ShowFil</definedName>
    <definedName name="SU_ID" localSheetId="2">#REF!</definedName>
    <definedName name="SU_ID">#REF!</definedName>
    <definedName name="Summery" localSheetId="7">#REF!</definedName>
    <definedName name="Summery">#REF!</definedName>
    <definedName name="Time_ID">'[15]МТР Газ України'!$B$1</definedName>
    <definedName name="Time_ID_10" localSheetId="2">'[16]7  Інші витрати'!#REF!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 localSheetId="2">'[16]7  Інші витрати'!#REF!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 localSheetId="7">#REF!</definedName>
    <definedName name="Title">#REF!</definedName>
    <definedName name="ttttttt" localSheetId="2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localSheetId="7" hidden="1">{#N/A,#N/A,FALSE,"Лист4"}</definedName>
    <definedName name="wrn.Інструкція." hidden="1">{#N/A,#N/A,FALSE,"Лист4"}</definedName>
    <definedName name="yyyy" localSheetId="2">#REF!</definedName>
    <definedName name="yyyy">#REF!</definedName>
    <definedName name="zx">'[3]МТР Газ України'!$F$1</definedName>
    <definedName name="zxc">[4]Inform!$E$38</definedName>
    <definedName name="а" localSheetId="2">'[12]7  Інші витрати'!#REF!</definedName>
    <definedName name="а">'[12]7  Інші витрати'!#REF!</definedName>
    <definedName name="аа" localSheetId="7" hidden="1">{#N/A,#N/A,FALSE,"Лист4"}</definedName>
    <definedName name="аа" hidden="1">{#N/A,#N/A,FALSE,"Лист4"}</definedName>
    <definedName name="аааа" localSheetId="7" hidden="1">{#N/A,#N/A,FALSE,"Лист4"}</definedName>
    <definedName name="аааа" hidden="1">{#N/A,#N/A,FALSE,"Лист4"}</definedName>
    <definedName name="ааааа" localSheetId="7" hidden="1">{#N/A,#N/A,FALSE,"Лист4"}</definedName>
    <definedName name="ааааа" hidden="1">{#N/A,#N/A,FALSE,"Лист4"}</definedName>
    <definedName name="аааг" localSheetId="7" hidden="1">{#N/A,#N/A,FALSE,"Лист4"}</definedName>
    <definedName name="аааг" hidden="1">{#N/A,#N/A,FALSE,"Лист4"}</definedName>
    <definedName name="ааао" localSheetId="7" hidden="1">{#N/A,#N/A,FALSE,"Лист4"}</definedName>
    <definedName name="ааао" hidden="1">{#N/A,#N/A,FALSE,"Лист4"}</definedName>
    <definedName name="аааоркк" localSheetId="7" hidden="1">{#N/A,#N/A,FALSE,"Лист4"}</definedName>
    <definedName name="аааоркк" hidden="1">{#N/A,#N/A,FALSE,"Лист4"}</definedName>
    <definedName name="аарр" localSheetId="7" hidden="1">{#N/A,#N/A,FALSE,"Лист4"}</definedName>
    <definedName name="аарр" hidden="1">{#N/A,#N/A,FALSE,"Лист4"}</definedName>
    <definedName name="ав" localSheetId="2">#REF!</definedName>
    <definedName name="ав">#REF!</definedName>
    <definedName name="аен">'[23]МТР Газ України'!$B$4</definedName>
    <definedName name="амп" localSheetId="7" hidden="1">{#N/A,#N/A,FALSE,"Лист4"}</definedName>
    <definedName name="амп" hidden="1">{#N/A,#N/A,FALSE,"Лист4"}</definedName>
    <definedName name="ап" localSheetId="7" hidden="1">{#N/A,#N/A,FALSE,"Лист4"}</definedName>
    <definedName name="ап" hidden="1">{#N/A,#N/A,FALSE,"Лист4"}</definedName>
    <definedName name="апро" localSheetId="7" hidden="1">{#N/A,#N/A,FALSE,"Лист4"}</definedName>
    <definedName name="апро" hidden="1">{#N/A,#N/A,FALSE,"Лист4"}</definedName>
    <definedName name="аунуну" localSheetId="7" hidden="1">{#N/A,#N/A,FALSE,"Лист4"}</definedName>
    <definedName name="аунуну" hidden="1">{#N/A,#N/A,FALSE,"Лист4"}</definedName>
    <definedName name="_xlnm.Database" localSheetId="6">'[24]1111'!$B$1:$G$310</definedName>
    <definedName name="_xlnm.Database" localSheetId="7">'[24]1111'!$B$1:$G$310</definedName>
    <definedName name="_xlnm.Database">'[25]Ener '!$A$1:$G$2645</definedName>
    <definedName name="бб" localSheetId="7" hidden="1">{#N/A,#N/A,FALSE,"Лист4"}</definedName>
    <definedName name="бб" hidden="1">{#N/A,#N/A,FALSE,"Лист4"}</definedName>
    <definedName name="в">'[26]МТР Газ України'!$F$1</definedName>
    <definedName name="Валюта">#REF!</definedName>
    <definedName name="вап" localSheetId="7" hidden="1">{#N/A,#N/A,FALSE,"Лист4"}</definedName>
    <definedName name="вап" hidden="1">{#N/A,#N/A,FALSE,"Лист4"}</definedName>
    <definedName name="вапа" localSheetId="7" hidden="1">{#N/A,#N/A,FALSE,"Лист4"}</definedName>
    <definedName name="вапа" hidden="1">{#N/A,#N/A,FALSE,"Лист4"}</definedName>
    <definedName name="вапро" localSheetId="7" hidden="1">{#N/A,#N/A,FALSE,"Лист4"}</definedName>
    <definedName name="вапро" hidden="1">{#N/A,#N/A,FALSE,"Лист4"}</definedName>
    <definedName name="ВАТ__Укртелеком">#REF!</definedName>
    <definedName name="ватт" localSheetId="2">'[27]БАЗА  '!#REF!</definedName>
    <definedName name="ватт">'[27]БАЗА  '!#REF!</definedName>
    <definedName name="вау" localSheetId="7" hidden="1">{#N/A,#N/A,FALSE,"Лист4"}</definedName>
    <definedName name="вау" hidden="1">{#N/A,#N/A,FALSE,"Лист4"}</definedName>
    <definedName name="вв" localSheetId="7" hidden="1">{#N/A,#N/A,FALSE,"Лист4"}</definedName>
    <definedName name="вв" hidden="1">{#N/A,#N/A,FALSE,"Лист4"}</definedName>
    <definedName name="Віницька">#REF!</definedName>
    <definedName name="вмр" localSheetId="7" hidden="1">{#N/A,#N/A,FALSE,"Лист4"}</definedName>
    <definedName name="вмр" hidden="1">{#N/A,#N/A,FALSE,"Лист4"}</definedName>
    <definedName name="Волинська">#REF!</definedName>
    <definedName name="вруу" localSheetId="7" hidden="1">{#N/A,#N/A,FALSE,"Лист4"}</definedName>
    <definedName name="вруу" hidden="1">{#N/A,#N/A,FALSE,"Лист4"}</definedName>
    <definedName name="врууунуууу" localSheetId="7" hidden="1">{#N/A,#N/A,FALSE,"Лист4"}</definedName>
    <definedName name="врууунуууу" hidden="1">{#N/A,#N/A,FALSE,"Лист4"}</definedName>
    <definedName name="ВсегоДбОстНаКонецПериода" localSheetId="7">#REF!</definedName>
    <definedName name="ВсегоДбОстНаКонецПериода">#REF!</definedName>
    <definedName name="ВсегоДбОстНаНачалоПериода" localSheetId="7">#REF!</definedName>
    <definedName name="ВсегоДбОстНаНачалоПериода">#REF!</definedName>
    <definedName name="ВсегоКрОстНаКонецПериода" localSheetId="7">#REF!</definedName>
    <definedName name="ВсегоКрОстНаКонецПериода">#REF!</definedName>
    <definedName name="ВсегоКрОстНаНачалоПериода" localSheetId="7">#REF!</definedName>
    <definedName name="ВсегоКрОстНаНачалоПериода">#REF!</definedName>
    <definedName name="ВсегоОборотПоДебету" localSheetId="7">#REF!</definedName>
    <definedName name="ВсегоОборотПоДебету">#REF!</definedName>
    <definedName name="ВсегоОборотПоКредиту" localSheetId="7">#REF!</definedName>
    <definedName name="ВсегоОборотПоКредиту">#REF!</definedName>
    <definedName name="Всього">#REF!</definedName>
    <definedName name="гг" localSheetId="7" hidden="1">{#N/A,#N/A,FALSE,"Лист4"}</definedName>
    <definedName name="гг" hidden="1">{#N/A,#N/A,FALSE,"Лист4"}</definedName>
    <definedName name="ггг" localSheetId="7" hidden="1">{#N/A,#N/A,FALSE,"Лист4"}</definedName>
    <definedName name="ггг" hidden="1">{#N/A,#N/A,FALSE,"Лист4"}</definedName>
    <definedName name="гго" localSheetId="7" hidden="1">{#N/A,#N/A,FALSE,"Лист4"}</definedName>
    <definedName name="гго" hidden="1">{#N/A,#N/A,FALSE,"Лист4"}</definedName>
    <definedName name="ггшшз" localSheetId="7" hidden="1">{#N/A,#N/A,FALSE,"Лист4"}</definedName>
    <definedName name="ггшшз" hidden="1">{#N/A,#N/A,FALSE,"Лист4"}</definedName>
    <definedName name="гр" localSheetId="7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 localSheetId="7">#REF!</definedName>
    <definedName name="ДбВалОстНаКонецПериода">#REF!</definedName>
    <definedName name="ДбВалОстНаНачалоПериода" localSheetId="7">#REF!</definedName>
    <definedName name="ДбВалОстНаНачалоПериода">#REF!</definedName>
    <definedName name="ДбОстНаКонецПериода" localSheetId="7">#REF!</definedName>
    <definedName name="ДбОстНаКонецПериода">#REF!</definedName>
    <definedName name="ДбОстНаНачалоПериода" localSheetId="7">#REF!</definedName>
    <definedName name="ДбОстНаНачалоПериода">#REF!</definedName>
    <definedName name="ддд" localSheetId="7" hidden="1">{#N/A,#N/A,FALSE,"Лист4"}</definedName>
    <definedName name="ддд" hidden="1">{#N/A,#N/A,FALSE,"Лист4"}</definedName>
    <definedName name="Дніпропетровська">#REF!</definedName>
    <definedName name="до_1_року">'0'!$G$3:$G$17</definedName>
    <definedName name="Донецька">#REF!,#REF!,#REF!</definedName>
    <definedName name="ДПМ">#REF!</definedName>
    <definedName name="е" localSheetId="6" hidden="1">{#N/A,#N/A,FALSE,"Лист4"}</definedName>
    <definedName name="е" localSheetId="7" hidden="1">{#N/A,#N/A,FALSE,"Лист4"}</definedName>
    <definedName name="е" localSheetId="2">#REF!</definedName>
    <definedName name="е">#REF!</definedName>
    <definedName name="ее" localSheetId="7" hidden="1">{#N/A,#N/A,FALSE,"Лист4"}</definedName>
    <definedName name="ее" hidden="1">{#N/A,#N/A,FALSE,"Лист4"}</definedName>
    <definedName name="ееге" localSheetId="7" hidden="1">{#N/A,#N/A,FALSE,"Лист4"}</definedName>
    <definedName name="ееге" hidden="1">{#N/A,#N/A,FALSE,"Лист4"}</definedName>
    <definedName name="еегше" localSheetId="7" hidden="1">{#N/A,#N/A,FALSE,"Лист4"}</definedName>
    <definedName name="еегше" hidden="1">{#N/A,#N/A,FALSE,"Лист4"}</definedName>
    <definedName name="еее" localSheetId="7" hidden="1">{#N/A,#N/A,FALSE,"Лист4"}</definedName>
    <definedName name="еее" hidden="1">{#N/A,#N/A,FALSE,"Лист4"}</definedName>
    <definedName name="ееее" localSheetId="7" hidden="1">{#N/A,#N/A,FALSE,"Лист4"}</definedName>
    <definedName name="ееее" hidden="1">{#N/A,#N/A,FALSE,"Лист4"}</definedName>
    <definedName name="ееекк" localSheetId="7" hidden="1">{#N/A,#N/A,FALSE,"Лист4"}</definedName>
    <definedName name="ееекк" hidden="1">{#N/A,#N/A,FALSE,"Лист4"}</definedName>
    <definedName name="еепке" localSheetId="7" hidden="1">{#N/A,#N/A,FALSE,"Лист4"}</definedName>
    <definedName name="еепке" hidden="1">{#N/A,#N/A,FALSE,"Лист4"}</definedName>
    <definedName name="еешгег" localSheetId="7" hidden="1">{#N/A,#N/A,FALSE,"Лист4"}</definedName>
    <definedName name="еешгег" hidden="1">{#N/A,#N/A,FALSE,"Лист4"}</definedName>
    <definedName name="екуц" localSheetId="7" hidden="1">{#N/A,#N/A,FALSE,"Лист4"}</definedName>
    <definedName name="екуц" hidden="1">{#N/A,#N/A,FALSE,"Лист4"}</definedName>
    <definedName name="енг" localSheetId="7" hidden="1">{#N/A,#N/A,FALSE,"Лист4"}</definedName>
    <definedName name="енг" hidden="1">{#N/A,#N/A,FALSE,"Лист4"}</definedName>
    <definedName name="епи" localSheetId="7" hidden="1">{#N/A,#N/A,FALSE,"Лист4"}</definedName>
    <definedName name="епи" hidden="1">{#N/A,#N/A,FALSE,"Лист4"}</definedName>
    <definedName name="ешгееуу" localSheetId="7" hidden="1">{#N/A,#N/A,FALSE,"Лист4"}</definedName>
    <definedName name="ешгееуу" hidden="1">{#N/A,#N/A,FALSE,"Лист4"}</definedName>
    <definedName name="є" localSheetId="6" hidden="1">{#N/A,#N/A,FALSE,"Лист4"}</definedName>
    <definedName name="є" localSheetId="7" hidden="1">{#N/A,#N/A,FALSE,"Лист4"}</definedName>
    <definedName name="є" localSheetId="2">#REF!</definedName>
    <definedName name="є">#REF!</definedName>
    <definedName name="єєє" localSheetId="7" hidden="1">{#N/A,#N/A,FALSE,"Лист4"}</definedName>
    <definedName name="єєє" hidden="1">{#N/A,#N/A,FALSE,"Лист4"}</definedName>
    <definedName name="єєєєєє" localSheetId="7" hidden="1">{#N/A,#N/A,FALSE,"Лист4"}</definedName>
    <definedName name="єєєєєє" hidden="1">{#N/A,#N/A,FALSE,"Лист4"}</definedName>
    <definedName name="єєєєєєє" localSheetId="7" hidden="1">{#N/A,#N/A,FALSE,"Лист4"}</definedName>
    <definedName name="єєєєєєє" hidden="1">{#N/A,#N/A,FALSE,"Лист4"}</definedName>
    <definedName name="єєєєєєє." localSheetId="7" hidden="1">{#N/A,#N/A,FALSE,"Лист4"}</definedName>
    <definedName name="єєєєєєє." hidden="1">{#N/A,#N/A,FALSE,"Лист4"}</definedName>
    <definedName name="єж" localSheetId="7" hidden="1">{#N/A,#N/A,FALSE,"Лист4"}</definedName>
    <definedName name="єж" hidden="1">{#N/A,#N/A,FALSE,"Лист4"}</definedName>
    <definedName name="жж" localSheetId="7" hidden="1">{#N/A,#N/A,FALSE,"Лист4"}</definedName>
    <definedName name="жж" hidden="1">{#N/A,#N/A,FALSE,"Лист4"}</definedName>
    <definedName name="житлове" localSheetId="7" hidden="1">{#N/A,#N/A,FALSE,"Лист4"}</definedName>
    <definedName name="житлове" hidden="1">{#N/A,#N/A,FALSE,"Лист4"}</definedName>
    <definedName name="Житомирська">#REF!</definedName>
    <definedName name="_xlnm.Print_Titles" localSheetId="0">'!!! ФІНАНСОВИЙ ПЛАН ЗМІНИ !!!'!$34:$36</definedName>
    <definedName name="Заголовки_для_печати_МИ">'[28]1993'!$A$1:$IV$3,'[28]1993'!$A$1:$A$65536</definedName>
    <definedName name="Закарпатська">#REF!,#REF!,#REF!</definedName>
    <definedName name="здоровя" localSheetId="7" hidden="1">{#N/A,#N/A,FALSE,"Лист4"}</definedName>
    <definedName name="здоровя" hidden="1">{#N/A,#N/A,FALSE,"Лист4"}</definedName>
    <definedName name="зз" localSheetId="7" hidden="1">{#N/A,#N/A,FALSE,"Лист4"}</definedName>
    <definedName name="зз" hidden="1">{#N/A,#N/A,FALSE,"Лист4"}</definedName>
    <definedName name="ззз" localSheetId="7" hidden="1">{#N/A,#N/A,FALSE,"Лист4"}</definedName>
    <definedName name="ззз" hidden="1">{#N/A,#N/A,FALSE,"Лист4"}</definedName>
    <definedName name="зззз" localSheetId="7" hidden="1">{#N/A,#N/A,FALSE,"Лист4"}</definedName>
    <definedName name="зззз" hidden="1">{#N/A,#N/A,FALSE,"Лист4"}</definedName>
    <definedName name="Зопорізька">#REF!</definedName>
    <definedName name="ип" localSheetId="7" hidden="1">{#N/A,#N/A,FALSE,"Лист4"}</definedName>
    <definedName name="ип" hidden="1">{#N/A,#N/A,FALSE,"Лист4"}</definedName>
    <definedName name="ить" localSheetId="7" hidden="1">{#N/A,#N/A,FALSE,"Лист4"}</definedName>
    <definedName name="ить" hidden="1">{#N/A,#N/A,FALSE,"Лист4"}</definedName>
    <definedName name="і">[29]Inform!$F$2</definedName>
    <definedName name="ів" localSheetId="2">#REF!</definedName>
    <definedName name="ів">#REF!</definedName>
    <definedName name="Ів.Франківська">#REF!</definedName>
    <definedName name="Ів.Франковська">#REF!,#REF!,#REF!</definedName>
    <definedName name="ів___0" localSheetId="2">#REF!</definedName>
    <definedName name="ів___0">#REF!</definedName>
    <definedName name="ів_22" localSheetId="2">#REF!</definedName>
    <definedName name="ів_22">#REF!</definedName>
    <definedName name="ів_26" localSheetId="2">#REF!</definedName>
    <definedName name="ів_26">#REF!</definedName>
    <definedName name="іваа" localSheetId="7" hidden="1">{#N/A,#N/A,FALSE,"Лист4"}</definedName>
    <definedName name="іваа" hidden="1">{#N/A,#N/A,FALSE,"Лист4"}</definedName>
    <definedName name="іваіа" localSheetId="2">'[30]7  Інші витрати'!#REF!</definedName>
    <definedName name="іваіа">'[30]7  Інші витрати'!#REF!</definedName>
    <definedName name="івап" localSheetId="7" hidden="1">{#N/A,#N/A,FALSE,"Лист4"}</definedName>
    <definedName name="івап" hidden="1">{#N/A,#N/A,FALSE,"Лист4"}</definedName>
    <definedName name="іваф" localSheetId="2">#REF!</definedName>
    <definedName name="іваф">#REF!</definedName>
    <definedName name="івів">'[11]МТР Газ України'!$B$1</definedName>
    <definedName name="івпа" localSheetId="7" hidden="1">{#N/A,#N/A,FALSE,"Лист4"}</definedName>
    <definedName name="івпа" hidden="1">{#N/A,#N/A,FALSE,"Лист4"}</definedName>
    <definedName name="іі" localSheetId="7" hidden="1">{#N/A,#N/A,FALSE,"Лист4"}</definedName>
    <definedName name="іі" hidden="1">{#N/A,#N/A,FALSE,"Лист4"}</definedName>
    <definedName name="ііі" localSheetId="7" hidden="1">{#N/A,#N/A,FALSE,"Лист4"}</definedName>
    <definedName name="ііі" hidden="1">{#N/A,#N/A,FALSE,"Лист4"}</definedName>
    <definedName name="іііі" localSheetId="7" hidden="1">{#N/A,#N/A,FALSE,"Лист4"}</definedName>
    <definedName name="іііі" hidden="1">{#N/A,#N/A,FALSE,"Лист4"}</definedName>
    <definedName name="ін" localSheetId="7" hidden="1">{#N/A,#N/A,FALSE,"Лист4"}</definedName>
    <definedName name="ін" hidden="1">{#N/A,#N/A,FALSE,"Лист4"}</definedName>
    <definedName name="інші" localSheetId="7" hidden="1">{#N/A,#N/A,FALSE,"Лист4"}</definedName>
    <definedName name="інші" hidden="1">{#N/A,#N/A,FALSE,"Лист4"}</definedName>
    <definedName name="іук" localSheetId="7" hidden="1">{#N/A,#N/A,FALSE,"Лист4"}</definedName>
    <definedName name="іук" hidden="1">{#N/A,#N/A,FALSE,"Лист4"}</definedName>
    <definedName name="іцу">[22]Inform!$G$2</definedName>
    <definedName name="їжд" localSheetId="7" hidden="1">{#N/A,#N/A,FALSE,"Лист4"}</definedName>
    <definedName name="їжд" hidden="1">{#N/A,#N/A,FALSE,"Лист4"}</definedName>
    <definedName name="ййй" localSheetId="7" hidden="1">{#N/A,#N/A,FALSE,"Лист4"}</definedName>
    <definedName name="ййй" hidden="1">{#N/A,#N/A,FALSE,"Лист4"}</definedName>
    <definedName name="йййй" localSheetId="7" hidden="1">{#N/A,#N/A,FALSE,"Лист4"}</definedName>
    <definedName name="йййй" hidden="1">{#N/A,#N/A,FALSE,"Лист4"}</definedName>
    <definedName name="йуц" localSheetId="2">#REF!</definedName>
    <definedName name="йуц">#REF!</definedName>
    <definedName name="йцу" localSheetId="2">#REF!</definedName>
    <definedName name="йцу">#REF!</definedName>
    <definedName name="йцуйй" localSheetId="2">#REF!</definedName>
    <definedName name="йцуйй">#REF!</definedName>
    <definedName name="йцукц" localSheetId="2">'[30]7  Інші витрати'!#REF!</definedName>
    <definedName name="йцукц">'[30]7  Інші витрати'!#REF!</definedName>
    <definedName name="кгккг" localSheetId="7" hidden="1">{#N/A,#N/A,FALSE,"Лист4"}</definedName>
    <definedName name="кгккг" hidden="1">{#N/A,#N/A,FALSE,"Лист4"}</definedName>
    <definedName name="кгкккк" localSheetId="7" hidden="1">{#N/A,#N/A,FALSE,"Лист4"}</definedName>
    <definedName name="кгкккк" hidden="1">{#N/A,#N/A,FALSE,"Лист4"}</definedName>
    <definedName name="КЕ" localSheetId="2">#REF!</definedName>
    <definedName name="КЕ">#REF!</definedName>
    <definedName name="КЕ___0" localSheetId="2">#REF!</definedName>
    <definedName name="КЕ___0">#REF!</definedName>
    <definedName name="КЕ_22" localSheetId="2">#REF!</definedName>
    <definedName name="КЕ_22">#REF!</definedName>
    <definedName name="КЕ_26" localSheetId="2">#REF!</definedName>
    <definedName name="КЕ_26">#REF!</definedName>
    <definedName name="кен" localSheetId="2">#REF!</definedName>
    <definedName name="кен">#REF!</definedName>
    <definedName name="кеуц" localSheetId="7" hidden="1">{#N/A,#N/A,FALSE,"Лист4"}</definedName>
    <definedName name="кеуц" hidden="1">{#N/A,#N/A,FALSE,"Лист4"}</definedName>
    <definedName name="Київська">#REF!</definedName>
    <definedName name="Кировоградська">#REF!</definedName>
    <definedName name="Кіровоградська">#REF!</definedName>
    <definedName name="кк" localSheetId="7" hidden="1">{#N/A,#N/A,FALSE,"Лист4"}</definedName>
    <definedName name="кк" hidden="1">{#N/A,#N/A,FALSE,"Лист4"}</definedName>
    <definedName name="ккгкг" localSheetId="7" hidden="1">{#N/A,#N/A,FALSE,"Лист4"}</definedName>
    <definedName name="ккгкг" hidden="1">{#N/A,#N/A,FALSE,"Лист4"}</definedName>
    <definedName name="ккк" localSheetId="7" hidden="1">{#N/A,#N/A,FALSE,"Лист4"}</definedName>
    <definedName name="ккк" hidden="1">{#N/A,#N/A,FALSE,"Лист4"}</definedName>
    <definedName name="кккну" localSheetId="7" hidden="1">{#N/A,#N/A,FALSE,"Лист4"}</definedName>
    <definedName name="кккну" hidden="1">{#N/A,#N/A,FALSE,"Лист4"}</definedName>
    <definedName name="кккокк" localSheetId="7" hidden="1">{#N/A,#N/A,FALSE,"Лист4"}</definedName>
    <definedName name="кккокк" hidden="1">{#N/A,#N/A,FALSE,"Лист4"}</definedName>
    <definedName name="КодВалюты" localSheetId="7">#REF!</definedName>
    <definedName name="КодВалюты">#REF!</definedName>
    <definedName name="комунальне" localSheetId="7" hidden="1">{#N/A,#N/A,FALSE,"Лист4"}</definedName>
    <definedName name="комунальне" hidden="1">{#N/A,#N/A,FALSE,"Лист4"}</definedName>
    <definedName name="кот" localSheetId="7" hidden="1">{#N/A,#N/A,FALSE,"Лист4"}</definedName>
    <definedName name="кот" hidden="1">{#N/A,#N/A,FALSE,"Лист4"}</definedName>
    <definedName name="кр" localSheetId="7" hidden="1">{#N/A,#N/A,FALSE,"Лист4"}</definedName>
    <definedName name="кр" hidden="1">{#N/A,#N/A,FALSE,"Лист4"}</definedName>
    <definedName name="КрВалОстНаКонецПериода" localSheetId="7">#REF!</definedName>
    <definedName name="КрВалОстНаКонецПериода">#REF!</definedName>
    <definedName name="КрВалОстНаНачалоПериода" localSheetId="7">#REF!</definedName>
    <definedName name="КрВалОстНаНачалоПериода">#REF!</definedName>
    <definedName name="Кримська">#REF!</definedName>
    <definedName name="КрОстНаКонецПериода" localSheetId="7">#REF!</definedName>
    <definedName name="КрОстНаКонецПериода">#REF!</definedName>
    <definedName name="КрОстНаНачалоПериода" localSheetId="7">#REF!</definedName>
    <definedName name="КрОстНаНачалоПериода">#REF!</definedName>
    <definedName name="культура" localSheetId="7" hidden="1">{#N/A,#N/A,FALSE,"Лист4"}</definedName>
    <definedName name="культура" hidden="1">{#N/A,#N/A,FALSE,"Лист4"}</definedName>
    <definedName name="л" localSheetId="6" hidden="1">{#N/A,#N/A,FALSE,"Лист4"}</definedName>
    <definedName name="л" localSheetId="7" hidden="1">{#N/A,#N/A,FALSE,"Лист4"}</definedName>
    <definedName name="л" localSheetId="2">#REF!</definedName>
    <definedName name="л">#REF!</definedName>
    <definedName name="лд" localSheetId="7" hidden="1">{#N/A,#N/A,FALSE,"Лист4"}</definedName>
    <definedName name="лд" hidden="1">{#N/A,#N/A,FALSE,"Лист4"}</definedName>
    <definedName name="лікарі">Доходи!$A$2:$B$2</definedName>
    <definedName name="лл" localSheetId="7" hidden="1">{#N/A,#N/A,FALSE,"Лист4"}</definedName>
    <definedName name="лл" hidden="1">{#N/A,#N/A,FALSE,"Лист4"}</definedName>
    <definedName name="ллл" localSheetId="7" hidden="1">{#N/A,#N/A,FALSE,"Лист4"}</definedName>
    <definedName name="ллл" hidden="1">{#N/A,#N/A,FALSE,"Лист4"}</definedName>
    <definedName name="лнпллпл" localSheetId="7" hidden="1">{#N/A,#N/A,FALSE,"Лист4"}</definedName>
    <definedName name="лнпллпл" hidden="1">{#N/A,#N/A,FALSE,"Лист4"}</definedName>
    <definedName name="Луганська">#REF!</definedName>
    <definedName name="Львівська">#REF!,#REF!,#REF!</definedName>
    <definedName name="мак" localSheetId="7" hidden="1">{#N/A,#N/A,FALSE,"Лист4"}</definedName>
    <definedName name="мак" hidden="1">{#N/A,#N/A,FALSE,"Лист4"}</definedName>
    <definedName name="Миколаївська">#REF!</definedName>
    <definedName name="міська">#REF!</definedName>
    <definedName name="мм" localSheetId="7" hidden="1">{#N/A,#N/A,FALSE,"Лист4"}</definedName>
    <definedName name="мм" hidden="1">{#N/A,#N/A,FALSE,"Лист4"}</definedName>
    <definedName name="МнемокодСчета" localSheetId="7">#REF!</definedName>
    <definedName name="МнемокодСчета">#REF!</definedName>
    <definedName name="мпе" localSheetId="7" hidden="1">{#N/A,#N/A,FALSE,"Лист4"}</definedName>
    <definedName name="мпе" hidden="1">{#N/A,#N/A,FALSE,"Лист4"}</definedName>
    <definedName name="НаименованиеСчета" localSheetId="7">#REF!</definedName>
    <definedName name="НаименованиеСчета">#REF!</definedName>
    <definedName name="нгнгш" localSheetId="7" hidden="1">{#N/A,#N/A,FALSE,"Лист4"}</definedName>
    <definedName name="нгнгш" hidden="1">{#N/A,#N/A,FALSE,"Лист4"}</definedName>
    <definedName name="ннггг" localSheetId="7" hidden="1">{#N/A,#N/A,FALSE,"Лист4"}</definedName>
    <definedName name="ннггг" hidden="1">{#N/A,#N/A,FALSE,"Лист4"}</definedName>
    <definedName name="ннн" localSheetId="7" hidden="1">{#N/A,#N/A,FALSE,"Лист4"}</definedName>
    <definedName name="ннн" hidden="1">{#N/A,#N/A,FALSE,"Лист4"}</definedName>
    <definedName name="ннннг" localSheetId="7" hidden="1">{#N/A,#N/A,FALSE,"Лист4"}</definedName>
    <definedName name="ннннг" hidden="1">{#N/A,#N/A,FALSE,"Лист4"}</definedName>
    <definedName name="нннннннн" localSheetId="7" hidden="1">{#N/A,#N/A,FALSE,"Лист4"}</definedName>
    <definedName name="нннннннн" hidden="1">{#N/A,#N/A,FALSE,"Лист4"}</definedName>
    <definedName name="ннншенгке" localSheetId="7" hidden="1">{#N/A,#N/A,FALSE,"Лист4"}</definedName>
    <definedName name="ннншенгке" hidden="1">{#N/A,#N/A,FALSE,"Лист4"}</definedName>
    <definedName name="нншекк" localSheetId="7" hidden="1">{#N/A,#N/A,FALSE,"Лист4"}</definedName>
    <definedName name="нншекк" hidden="1">{#N/A,#N/A,FALSE,"Лист4"}</definedName>
    <definedName name="НомерСчета" localSheetId="7">#REF!</definedName>
    <definedName name="НомерСчета">#REF!</definedName>
    <definedName name="_xlnm.Print_Area" localSheetId="0">'!!! ФІНАНСОВИЙ ПЛАН ЗМІНИ !!!'!$B$1:$K$159</definedName>
    <definedName name="_xlnm.Print_Area" localSheetId="6">'01.01.2022'!$C$1:$Z$679</definedName>
    <definedName name="_xlnm.Print_Area" localSheetId="7">'01.10.2022'!$C$1:$Z$679</definedName>
    <definedName name="_xlnm.Print_Area" localSheetId="2">Видатки!$C$1:$AZ$99</definedName>
    <definedName name="_xlnm.Print_Area" localSheetId="3">Деталізація!$B$1:$BR$60</definedName>
    <definedName name="_xlnm.Print_Area" localSheetId="1">Доходи!$B$1:$H$41</definedName>
    <definedName name="_xlnm.Print_Area" localSheetId="9">Енергоносії!$B$1:$U$85</definedName>
    <definedName name="_xlnm.Print_Area" localSheetId="4">'Зведена Д-В'!$B$2:$G$24</definedName>
    <definedName name="_xlnm.Print_Area" localSheetId="8">'НЧ - СД'!$A$1:$DN$91</definedName>
    <definedName name="_xlnm.Print_Area" localSheetId="10">'Програма МБ 2022 рік'!$A$1:$D$20</definedName>
    <definedName name="_xlnm.Print_Area" localSheetId="5">ФОП!$A$1:$S$127</definedName>
    <definedName name="ОборотВалПоДебету" localSheetId="7">#REF!</definedName>
    <definedName name="ОборотВалПоДебету">#REF!</definedName>
    <definedName name="ОборотВалПоКредиту" localSheetId="7">#REF!</definedName>
    <definedName name="ОборотВалПоКредиту">#REF!</definedName>
    <definedName name="ОборотПоДебету" localSheetId="7">#REF!</definedName>
    <definedName name="ОборотПоДебету">#REF!</definedName>
    <definedName name="ОборотПоКредиту" localSheetId="7">#REF!</definedName>
    <definedName name="ОборотПоКредиту">#REF!</definedName>
    <definedName name="оггне" localSheetId="7" hidden="1">{#N/A,#N/A,FALSE,"Лист4"}</definedName>
    <definedName name="оггне" hidden="1">{#N/A,#N/A,FALSE,"Лист4"}</definedName>
    <definedName name="Одеська">#REF!</definedName>
    <definedName name="оллд" localSheetId="7" hidden="1">{#N/A,#N/A,FALSE,"Лист4"}</definedName>
    <definedName name="оллд" hidden="1">{#N/A,#N/A,FALSE,"Лист4"}</definedName>
    <definedName name="олол" localSheetId="7" hidden="1">{#N/A,#N/A,FALSE,"Лист4"}</definedName>
    <definedName name="олол" hidden="1">{#N/A,#N/A,FALSE,"Лист4"}</definedName>
    <definedName name="оо" localSheetId="7" hidden="1">{#N/A,#N/A,FALSE,"Лист4"}</definedName>
    <definedName name="оо" hidden="1">{#N/A,#N/A,FALSE,"Лист4"}</definedName>
    <definedName name="ооо" localSheetId="7" hidden="1">{#N/A,#N/A,FALSE,"Лист4"}</definedName>
    <definedName name="ооо" hidden="1">{#N/A,#N/A,FALSE,"Лист4"}</definedName>
    <definedName name="Организация" localSheetId="7">#REF!</definedName>
    <definedName name="Организация">#REF!</definedName>
    <definedName name="орнг" localSheetId="7" hidden="1">{#N/A,#N/A,FALSE,"Лист4"}</definedName>
    <definedName name="орнг" hidden="1">{#N/A,#N/A,FALSE,"Лист4"}</definedName>
    <definedName name="освіта" localSheetId="7" hidden="1">{#N/A,#N/A,FALSE,"Лист4"}</definedName>
    <definedName name="освіта" hidden="1">{#N/A,#N/A,FALSE,"Лист4"}</definedName>
    <definedName name="ох" localSheetId="7" hidden="1">{#N/A,#N/A,FALSE,"Лист4"}</definedName>
    <definedName name="ох" hidden="1">{#N/A,#N/A,FALSE,"Лист4"}</definedName>
    <definedName name="охорона" localSheetId="7" hidden="1">{#N/A,#N/A,FALSE,"Лист4"}</definedName>
    <definedName name="охорона" hidden="1">{#N/A,#N/A,FALSE,"Лист4"}</definedName>
    <definedName name="п" localSheetId="2">'[12]7  Інші витрати'!#REF!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 localSheetId="7">#REF!</definedName>
    <definedName name="Период">#REF!</definedName>
    <definedName name="План" localSheetId="2">#REF!</definedName>
    <definedName name="План">#REF!</definedName>
    <definedName name="плеккккг" localSheetId="7" hidden="1">{#N/A,#N/A,FALSE,"Лист4"}</definedName>
    <definedName name="плеккккг" hidden="1">{#N/A,#N/A,FALSE,"Лист4"}</definedName>
    <definedName name="пллеелш" localSheetId="7" hidden="1">{#N/A,#N/A,FALSE,"Лист4"}</definedName>
    <definedName name="пллеелш" hidden="1">{#N/A,#N/A,FALSE,"Лист4"}</definedName>
    <definedName name="Полтавська">#REF!,#REF!,#REF!</definedName>
    <definedName name="попле" localSheetId="7" hidden="1">{#N/A,#N/A,FALSE,"Лист4"}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localSheetId="7" hidden="1">{#N/A,#N/A,FALSE,"Лист4"}</definedName>
    <definedName name="пот" hidden="1">{#N/A,#N/A,FALSE,"Лист4"}</definedName>
    <definedName name="пп" localSheetId="7" hidden="1">{#N/A,#N/A,FALSE,"Лист4"}</definedName>
    <definedName name="пп" hidden="1">{#N/A,#N/A,FALSE,"Лист4"}</definedName>
    <definedName name="ппп">[31]Inform!$E$6</definedName>
    <definedName name="ппше" localSheetId="7" hidden="1">{#N/A,#N/A,FALSE,"Лист4"}</definedName>
    <definedName name="ппше" hidden="1">{#N/A,#N/A,FALSE,"Лист4"}</definedName>
    <definedName name="про" localSheetId="7" hidden="1">{#N/A,#N/A,FALSE,"Лист4"}</definedName>
    <definedName name="про" hidden="1">{#N/A,#N/A,FALSE,"Лист4"}</definedName>
    <definedName name="прое" localSheetId="7" hidden="1">{#N/A,#N/A,FALSE,"Лист4"}</definedName>
    <definedName name="прое" hidden="1">{#N/A,#N/A,FALSE,"Лист4"}</definedName>
    <definedName name="прои" localSheetId="7" hidden="1">{#N/A,#N/A,FALSE,"Лист4"}</definedName>
    <definedName name="прои" hidden="1">{#N/A,#N/A,FALSE,"Лист4"}</definedName>
    <definedName name="р" localSheetId="2">#REF!</definedName>
    <definedName name="р">#REF!</definedName>
    <definedName name="Рівненська">#REF!</definedName>
    <definedName name="рор" localSheetId="7" hidden="1">{#N/A,#N/A,FALSE,"Лист4"}</definedName>
    <definedName name="рор" hidden="1">{#N/A,#N/A,FALSE,"Лист4"}</definedName>
    <definedName name="роро" localSheetId="7" hidden="1">{#N/A,#N/A,FALSE,"Лист4"}</definedName>
    <definedName name="роро" hidden="1">{#N/A,#N/A,FALSE,"Лист4"}</definedName>
    <definedName name="рррр" localSheetId="7" hidden="1">{#N/A,#N/A,FALSE,"Лист4"}</definedName>
    <definedName name="рррр" hidden="1">{#N/A,#N/A,FALSE,"Лист4"}</definedName>
    <definedName name="Севастопольська">#REF!</definedName>
    <definedName name="Симферопольська">#REF!,#REF!,#REF!</definedName>
    <definedName name="сімейний">Доходи!#REF!</definedName>
    <definedName name="сми" localSheetId="7" hidden="1">{#N/A,#N/A,FALSE,"Лист4"}</definedName>
    <definedName name="сми" hidden="1">{#N/A,#N/A,FALSE,"Лист4"}</definedName>
    <definedName name="сс" localSheetId="7" hidden="1">{#N/A,#N/A,FALSE,"Лист4"}</definedName>
    <definedName name="сс" hidden="1">{#N/A,#N/A,FALSE,"Лист4"}</definedName>
    <definedName name="сум" localSheetId="7" hidden="1">{#N/A,#N/A,FALSE,"Лист4"}</definedName>
    <definedName name="сум" hidden="1">{#N/A,#N/A,FALSE,"Лист4"}</definedName>
    <definedName name="Суми" localSheetId="7" hidden="1">{#N/A,#N/A,FALSE,"Лист4"}</definedName>
    <definedName name="Суми" hidden="1">{#N/A,#N/A,FALSE,"Лист4"}</definedName>
    <definedName name="Сумма">#REF!</definedName>
    <definedName name="Сумська">#REF!</definedName>
    <definedName name="счу" localSheetId="7" hidden="1">{#N/A,#N/A,FALSE,"Лист4"}</definedName>
    <definedName name="счу" hidden="1">{#N/A,#N/A,FALSE,"Лист4"}</definedName>
    <definedName name="счя" localSheetId="7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>#REF!</definedName>
    <definedName name="тогн" localSheetId="7" hidden="1">{#N/A,#N/A,FALSE,"Лист4"}</definedName>
    <definedName name="тогн" hidden="1">{#N/A,#N/A,FALSE,"Лист4"}</definedName>
    <definedName name="трн" localSheetId="7" hidden="1">{#N/A,#N/A,FALSE,"Лист4"}</definedName>
    <definedName name="трн" hidden="1">{#N/A,#N/A,FALSE,"Лист4"}</definedName>
    <definedName name="ттт" localSheetId="7" hidden="1">{#N/A,#N/A,FALSE,"Лист4"}</definedName>
    <definedName name="ттт" hidden="1">{#N/A,#N/A,FALSE,"Лист4"}</definedName>
    <definedName name="ть" localSheetId="7" hidden="1">{#N/A,#N/A,FALSE,"Лист4"}</definedName>
    <definedName name="ть" hidden="1">{#N/A,#N/A,FALSE,"Лист4"}</definedName>
    <definedName name="уа" localSheetId="7" hidden="1">{#N/A,#N/A,FALSE,"Лист4"}</definedName>
    <definedName name="уа" hidden="1">{#N/A,#N/A,FALSE,"Лист4"}</definedName>
    <definedName name="увке" localSheetId="7" hidden="1">{#N/A,#N/A,FALSE,"Лист4"}</definedName>
    <definedName name="увке" hidden="1">{#N/A,#N/A,FALSE,"Лист4"}</definedName>
    <definedName name="уеунукнун" localSheetId="7" hidden="1">{#N/A,#N/A,FALSE,"Лист4"}</definedName>
    <definedName name="уеунукнун" hidden="1">{#N/A,#N/A,FALSE,"Лист4"}</definedName>
    <definedName name="уйцукйцуйу" localSheetId="2">#REF!</definedName>
    <definedName name="уйцукйцуйу">#REF!</definedName>
    <definedName name="уке" localSheetId="6" hidden="1">{#N/A,#N/A,FALSE,"Лист4"}</definedName>
    <definedName name="уке" localSheetId="7" hidden="1">{#N/A,#N/A,FALSE,"Лист4"}</definedName>
    <definedName name="уке">[34]Inform!$G$2</definedName>
    <definedName name="укй" localSheetId="7" hidden="1">{#N/A,#N/A,FALSE,"Лист4"}</definedName>
    <definedName name="укй" hidden="1">{#N/A,#N/A,FALSE,"Лист4"}</definedName>
    <definedName name="укунн" localSheetId="7" hidden="1">{#N/A,#N/A,FALSE,"Лист4"}</definedName>
    <definedName name="укунн" hidden="1">{#N/A,#N/A,FALSE,"Лист4"}</definedName>
    <definedName name="унунен" localSheetId="7" hidden="1">{#N/A,#N/A,FALSE,"Лист4"}</definedName>
    <definedName name="унунен" hidden="1">{#N/A,#N/A,FALSE,"Лист4"}</definedName>
    <definedName name="унунун" localSheetId="7" hidden="1">{#N/A,#N/A,FALSE,"Лист4"}</definedName>
    <definedName name="унунун" hidden="1">{#N/A,#N/A,FALSE,"Лист4"}</definedName>
    <definedName name="унуу" localSheetId="7" hidden="1">{#N/A,#N/A,FALSE,"Лист4"}</definedName>
    <definedName name="унуу" hidden="1">{#N/A,#N/A,FALSE,"Лист4"}</definedName>
    <definedName name="унуун" localSheetId="7" hidden="1">{#N/A,#N/A,FALSE,"Лист4"}</definedName>
    <definedName name="унуун" hidden="1">{#N/A,#N/A,FALSE,"Лист4"}</definedName>
    <definedName name="унууу" localSheetId="7" hidden="1">{#N/A,#N/A,FALSE,"Лист4"}</definedName>
    <definedName name="унууу" hidden="1">{#N/A,#N/A,FALSE,"Лист4"}</definedName>
    <definedName name="управ" localSheetId="7" hidden="1">{#N/A,#N/A,FALSE,"Лист4"}</definedName>
    <definedName name="управ" hidden="1">{#N/A,#N/A,FALSE,"Лист4"}</definedName>
    <definedName name="управління" localSheetId="7" hidden="1">{#N/A,#N/A,FALSE,"Лист4"}</definedName>
    <definedName name="управління" hidden="1">{#N/A,#N/A,FALSE,"Лист4"}</definedName>
    <definedName name="УТГ">'[14]МТР Газ України'!$B$4</definedName>
    <definedName name="Утел">#REF!</definedName>
    <definedName name="уукее" localSheetId="7" hidden="1">{#N/A,#N/A,FALSE,"Лист4"}</definedName>
    <definedName name="уукее" hidden="1">{#N/A,#N/A,FALSE,"Лист4"}</definedName>
    <definedName name="ууннну" localSheetId="7" hidden="1">{#N/A,#N/A,FALSE,"Лист4"}</definedName>
    <definedName name="ууннну" hidden="1">{#N/A,#N/A,FALSE,"Лист4"}</definedName>
    <definedName name="ууну" localSheetId="7" hidden="1">{#N/A,#N/A,FALSE,"Лист4"}</definedName>
    <definedName name="ууну" hidden="1">{#N/A,#N/A,FALSE,"Лист4"}</definedName>
    <definedName name="уунунг" localSheetId="7" hidden="1">{#N/A,#N/A,FALSE,"Лист4"}</definedName>
    <definedName name="уунунг" hidden="1">{#N/A,#N/A,FALSE,"Лист4"}</definedName>
    <definedName name="уунунууу" localSheetId="7" hidden="1">{#N/A,#N/A,FALSE,"Лист4"}</definedName>
    <definedName name="уунунууу" hidden="1">{#N/A,#N/A,FALSE,"Лист4"}</definedName>
    <definedName name="уунуурр" localSheetId="7" hidden="1">{#N/A,#N/A,FALSE,"Лист4"}</definedName>
    <definedName name="уунуурр" hidden="1">{#N/A,#N/A,FALSE,"Лист4"}</definedName>
    <definedName name="уунуууу" localSheetId="7" hidden="1">{#N/A,#N/A,FALSE,"Лист4"}</definedName>
    <definedName name="уунуууу" hidden="1">{#N/A,#N/A,FALSE,"Лист4"}</definedName>
    <definedName name="ууу" localSheetId="7" hidden="1">{#N/A,#N/A,FALSE,"Лист4"}</definedName>
    <definedName name="ууу" hidden="1">{#N/A,#N/A,FALSE,"Лист4"}</definedName>
    <definedName name="ууунну" localSheetId="7" hidden="1">{#N/A,#N/A,FALSE,"Лист4"}</definedName>
    <definedName name="ууунну" hidden="1">{#N/A,#N/A,FALSE,"Лист4"}</definedName>
    <definedName name="ууунууууу" localSheetId="7" hidden="1">{#N/A,#N/A,FALSE,"Лист4"}</definedName>
    <definedName name="ууунууууу" hidden="1">{#N/A,#N/A,FALSE,"Лист4"}</definedName>
    <definedName name="уууу" localSheetId="7" hidden="1">{#N/A,#N/A,FALSE,"Лист4"}</definedName>
    <definedName name="уууу" hidden="1">{#N/A,#N/A,FALSE,"Лист4"}</definedName>
    <definedName name="уууу32" localSheetId="7" hidden="1">{#N/A,#N/A,FALSE,"Лист4"}</definedName>
    <definedName name="уууу32" hidden="1">{#N/A,#N/A,FALSE,"Лист4"}</definedName>
    <definedName name="уууун" localSheetId="7" hidden="1">{#N/A,#N/A,FALSE,"Лист4"}</definedName>
    <definedName name="уууун" hidden="1">{#N/A,#N/A,FALSE,"Лист4"}</definedName>
    <definedName name="фів">'[23]МТР Газ України'!$B$4</definedName>
    <definedName name="фіваіф" localSheetId="2">'[30]7  Інші витрати'!#REF!</definedName>
    <definedName name="фіваіф">'[30]7  Інші витрати'!#REF!</definedName>
    <definedName name="фф" localSheetId="6" hidden="1">{#N/A,#N/A,FALSE,"Лист4"}</definedName>
    <definedName name="фф" localSheetId="7" hidden="1">{#N/A,#N/A,FALSE,"Лист4"}</definedName>
    <definedName name="фф">'[26]МТР Газ України'!$F$1</definedName>
    <definedName name="ффф" localSheetId="7" hidden="1">{#N/A,#N/A,FALSE,"Лист4"}</definedName>
    <definedName name="ффф" hidden="1">{#N/A,#N/A,FALSE,"Лист4"}</definedName>
    <definedName name="фффф" localSheetId="7" hidden="1">{#N/A,#N/A,FALSE,"Лист4"}</definedName>
    <definedName name="фффф" hidden="1">{#N/A,#N/A,FALSE,"Лист4"}</definedName>
    <definedName name="ффффф" localSheetId="7" hidden="1">{#N/A,#N/A,FALSE,"Лист4"}</definedName>
    <definedName name="ффффф" hidden="1">{#N/A,#N/A,FALSE,"Лист4"}</definedName>
    <definedName name="Харківська">#REF!</definedName>
    <definedName name="Херсонська">#REF!</definedName>
    <definedName name="Херсьнська">#REF!</definedName>
    <definedName name="хз" localSheetId="7" hidden="1">{#N/A,#N/A,FALSE,"Лист4"}</definedName>
    <definedName name="хз" hidden="1">{#N/A,#N/A,FALSE,"Лист4"}</definedName>
    <definedName name="хїз" localSheetId="7" hidden="1">{#N/A,#N/A,FALSE,"Лист4"}</definedName>
    <definedName name="хїз" hidden="1">{#N/A,#N/A,FALSE,"Лист4"}</definedName>
    <definedName name="Хмельницька">#REF!</definedName>
    <definedName name="ххх" localSheetId="7" hidden="1">{#N/A,#N/A,FALSE,"Лист4"}</definedName>
    <definedName name="ххх" hidden="1">{#N/A,#N/A,FALSE,"Лист4"}</definedName>
    <definedName name="ц" localSheetId="6" hidden="1">{#N/A,#N/A,FALSE,"Лист4"}</definedName>
    <definedName name="ц" localSheetId="7" hidden="1">{#N/A,#N/A,FALSE,"Лист4"}</definedName>
    <definedName name="ц" localSheetId="2">'[12]7  Інші витрати'!#REF!</definedName>
    <definedName name="ц">'[12]7  Інші витрати'!#REF!</definedName>
    <definedName name="цва" localSheetId="7" hidden="1">{#N/A,#N/A,FALSE,"Лист4"}</definedName>
    <definedName name="цва" hidden="1">{#N/A,#N/A,FALSE,"Лист4"}</definedName>
    <definedName name="цекццецце" localSheetId="7" hidden="1">{#N/A,#N/A,FALSE,"Лист4"}</definedName>
    <definedName name="цекццецце" hidden="1">{#N/A,#N/A,FALSE,"Лист4"}</definedName>
    <definedName name="цеце" localSheetId="7" hidden="1">{#N/A,#N/A,FALSE,"Лист4"}</definedName>
    <definedName name="цеце" hidden="1">{#N/A,#N/A,FALSE,"Лист4"}</definedName>
    <definedName name="цецеце" localSheetId="7" hidden="1">{#N/A,#N/A,FALSE,"Лист4"}</definedName>
    <definedName name="цецеце" hidden="1">{#N/A,#N/A,FALSE,"Лист4"}</definedName>
    <definedName name="ЦММТТС">#REF!</definedName>
    <definedName name="цук" localSheetId="7" hidden="1">{#N/A,#N/A,FALSE,"Лист4"}</definedName>
    <definedName name="цук" hidden="1">{#N/A,#N/A,FALSE,"Лист4"}</definedName>
    <definedName name="цуку" localSheetId="7" hidden="1">{#N/A,#N/A,FALSE,"Лист4"}</definedName>
    <definedName name="цуку" hidden="1">{#N/A,#N/A,FALSE,"Лист4"}</definedName>
    <definedName name="цууу" localSheetId="7" hidden="1">{#N/A,#N/A,FALSE,"Лист4"}</definedName>
    <definedName name="цууу" hidden="1">{#N/A,#N/A,FALSE,"Лист4"}</definedName>
    <definedName name="цц" localSheetId="7" hidden="1">{#N/A,#N/A,FALSE,"Лист4"}</definedName>
    <definedName name="цц" hidden="1">{#N/A,#N/A,FALSE,"Лист4"}</definedName>
    <definedName name="ццвва" localSheetId="7" hidden="1">{#N/A,#N/A,FALSE,"Лист4"}</definedName>
    <definedName name="ццвва" hidden="1">{#N/A,#N/A,FALSE,"Лист4"}</definedName>
    <definedName name="ццецц" localSheetId="7" hidden="1">{#N/A,#N/A,FALSE,"Лист4"}</definedName>
    <definedName name="ццецц" hidden="1">{#N/A,#N/A,FALSE,"Лист4"}</definedName>
    <definedName name="ццеццке" localSheetId="7" hidden="1">{#N/A,#N/A,FALSE,"Лист4"}</definedName>
    <definedName name="ццеццке" hidden="1">{#N/A,#N/A,FALSE,"Лист4"}</definedName>
    <definedName name="ццеццкевап" localSheetId="7" hidden="1">{#N/A,#N/A,FALSE,"Лист4"}</definedName>
    <definedName name="ццеццкевап" hidden="1">{#N/A,#N/A,FALSE,"Лист4"}</definedName>
    <definedName name="ццке" localSheetId="7" hidden="1">{#N/A,#N/A,FALSE,"Лист4"}</definedName>
    <definedName name="ццке" hidden="1">{#N/A,#N/A,FALSE,"Лист4"}</definedName>
    <definedName name="ццук" localSheetId="7" hidden="1">{#N/A,#N/A,FALSE,"Лист4"}</definedName>
    <definedName name="ццук" hidden="1">{#N/A,#N/A,FALSE,"Лист4"}</definedName>
    <definedName name="цццецц" localSheetId="7" hidden="1">{#N/A,#N/A,FALSE,"Лист4"}</definedName>
    <definedName name="цццецц" hidden="1">{#N/A,#N/A,FALSE,"Лист4"}</definedName>
    <definedName name="цццкеец" localSheetId="7" hidden="1">{#N/A,#N/A,FALSE,"Лист4"}</definedName>
    <definedName name="цццкеец" hidden="1">{#N/A,#N/A,FALSE,"Лист4"}</definedName>
    <definedName name="цццц" localSheetId="7" hidden="1">{#N/A,#N/A,FALSE,"Лист4"}</definedName>
    <definedName name="цццц" hidden="1">{#N/A,#N/A,FALSE,"Лист4"}</definedName>
    <definedName name="ццццкц" localSheetId="7" hidden="1">{#N/A,#N/A,FALSE,"Лист4"}</definedName>
    <definedName name="ццццкц" hidden="1">{#N/A,#N/A,FALSE,"Лист4"}</definedName>
    <definedName name="ццццц" localSheetId="7" hidden="1">{#N/A,#N/A,FALSE,"Лист4"}</definedName>
    <definedName name="ццццц" hidden="1">{#N/A,#N/A,FALSE,"Лист4"}</definedName>
    <definedName name="цццццц" localSheetId="7" hidden="1">{#N/A,#N/A,FALSE,"Лист4"}</definedName>
    <definedName name="цццццц" hidden="1">{#N/A,#N/A,FALSE,"Лист4"}</definedName>
    <definedName name="чву" localSheetId="7" hidden="1">{#N/A,#N/A,FALSE,"Лист4"}</definedName>
    <definedName name="чву" hidden="1">{#N/A,#N/A,FALSE,"Лист4"}</definedName>
    <definedName name="Черкаська">#REF!,#REF!,#REF!</definedName>
    <definedName name="Чернівецька">#REF!</definedName>
    <definedName name="Чернігівська">#REF!</definedName>
    <definedName name="чч" localSheetId="7" hidden="1">{#N/A,#N/A,FALSE,"Лист4"}</definedName>
    <definedName name="чч" hidden="1">{#N/A,#N/A,FALSE,"Лист4"}</definedName>
    <definedName name="ччч" localSheetId="6" hidden="1">{#N/A,#N/A,FALSE,"Лист4"}</definedName>
    <definedName name="ччч" localSheetId="7" hidden="1">{#N/A,#N/A,FALSE,"Лист4"}</definedName>
    <definedName name="ччч" localSheetId="2">'[35]БАЗА  '!#REF!</definedName>
    <definedName name="ччч">'[35]БАЗА  '!#REF!</definedName>
    <definedName name="ш" localSheetId="2">#REF!</definedName>
    <definedName name="ш">#REF!</definedName>
    <definedName name="шш" localSheetId="7" hidden="1">{#N/A,#N/A,FALSE,"Лист4"}</definedName>
    <definedName name="шш" hidden="1">{#N/A,#N/A,FALSE,"Лист4"}</definedName>
    <definedName name="шшшш" localSheetId="7" hidden="1">{#N/A,#N/A,FALSE,"Лист4"}</definedName>
    <definedName name="шшшш" hidden="1">{#N/A,#N/A,FALSE,"Лист4"}</definedName>
    <definedName name="щщ" localSheetId="7" hidden="1">{#N/A,#N/A,FALSE,"Лист4"}</definedName>
    <definedName name="щщ" hidden="1">{#N/A,#N/A,FALSE,"Лист4"}</definedName>
    <definedName name="щщщ" localSheetId="7" hidden="1">{#N/A,#N/A,FALSE,"Лист4"}</definedName>
    <definedName name="щщщ" hidden="1">{#N/A,#N/A,FALSE,"Лист4"}</definedName>
    <definedName name="щщщшг" localSheetId="7" hidden="1">{#N/A,#N/A,FALSE,"Лист4"}</definedName>
    <definedName name="щщщшг" hidden="1">{#N/A,#N/A,FALSE,"Лист4"}</definedName>
    <definedName name="юю" localSheetId="7" hidden="1">{#N/A,#N/A,FALSE,"Лист4"}</definedName>
    <definedName name="юю" hidden="1">{#N/A,#N/A,FALSE,"Лист4"}</definedName>
    <definedName name="ююю" localSheetId="7" hidden="1">{#N/A,#N/A,FALSE,"Лист4"}</definedName>
    <definedName name="ююю" hidden="1">{#N/A,#N/A,FALSE,"Лист4"}</definedName>
    <definedName name="яяя" localSheetId="7" hidden="1">{#N/A,#N/A,FALSE,"Лист4"}</definedName>
    <definedName name="яяя" hidden="1">{#N/A,#N/A,FALSE,"Лист4"}</definedName>
    <definedName name="яяяя" localSheetId="7" hidden="1">{#N/A,#N/A,FALSE,"Лист4"}</definedName>
    <definedName name="яяяя" hidden="1">{#N/A,#N/A,FALSE,"Лист4"}</definedName>
  </definedNames>
  <calcPr calcId="114210" fullCalcOnLoad="1"/>
</workbook>
</file>

<file path=xl/calcChain.xml><?xml version="1.0" encoding="utf-8"?>
<calcChain xmlns="http://schemas.openxmlformats.org/spreadsheetml/2006/main">
  <c r="G15" i="4"/>
  <c r="Y55" i="23"/>
  <c r="Y56"/>
  <c r="E93" i="17"/>
  <c r="T55" i="23"/>
  <c r="T56"/>
  <c r="T72" i="28"/>
  <c r="T71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O43"/>
  <c r="S42"/>
  <c r="O42"/>
  <c r="S41"/>
  <c r="O41"/>
  <c r="S40"/>
  <c r="N40"/>
  <c r="S39"/>
  <c r="M39"/>
  <c r="S38"/>
  <c r="L38"/>
  <c r="S37"/>
  <c r="S36"/>
  <c r="S35"/>
  <c r="L35"/>
  <c r="S34"/>
  <c r="L34"/>
  <c r="S33"/>
  <c r="L33"/>
  <c r="S32"/>
  <c r="L31"/>
  <c r="S31"/>
  <c r="L30"/>
  <c r="S30"/>
  <c r="S29"/>
  <c r="S28"/>
  <c r="S27"/>
  <c r="J27"/>
  <c r="S26"/>
  <c r="S25"/>
  <c r="S24"/>
  <c r="I23"/>
  <c r="S23"/>
  <c r="I22"/>
  <c r="S22"/>
  <c r="S21"/>
  <c r="H21"/>
  <c r="G20"/>
  <c r="S20"/>
  <c r="S19"/>
  <c r="G19"/>
  <c r="G18"/>
  <c r="S18"/>
  <c r="G17"/>
  <c r="S17"/>
  <c r="G16"/>
  <c r="S16"/>
  <c r="R15"/>
  <c r="Q15"/>
  <c r="P15"/>
  <c r="O15"/>
  <c r="N15"/>
  <c r="M15"/>
  <c r="L15"/>
  <c r="K15"/>
  <c r="J15"/>
  <c r="I15"/>
  <c r="H15"/>
  <c r="G15"/>
  <c r="S12"/>
  <c r="S11"/>
  <c r="S10"/>
  <c r="S9"/>
  <c r="N8"/>
  <c r="S8"/>
  <c r="N7"/>
  <c r="S7"/>
  <c r="S6"/>
  <c r="S5"/>
  <c r="R4"/>
  <c r="Q4"/>
  <c r="P4"/>
  <c r="O4"/>
  <c r="N4"/>
  <c r="M4"/>
  <c r="L4"/>
  <c r="K4"/>
  <c r="J4"/>
  <c r="I4"/>
  <c r="H4"/>
  <c r="G4"/>
  <c r="Q1"/>
  <c r="P1"/>
  <c r="O1"/>
  <c r="N1"/>
  <c r="M1"/>
  <c r="L1"/>
  <c r="K1"/>
  <c r="J1"/>
  <c r="I1"/>
  <c r="H1"/>
  <c r="G1"/>
  <c r="E40" i="4"/>
  <c r="D16" i="26"/>
  <c r="D18"/>
  <c r="D15"/>
  <c r="D14"/>
  <c r="D13"/>
  <c r="BG55" i="23"/>
  <c r="D40" i="4"/>
  <c r="BB55" i="23"/>
  <c r="B95" i="17"/>
  <c r="G95"/>
  <c r="BM55" i="23"/>
  <c r="BJ55"/>
  <c r="BI55"/>
  <c r="BH55"/>
  <c r="F15" i="4"/>
  <c r="J16"/>
  <c r="I7"/>
  <c r="J4"/>
  <c r="I4"/>
  <c r="I3"/>
  <c r="H17"/>
  <c r="K17"/>
  <c r="G16"/>
  <c r="F16"/>
  <c r="H16"/>
  <c r="E15"/>
  <c r="D15"/>
  <c r="G14"/>
  <c r="F14"/>
  <c r="E14"/>
  <c r="D14"/>
  <c r="G13"/>
  <c r="F13"/>
  <c r="E13"/>
  <c r="D13"/>
  <c r="H13"/>
  <c r="K13"/>
  <c r="H12"/>
  <c r="K12"/>
  <c r="G11"/>
  <c r="F11"/>
  <c r="E11"/>
  <c r="D11"/>
  <c r="H10"/>
  <c r="K10"/>
  <c r="G10"/>
  <c r="G9"/>
  <c r="F9"/>
  <c r="E9"/>
  <c r="D9"/>
  <c r="H9"/>
  <c r="K9"/>
  <c r="G8"/>
  <c r="F8"/>
  <c r="E8"/>
  <c r="D8"/>
  <c r="H7"/>
  <c r="K7"/>
  <c r="G7"/>
  <c r="G6"/>
  <c r="F6"/>
  <c r="E6"/>
  <c r="D6"/>
  <c r="G5"/>
  <c r="F5"/>
  <c r="E5"/>
  <c r="D5"/>
  <c r="S15" i="28"/>
  <c r="S4"/>
  <c r="K16" i="4"/>
  <c r="H5"/>
  <c r="K5"/>
  <c r="H6"/>
  <c r="K6"/>
  <c r="H8"/>
  <c r="K8"/>
  <c r="H11"/>
  <c r="K11"/>
  <c r="H14"/>
  <c r="K14"/>
  <c r="H15"/>
  <c r="K15"/>
  <c r="K4"/>
  <c r="S2" i="28"/>
  <c r="S1"/>
  <c r="E80" i="17"/>
  <c r="D154" i="13"/>
  <c r="E154"/>
  <c r="F154"/>
  <c r="O103" i="8"/>
  <c r="R103"/>
  <c r="S103"/>
  <c r="T103"/>
  <c r="U103"/>
  <c r="O104"/>
  <c r="R104"/>
  <c r="S104"/>
  <c r="T104"/>
  <c r="U104"/>
  <c r="O106"/>
  <c r="R106"/>
  <c r="S106"/>
  <c r="T106"/>
  <c r="U106"/>
  <c r="R107"/>
  <c r="S107"/>
  <c r="T107"/>
  <c r="U107"/>
  <c r="O108"/>
  <c r="R108"/>
  <c r="S108"/>
  <c r="T108"/>
  <c r="U108"/>
  <c r="O109"/>
  <c r="R109"/>
  <c r="S109"/>
  <c r="T109"/>
  <c r="U109"/>
  <c r="O110"/>
  <c r="R110"/>
  <c r="S110"/>
  <c r="T110"/>
  <c r="U110"/>
  <c r="O111"/>
  <c r="R111"/>
  <c r="S111"/>
  <c r="T111"/>
  <c r="U111"/>
  <c r="P154"/>
  <c r="P153"/>
  <c r="P152"/>
  <c r="P151"/>
  <c r="P150"/>
  <c r="P149"/>
  <c r="Q148"/>
  <c r="O148"/>
  <c r="N147"/>
  <c r="N146"/>
  <c r="N145"/>
  <c r="N144"/>
  <c r="N143"/>
  <c r="N142"/>
  <c r="N127"/>
  <c r="N107"/>
  <c r="N105"/>
  <c r="N91"/>
  <c r="N76"/>
  <c r="N62"/>
  <c r="N48"/>
  <c r="N44"/>
  <c r="N40"/>
  <c r="D19" i="4"/>
  <c r="D4"/>
  <c r="E84" i="17"/>
  <c r="T17" i="23"/>
  <c r="T22"/>
  <c r="D142" i="8"/>
  <c r="D143"/>
  <c r="D144"/>
  <c r="D145"/>
  <c r="D146"/>
  <c r="D147"/>
  <c r="B83" i="17"/>
  <c r="D22" i="26"/>
  <c r="G42"/>
  <c r="H42"/>
  <c r="E42"/>
  <c r="D42"/>
  <c r="C42"/>
  <c r="H37"/>
  <c r="G37"/>
  <c r="E37"/>
  <c r="D37"/>
  <c r="C37"/>
  <c r="C32"/>
  <c r="G35"/>
  <c r="G34"/>
  <c r="G33"/>
  <c r="G32"/>
  <c r="E33"/>
  <c r="E32"/>
  <c r="D33"/>
  <c r="C33"/>
  <c r="D32"/>
  <c r="D21"/>
  <c r="T10" i="23"/>
  <c r="H33" i="26"/>
  <c r="F12"/>
  <c r="F20"/>
  <c r="F8"/>
  <c r="T28" i="23"/>
  <c r="T26"/>
  <c r="T27"/>
  <c r="T25"/>
  <c r="U22"/>
  <c r="AK59"/>
  <c r="E98" i="17"/>
  <c r="F98"/>
  <c r="G98"/>
  <c r="H98"/>
  <c r="E79"/>
  <c r="F79"/>
  <c r="G79"/>
  <c r="H79"/>
  <c r="K70" i="8"/>
  <c r="T50" i="23"/>
  <c r="T49"/>
  <c r="T48"/>
  <c r="T46"/>
  <c r="T45"/>
  <c r="T44"/>
  <c r="T40"/>
  <c r="T39"/>
  <c r="T38"/>
  <c r="T41"/>
  <c r="T42"/>
  <c r="E19" i="4"/>
  <c r="T37" i="23"/>
  <c r="I37" i="4"/>
  <c r="I36"/>
  <c r="G86" i="17"/>
  <c r="H86"/>
  <c r="F86"/>
  <c r="F89"/>
  <c r="G89"/>
  <c r="H89"/>
  <c r="E89"/>
  <c r="AK50" i="23"/>
  <c r="E86" i="17"/>
  <c r="E85"/>
  <c r="AK12" i="23"/>
  <c r="AO599" i="22"/>
  <c r="AN599"/>
  <c r="AM599"/>
  <c r="AL599"/>
  <c r="AK599"/>
  <c r="AH599"/>
  <c r="AQ599"/>
  <c r="AG599"/>
  <c r="AI599"/>
  <c r="AF599"/>
  <c r="AJ599"/>
  <c r="AE599"/>
  <c r="AO598"/>
  <c r="AN598"/>
  <c r="AL598"/>
  <c r="AK598"/>
  <c r="AF598"/>
  <c r="AE598"/>
  <c r="AC598"/>
  <c r="N598"/>
  <c r="AG598"/>
  <c r="AO597"/>
  <c r="AN597"/>
  <c r="AM597"/>
  <c r="AL597"/>
  <c r="AK597"/>
  <c r="AH597"/>
  <c r="AQ597"/>
  <c r="AG597"/>
  <c r="AP597"/>
  <c r="AS597"/>
  <c r="AF597"/>
  <c r="AE597"/>
  <c r="AO596"/>
  <c r="AN596"/>
  <c r="AL596"/>
  <c r="AK596"/>
  <c r="AF596"/>
  <c r="AE596"/>
  <c r="AC596"/>
  <c r="AD596"/>
  <c r="W596"/>
  <c r="AM596"/>
  <c r="N596"/>
  <c r="AG596"/>
  <c r="AO597" i="21"/>
  <c r="AN597"/>
  <c r="AM597"/>
  <c r="AL597"/>
  <c r="AK597"/>
  <c r="AH597"/>
  <c r="AQ597"/>
  <c r="AS597"/>
  <c r="AG597"/>
  <c r="AP597"/>
  <c r="AF597"/>
  <c r="AJ597"/>
  <c r="AE597"/>
  <c r="AI597"/>
  <c r="AO596"/>
  <c r="AN596"/>
  <c r="AL596"/>
  <c r="AK596"/>
  <c r="AF596"/>
  <c r="AE596"/>
  <c r="AC596"/>
  <c r="N596"/>
  <c r="AD596"/>
  <c r="W596"/>
  <c r="AG596"/>
  <c r="AO599"/>
  <c r="AN599"/>
  <c r="AM599"/>
  <c r="AL599"/>
  <c r="AK599"/>
  <c r="AH599"/>
  <c r="AQ599"/>
  <c r="AG599"/>
  <c r="AP599"/>
  <c r="AS599"/>
  <c r="AF599"/>
  <c r="AJ599"/>
  <c r="AE599"/>
  <c r="AO598"/>
  <c r="AN598"/>
  <c r="AL598"/>
  <c r="AK598"/>
  <c r="AF598"/>
  <c r="AE598"/>
  <c r="AC598"/>
  <c r="AD598"/>
  <c r="W598"/>
  <c r="AM598"/>
  <c r="N598"/>
  <c r="AG598"/>
  <c r="AH598"/>
  <c r="AD598" i="22"/>
  <c r="W598"/>
  <c r="AI596"/>
  <c r="AP596"/>
  <c r="AI598"/>
  <c r="AP598"/>
  <c r="AS598"/>
  <c r="AH596"/>
  <c r="AJ597"/>
  <c r="AH598"/>
  <c r="AJ598"/>
  <c r="X596"/>
  <c r="Z596"/>
  <c r="AA596"/>
  <c r="AB596"/>
  <c r="AI597"/>
  <c r="AI596" i="21"/>
  <c r="AP596"/>
  <c r="AH596"/>
  <c r="X598"/>
  <c r="Z598"/>
  <c r="AA598"/>
  <c r="AB598"/>
  <c r="AQ598"/>
  <c r="AJ598"/>
  <c r="U59" i="23"/>
  <c r="AL59"/>
  <c r="AM59"/>
  <c r="BC59"/>
  <c r="C59"/>
  <c r="T23"/>
  <c r="T19"/>
  <c r="T13"/>
  <c r="T12"/>
  <c r="T7"/>
  <c r="U7"/>
  <c r="F149" i="8"/>
  <c r="F150"/>
  <c r="F151"/>
  <c r="F152"/>
  <c r="F153"/>
  <c r="F154"/>
  <c r="I35" i="4"/>
  <c r="AQ596" i="22"/>
  <c r="AS596"/>
  <c r="AJ596"/>
  <c r="AQ598"/>
  <c r="AS596" i="21"/>
  <c r="AQ596"/>
  <c r="AJ596"/>
  <c r="D59" i="23"/>
  <c r="BD59"/>
  <c r="BE59"/>
  <c r="AN59"/>
  <c r="D35" i="4"/>
  <c r="E35"/>
  <c r="F35"/>
  <c r="AR681" i="21"/>
  <c r="AR680"/>
  <c r="AR671"/>
  <c r="AR670"/>
  <c r="AR669"/>
  <c r="AR668"/>
  <c r="AR684"/>
  <c r="AR667"/>
  <c r="AR683"/>
  <c r="AR666"/>
  <c r="AS662"/>
  <c r="AQ661"/>
  <c r="AO661"/>
  <c r="AN661"/>
  <c r="AM661"/>
  <c r="AL661"/>
  <c r="AK661"/>
  <c r="AH661"/>
  <c r="AJ661"/>
  <c r="AG661"/>
  <c r="AF661"/>
  <c r="AE661"/>
  <c r="AO660"/>
  <c r="AN660"/>
  <c r="AL660"/>
  <c r="AK660"/>
  <c r="AF660"/>
  <c r="AE660"/>
  <c r="AQ659"/>
  <c r="AO659"/>
  <c r="AN659"/>
  <c r="AM659"/>
  <c r="AL659"/>
  <c r="AK659"/>
  <c r="AH659"/>
  <c r="AJ659"/>
  <c r="AG659"/>
  <c r="AP659"/>
  <c r="AS659"/>
  <c r="AF659"/>
  <c r="AE659"/>
  <c r="AO658"/>
  <c r="AN658"/>
  <c r="AL658"/>
  <c r="AK658"/>
  <c r="AF658"/>
  <c r="AE658"/>
  <c r="AO657"/>
  <c r="AN657"/>
  <c r="AM657"/>
  <c r="AL657"/>
  <c r="AK657"/>
  <c r="AH657"/>
  <c r="AG657"/>
  <c r="AP657"/>
  <c r="AF657"/>
  <c r="AE657"/>
  <c r="AO656"/>
  <c r="AN656"/>
  <c r="AL656"/>
  <c r="AK656"/>
  <c r="AF656"/>
  <c r="AE656"/>
  <c r="AO655"/>
  <c r="AN655"/>
  <c r="AM655"/>
  <c r="AL655"/>
  <c r="AK655"/>
  <c r="AH655"/>
  <c r="AQ655"/>
  <c r="AG655"/>
  <c r="AP655"/>
  <c r="AF655"/>
  <c r="AE655"/>
  <c r="AI655"/>
  <c r="AO654"/>
  <c r="AN654"/>
  <c r="AL654"/>
  <c r="AK654"/>
  <c r="AF654"/>
  <c r="AE654"/>
  <c r="AQ653"/>
  <c r="AO653"/>
  <c r="AN653"/>
  <c r="AM653"/>
  <c r="AL653"/>
  <c r="AK653"/>
  <c r="AH653"/>
  <c r="AJ653"/>
  <c r="AG653"/>
  <c r="AF653"/>
  <c r="AE653"/>
  <c r="AO652"/>
  <c r="AN652"/>
  <c r="AL652"/>
  <c r="AK652"/>
  <c r="AF652"/>
  <c r="AE652"/>
  <c r="AQ651"/>
  <c r="AO651"/>
  <c r="AN651"/>
  <c r="AM651"/>
  <c r="AL651"/>
  <c r="AK651"/>
  <c r="AH651"/>
  <c r="AG651"/>
  <c r="AF651"/>
  <c r="AJ651"/>
  <c r="AE651"/>
  <c r="AO650"/>
  <c r="AN650"/>
  <c r="AL650"/>
  <c r="AK650"/>
  <c r="AF650"/>
  <c r="AE650"/>
  <c r="AO649"/>
  <c r="AN649"/>
  <c r="AM649"/>
  <c r="AL649"/>
  <c r="AK649"/>
  <c r="AH649"/>
  <c r="AG649"/>
  <c r="AP649"/>
  <c r="AF649"/>
  <c r="AE649"/>
  <c r="AI649"/>
  <c r="AO648"/>
  <c r="AN648"/>
  <c r="AL648"/>
  <c r="AK648"/>
  <c r="AF648"/>
  <c r="AE648"/>
  <c r="AO647"/>
  <c r="AN647"/>
  <c r="AM647"/>
  <c r="AL647"/>
  <c r="AK647"/>
  <c r="AH647"/>
  <c r="AQ647"/>
  <c r="AG647"/>
  <c r="AP647"/>
  <c r="AF647"/>
  <c r="AE647"/>
  <c r="AI647"/>
  <c r="AO646"/>
  <c r="AN646"/>
  <c r="AL646"/>
  <c r="AK646"/>
  <c r="AF646"/>
  <c r="AE646"/>
  <c r="AQ645"/>
  <c r="AO645"/>
  <c r="AN645"/>
  <c r="AM645"/>
  <c r="AL645"/>
  <c r="AK645"/>
  <c r="AH645"/>
  <c r="AJ645"/>
  <c r="AG645"/>
  <c r="AP645"/>
  <c r="AS645"/>
  <c r="AF645"/>
  <c r="AE645"/>
  <c r="AI645"/>
  <c r="AO644"/>
  <c r="AN644"/>
  <c r="AL644"/>
  <c r="AK644"/>
  <c r="AF644"/>
  <c r="AE644"/>
  <c r="AQ643"/>
  <c r="AO643"/>
  <c r="AN643"/>
  <c r="AM643"/>
  <c r="AL643"/>
  <c r="AK643"/>
  <c r="AH643"/>
  <c r="AJ643"/>
  <c r="AG643"/>
  <c r="AP643"/>
  <c r="AS643"/>
  <c r="AF643"/>
  <c r="AE643"/>
  <c r="AO642"/>
  <c r="AN642"/>
  <c r="AL642"/>
  <c r="AK642"/>
  <c r="AF642"/>
  <c r="AE642"/>
  <c r="AO641"/>
  <c r="AN641"/>
  <c r="AM641"/>
  <c r="AL641"/>
  <c r="AK641"/>
  <c r="AH641"/>
  <c r="AG641"/>
  <c r="AP641"/>
  <c r="AF641"/>
  <c r="AE641"/>
  <c r="AI641"/>
  <c r="AO640"/>
  <c r="AN640"/>
  <c r="AL640"/>
  <c r="AK640"/>
  <c r="AF640"/>
  <c r="AE640"/>
  <c r="AO639"/>
  <c r="AN639"/>
  <c r="AM639"/>
  <c r="AL639"/>
  <c r="AK639"/>
  <c r="AH639"/>
  <c r="AQ639"/>
  <c r="AG639"/>
  <c r="AP639"/>
  <c r="AS639"/>
  <c r="AF639"/>
  <c r="AE639"/>
  <c r="AI639"/>
  <c r="AL638"/>
  <c r="AK638"/>
  <c r="AF638"/>
  <c r="AE638"/>
  <c r="AO637"/>
  <c r="AN637"/>
  <c r="AM637"/>
  <c r="AL637"/>
  <c r="AK637"/>
  <c r="AH637"/>
  <c r="AQ637"/>
  <c r="AG637"/>
  <c r="AP637"/>
  <c r="AF637"/>
  <c r="AE637"/>
  <c r="AL636"/>
  <c r="AK636"/>
  <c r="AF636"/>
  <c r="AE636"/>
  <c r="AO635"/>
  <c r="AN635"/>
  <c r="AM635"/>
  <c r="AL635"/>
  <c r="AK635"/>
  <c r="AH635"/>
  <c r="AQ635"/>
  <c r="AG635"/>
  <c r="AP635"/>
  <c r="AF635"/>
  <c r="AE635"/>
  <c r="AL634"/>
  <c r="AK634"/>
  <c r="AF634"/>
  <c r="AE634"/>
  <c r="AO633"/>
  <c r="AN633"/>
  <c r="AM633"/>
  <c r="AL633"/>
  <c r="AK633"/>
  <c r="AH633"/>
  <c r="AQ633"/>
  <c r="AG633"/>
  <c r="AP633"/>
  <c r="AS633"/>
  <c r="AF633"/>
  <c r="AE633"/>
  <c r="AL632"/>
  <c r="AK632"/>
  <c r="AF632"/>
  <c r="AE632"/>
  <c r="AO631"/>
  <c r="AN631"/>
  <c r="AM631"/>
  <c r="AL631"/>
  <c r="AK631"/>
  <c r="AH631"/>
  <c r="AQ631"/>
  <c r="AG631"/>
  <c r="AP631"/>
  <c r="AF631"/>
  <c r="AE631"/>
  <c r="AO630"/>
  <c r="AN630"/>
  <c r="AL630"/>
  <c r="AK630"/>
  <c r="AF630"/>
  <c r="AE630"/>
  <c r="AO629"/>
  <c r="AN629"/>
  <c r="AM629"/>
  <c r="AL629"/>
  <c r="AK629"/>
  <c r="AH629"/>
  <c r="AQ629"/>
  <c r="AG629"/>
  <c r="AP629"/>
  <c r="AF629"/>
  <c r="AE629"/>
  <c r="AO628"/>
  <c r="AN628"/>
  <c r="AL628"/>
  <c r="AK628"/>
  <c r="AF628"/>
  <c r="AE628"/>
  <c r="AO627"/>
  <c r="AN627"/>
  <c r="AM627"/>
  <c r="AL627"/>
  <c r="AK627"/>
  <c r="AH627"/>
  <c r="AQ627"/>
  <c r="AG627"/>
  <c r="AP627"/>
  <c r="AS627"/>
  <c r="AF627"/>
  <c r="AE627"/>
  <c r="AO626"/>
  <c r="AL626"/>
  <c r="AF626"/>
  <c r="AO625"/>
  <c r="AN625"/>
  <c r="AM625"/>
  <c r="AL625"/>
  <c r="AK625"/>
  <c r="AH625"/>
  <c r="AQ625"/>
  <c r="AG625"/>
  <c r="AP625"/>
  <c r="AF625"/>
  <c r="AE625"/>
  <c r="AO624"/>
  <c r="AN624"/>
  <c r="AL624"/>
  <c r="AK624"/>
  <c r="AF624"/>
  <c r="AE624"/>
  <c r="AO623"/>
  <c r="AN623"/>
  <c r="AM623"/>
  <c r="AL623"/>
  <c r="AK623"/>
  <c r="AH623"/>
  <c r="AQ623"/>
  <c r="AG623"/>
  <c r="AP623"/>
  <c r="AF623"/>
  <c r="AE623"/>
  <c r="AO622"/>
  <c r="AN622"/>
  <c r="AL622"/>
  <c r="AK622"/>
  <c r="AF622"/>
  <c r="AE622"/>
  <c r="AO621"/>
  <c r="AN621"/>
  <c r="AM621"/>
  <c r="AL621"/>
  <c r="AK621"/>
  <c r="AH621"/>
  <c r="AQ621"/>
  <c r="AG621"/>
  <c r="AP621"/>
  <c r="AS621"/>
  <c r="AF621"/>
  <c r="AE621"/>
  <c r="AL620"/>
  <c r="AK620"/>
  <c r="AF620"/>
  <c r="AE620"/>
  <c r="AQ619"/>
  <c r="AO619"/>
  <c r="AN619"/>
  <c r="AM619"/>
  <c r="AL619"/>
  <c r="AK619"/>
  <c r="AH619"/>
  <c r="AG619"/>
  <c r="AP619"/>
  <c r="AS619"/>
  <c r="AF619"/>
  <c r="AJ619"/>
  <c r="AE619"/>
  <c r="AL618"/>
  <c r="AK618"/>
  <c r="AF618"/>
  <c r="AE618"/>
  <c r="AO617"/>
  <c r="AN617"/>
  <c r="AM617"/>
  <c r="AL617"/>
  <c r="AK617"/>
  <c r="AH617"/>
  <c r="AQ617"/>
  <c r="AG617"/>
  <c r="AP617"/>
  <c r="AF617"/>
  <c r="AE617"/>
  <c r="AO616"/>
  <c r="AN616"/>
  <c r="AL616"/>
  <c r="AK616"/>
  <c r="AF616"/>
  <c r="AE616"/>
  <c r="AQ615"/>
  <c r="AO615"/>
  <c r="AN615"/>
  <c r="AM615"/>
  <c r="AL615"/>
  <c r="AK615"/>
  <c r="AH615"/>
  <c r="AG615"/>
  <c r="AP615"/>
  <c r="AS615"/>
  <c r="AF615"/>
  <c r="AJ615"/>
  <c r="AE615"/>
  <c r="AI615"/>
  <c r="AO614"/>
  <c r="AN614"/>
  <c r="AL614"/>
  <c r="AK614"/>
  <c r="AF614"/>
  <c r="AE614"/>
  <c r="AQ613"/>
  <c r="AO613"/>
  <c r="AN613"/>
  <c r="AM613"/>
  <c r="AL613"/>
  <c r="AK613"/>
  <c r="AH613"/>
  <c r="AG613"/>
  <c r="AP613"/>
  <c r="AS613"/>
  <c r="AF613"/>
  <c r="AJ613"/>
  <c r="AE613"/>
  <c r="AO612"/>
  <c r="AN612"/>
  <c r="AL612"/>
  <c r="AK612"/>
  <c r="AF612"/>
  <c r="AE612"/>
  <c r="AO611"/>
  <c r="AN611"/>
  <c r="AM611"/>
  <c r="AL611"/>
  <c r="AK611"/>
  <c r="AH611"/>
  <c r="AQ611"/>
  <c r="AG611"/>
  <c r="AP611"/>
  <c r="AF611"/>
  <c r="AE611"/>
  <c r="AO610"/>
  <c r="AN610"/>
  <c r="AL610"/>
  <c r="AK610"/>
  <c r="AF610"/>
  <c r="AE610"/>
  <c r="AO609"/>
  <c r="AN609"/>
  <c r="AM609"/>
  <c r="AL609"/>
  <c r="AK609"/>
  <c r="AH609"/>
  <c r="AQ609"/>
  <c r="AG609"/>
  <c r="AP609"/>
  <c r="AF609"/>
  <c r="AE609"/>
  <c r="AO608"/>
  <c r="AN608"/>
  <c r="AL608"/>
  <c r="AK608"/>
  <c r="AF608"/>
  <c r="AE608"/>
  <c r="AO607"/>
  <c r="AN607"/>
  <c r="AM607"/>
  <c r="AL607"/>
  <c r="AL671"/>
  <c r="AK607"/>
  <c r="AH607"/>
  <c r="AQ607"/>
  <c r="AG607"/>
  <c r="AP607"/>
  <c r="AF607"/>
  <c r="AE607"/>
  <c r="AO606"/>
  <c r="AN606"/>
  <c r="AL606"/>
  <c r="AK606"/>
  <c r="AF606"/>
  <c r="AE606"/>
  <c r="AO605"/>
  <c r="AN605"/>
  <c r="AM605"/>
  <c r="AL605"/>
  <c r="AK605"/>
  <c r="AH605"/>
  <c r="AQ605"/>
  <c r="AG605"/>
  <c r="AP605"/>
  <c r="AF605"/>
  <c r="AF671"/>
  <c r="AE605"/>
  <c r="AO604"/>
  <c r="AN604"/>
  <c r="AL604"/>
  <c r="AK604"/>
  <c r="AF604"/>
  <c r="AE604"/>
  <c r="AQ603"/>
  <c r="AP603"/>
  <c r="AS603"/>
  <c r="AQ602"/>
  <c r="AP602"/>
  <c r="AS602"/>
  <c r="AO601"/>
  <c r="AN601"/>
  <c r="AM601"/>
  <c r="AL601"/>
  <c r="AK601"/>
  <c r="AH601"/>
  <c r="AQ601"/>
  <c r="AG601"/>
  <c r="AI601"/>
  <c r="AF601"/>
  <c r="AJ601"/>
  <c r="AE601"/>
  <c r="AO600"/>
  <c r="AN600"/>
  <c r="AL600"/>
  <c r="AK600"/>
  <c r="AF600"/>
  <c r="AE600"/>
  <c r="AQ595"/>
  <c r="AO595"/>
  <c r="AN595"/>
  <c r="AM595"/>
  <c r="AL595"/>
  <c r="AK595"/>
  <c r="AH595"/>
  <c r="AG595"/>
  <c r="AI595"/>
  <c r="AF595"/>
  <c r="AJ595"/>
  <c r="AE595"/>
  <c r="AO594"/>
  <c r="AN594"/>
  <c r="AL594"/>
  <c r="AK594"/>
  <c r="AF594"/>
  <c r="AE594"/>
  <c r="AO593"/>
  <c r="AN593"/>
  <c r="AM593"/>
  <c r="AL593"/>
  <c r="AK593"/>
  <c r="AH593"/>
  <c r="AQ593"/>
  <c r="AG593"/>
  <c r="AP593"/>
  <c r="AF593"/>
  <c r="AE593"/>
  <c r="AI593"/>
  <c r="AO592"/>
  <c r="AN592"/>
  <c r="AL592"/>
  <c r="AK592"/>
  <c r="AF592"/>
  <c r="AE592"/>
  <c r="AO591"/>
  <c r="AN591"/>
  <c r="AM591"/>
  <c r="AL591"/>
  <c r="AK591"/>
  <c r="AH591"/>
  <c r="AQ591"/>
  <c r="AG591"/>
  <c r="AP591"/>
  <c r="AS591"/>
  <c r="AF591"/>
  <c r="AE591"/>
  <c r="AI591"/>
  <c r="AO590"/>
  <c r="AN590"/>
  <c r="AL590"/>
  <c r="AK590"/>
  <c r="AF590"/>
  <c r="AE590"/>
  <c r="AQ589"/>
  <c r="AO589"/>
  <c r="AN589"/>
  <c r="AM589"/>
  <c r="AL589"/>
  <c r="AK589"/>
  <c r="AH589"/>
  <c r="AG589"/>
  <c r="AF589"/>
  <c r="AJ589"/>
  <c r="AE589"/>
  <c r="AO588"/>
  <c r="AN588"/>
  <c r="AL588"/>
  <c r="AK588"/>
  <c r="AF588"/>
  <c r="AE588"/>
  <c r="AO587"/>
  <c r="AN587"/>
  <c r="AM587"/>
  <c r="AL587"/>
  <c r="AK587"/>
  <c r="AH587"/>
  <c r="AQ587"/>
  <c r="AG587"/>
  <c r="AI587"/>
  <c r="AF587"/>
  <c r="AE587"/>
  <c r="AO586"/>
  <c r="AN586"/>
  <c r="AL586"/>
  <c r="AK586"/>
  <c r="AF586"/>
  <c r="AE586"/>
  <c r="AO585"/>
  <c r="AN585"/>
  <c r="AM585"/>
  <c r="AL585"/>
  <c r="AK585"/>
  <c r="AH585"/>
  <c r="AQ585"/>
  <c r="AG585"/>
  <c r="AI585"/>
  <c r="AF585"/>
  <c r="AE585"/>
  <c r="AO584"/>
  <c r="AN584"/>
  <c r="AL584"/>
  <c r="AK584"/>
  <c r="AF584"/>
  <c r="AE584"/>
  <c r="AO583"/>
  <c r="AN583"/>
  <c r="AM583"/>
  <c r="AL583"/>
  <c r="AK583"/>
  <c r="AH583"/>
  <c r="AQ583"/>
  <c r="AG583"/>
  <c r="AI583"/>
  <c r="AF583"/>
  <c r="AE583"/>
  <c r="AO582"/>
  <c r="AN582"/>
  <c r="AL582"/>
  <c r="AK582"/>
  <c r="AF582"/>
  <c r="AE582"/>
  <c r="AO581"/>
  <c r="AN581"/>
  <c r="AM581"/>
  <c r="AL581"/>
  <c r="AK581"/>
  <c r="AH581"/>
  <c r="AQ581"/>
  <c r="AG581"/>
  <c r="AI581"/>
  <c r="AF581"/>
  <c r="AE581"/>
  <c r="AO580"/>
  <c r="AN580"/>
  <c r="AL580"/>
  <c r="AK580"/>
  <c r="AF580"/>
  <c r="AE580"/>
  <c r="AO579"/>
  <c r="AN579"/>
  <c r="AM579"/>
  <c r="AL579"/>
  <c r="AK579"/>
  <c r="AH579"/>
  <c r="AQ579"/>
  <c r="AG579"/>
  <c r="AF579"/>
  <c r="AE579"/>
  <c r="AO578"/>
  <c r="AN578"/>
  <c r="AL578"/>
  <c r="AK578"/>
  <c r="AF578"/>
  <c r="AE578"/>
  <c r="AP577"/>
  <c r="AO577"/>
  <c r="AN577"/>
  <c r="AM577"/>
  <c r="AL577"/>
  <c r="AK577"/>
  <c r="AH577"/>
  <c r="AQ577"/>
  <c r="AG577"/>
  <c r="AF577"/>
  <c r="AJ577"/>
  <c r="AE577"/>
  <c r="AI577"/>
  <c r="AO576"/>
  <c r="AN576"/>
  <c r="AL576"/>
  <c r="AK576"/>
  <c r="AF576"/>
  <c r="AE576"/>
  <c r="AO575"/>
  <c r="AN575"/>
  <c r="AM575"/>
  <c r="AL575"/>
  <c r="AK575"/>
  <c r="AH575"/>
  <c r="AG575"/>
  <c r="AI575"/>
  <c r="AF575"/>
  <c r="AE575"/>
  <c r="AO574"/>
  <c r="AN574"/>
  <c r="AL574"/>
  <c r="AK574"/>
  <c r="AF574"/>
  <c r="AE574"/>
  <c r="AO573"/>
  <c r="AN573"/>
  <c r="AM573"/>
  <c r="AL573"/>
  <c r="AK573"/>
  <c r="AH573"/>
  <c r="AQ573"/>
  <c r="AG573"/>
  <c r="AP573"/>
  <c r="AF573"/>
  <c r="AE573"/>
  <c r="AO572"/>
  <c r="AN572"/>
  <c r="AL572"/>
  <c r="AK572"/>
  <c r="AF572"/>
  <c r="AE572"/>
  <c r="AO571"/>
  <c r="AN571"/>
  <c r="AM571"/>
  <c r="AL571"/>
  <c r="AK571"/>
  <c r="AH571"/>
  <c r="AG571"/>
  <c r="AI571"/>
  <c r="AF571"/>
  <c r="AE571"/>
  <c r="AO570"/>
  <c r="AN570"/>
  <c r="AL570"/>
  <c r="AK570"/>
  <c r="AF570"/>
  <c r="AE570"/>
  <c r="AO569"/>
  <c r="AN569"/>
  <c r="AM569"/>
  <c r="AL569"/>
  <c r="AK569"/>
  <c r="AH569"/>
  <c r="AQ569"/>
  <c r="AG569"/>
  <c r="AI569"/>
  <c r="AF569"/>
  <c r="AE569"/>
  <c r="AO568"/>
  <c r="AN568"/>
  <c r="AL568"/>
  <c r="AK568"/>
  <c r="AF568"/>
  <c r="AE568"/>
  <c r="AO567"/>
  <c r="AN567"/>
  <c r="AM567"/>
  <c r="AL567"/>
  <c r="AK567"/>
  <c r="AH567"/>
  <c r="AQ567"/>
  <c r="AG567"/>
  <c r="AP567"/>
  <c r="AF567"/>
  <c r="AE567"/>
  <c r="AI567"/>
  <c r="AO566"/>
  <c r="AN566"/>
  <c r="AL566"/>
  <c r="AK566"/>
  <c r="AF566"/>
  <c r="AE566"/>
  <c r="AO565"/>
  <c r="AN565"/>
  <c r="AM565"/>
  <c r="AL565"/>
  <c r="AK565"/>
  <c r="AH565"/>
  <c r="AQ565"/>
  <c r="AG565"/>
  <c r="AP565"/>
  <c r="AS565"/>
  <c r="AF565"/>
  <c r="AE565"/>
  <c r="AI565"/>
  <c r="AO564"/>
  <c r="AN564"/>
  <c r="AL564"/>
  <c r="AK564"/>
  <c r="AF564"/>
  <c r="AE564"/>
  <c r="AO563"/>
  <c r="AN563"/>
  <c r="AM563"/>
  <c r="AL563"/>
  <c r="AK563"/>
  <c r="AH563"/>
  <c r="AQ563"/>
  <c r="AG563"/>
  <c r="AP563"/>
  <c r="AF563"/>
  <c r="AE563"/>
  <c r="AI563"/>
  <c r="AO562"/>
  <c r="AN562"/>
  <c r="AM562"/>
  <c r="AL562"/>
  <c r="AK562"/>
  <c r="AO561"/>
  <c r="AN561"/>
  <c r="AM561"/>
  <c r="AL561"/>
  <c r="AK561"/>
  <c r="AH561"/>
  <c r="AQ561"/>
  <c r="AG561"/>
  <c r="AP561"/>
  <c r="AS561"/>
  <c r="AF561"/>
  <c r="AE561"/>
  <c r="AI561"/>
  <c r="AO560"/>
  <c r="AN560"/>
  <c r="AM560"/>
  <c r="AL560"/>
  <c r="AK560"/>
  <c r="AO559"/>
  <c r="AN559"/>
  <c r="AM559"/>
  <c r="AL559"/>
  <c r="AK559"/>
  <c r="AH559"/>
  <c r="AQ559"/>
  <c r="AG559"/>
  <c r="AP559"/>
  <c r="AF559"/>
  <c r="AE559"/>
  <c r="AI559"/>
  <c r="AO558"/>
  <c r="AN558"/>
  <c r="AM558"/>
  <c r="AL558"/>
  <c r="AK558"/>
  <c r="AH558"/>
  <c r="AQ558"/>
  <c r="AG558"/>
  <c r="AP558"/>
  <c r="AF558"/>
  <c r="AE558"/>
  <c r="AQ557"/>
  <c r="AP557"/>
  <c r="AS557"/>
  <c r="AO556"/>
  <c r="AN556"/>
  <c r="AM556"/>
  <c r="AL556"/>
  <c r="AK556"/>
  <c r="AH556"/>
  <c r="AQ556"/>
  <c r="AG556"/>
  <c r="AP556"/>
  <c r="AF556"/>
  <c r="AE556"/>
  <c r="AO555"/>
  <c r="AN555"/>
  <c r="AL555"/>
  <c r="AL669"/>
  <c r="AK555"/>
  <c r="AF555"/>
  <c r="AE555"/>
  <c r="AO554"/>
  <c r="AO669"/>
  <c r="AN554"/>
  <c r="AN669"/>
  <c r="AM554"/>
  <c r="AL554"/>
  <c r="AK554"/>
  <c r="AK669"/>
  <c r="AH554"/>
  <c r="AQ554"/>
  <c r="AG554"/>
  <c r="AP554"/>
  <c r="AF554"/>
  <c r="AF669"/>
  <c r="AE554"/>
  <c r="AQ553"/>
  <c r="AP553"/>
  <c r="AS553"/>
  <c r="AQ552"/>
  <c r="AP552"/>
  <c r="AS552"/>
  <c r="AP551"/>
  <c r="AS551"/>
  <c r="AO551"/>
  <c r="AN551"/>
  <c r="AM551"/>
  <c r="AL551"/>
  <c r="AK551"/>
  <c r="AH551"/>
  <c r="AQ551"/>
  <c r="AG551"/>
  <c r="AI551"/>
  <c r="AF551"/>
  <c r="AE551"/>
  <c r="AL550"/>
  <c r="AK550"/>
  <c r="AF550"/>
  <c r="AE550"/>
  <c r="AO549"/>
  <c r="AN549"/>
  <c r="AM549"/>
  <c r="AL549"/>
  <c r="AK549"/>
  <c r="AH549"/>
  <c r="AQ549"/>
  <c r="AG549"/>
  <c r="AP549"/>
  <c r="AS549"/>
  <c r="AF549"/>
  <c r="AE549"/>
  <c r="AL548"/>
  <c r="AK548"/>
  <c r="AF548"/>
  <c r="AE548"/>
  <c r="AO547"/>
  <c r="AN547"/>
  <c r="AM547"/>
  <c r="AL547"/>
  <c r="AK547"/>
  <c r="AH547"/>
  <c r="AQ547"/>
  <c r="AG547"/>
  <c r="AP547"/>
  <c r="AF547"/>
  <c r="AE547"/>
  <c r="AL546"/>
  <c r="AK546"/>
  <c r="AF546"/>
  <c r="AE546"/>
  <c r="AO545"/>
  <c r="AN545"/>
  <c r="AM545"/>
  <c r="AL545"/>
  <c r="AK545"/>
  <c r="AH545"/>
  <c r="AQ545"/>
  <c r="AG545"/>
  <c r="AP545"/>
  <c r="AS545"/>
  <c r="AF545"/>
  <c r="AE545"/>
  <c r="AL544"/>
  <c r="AK544"/>
  <c r="AF544"/>
  <c r="AE544"/>
  <c r="AO543"/>
  <c r="AN543"/>
  <c r="AM543"/>
  <c r="AL543"/>
  <c r="AK543"/>
  <c r="AH543"/>
  <c r="AQ543"/>
  <c r="AG543"/>
  <c r="AP543"/>
  <c r="AF543"/>
  <c r="AE543"/>
  <c r="AL542"/>
  <c r="AK542"/>
  <c r="AF542"/>
  <c r="AE542"/>
  <c r="AO541"/>
  <c r="AN541"/>
  <c r="AM541"/>
  <c r="AL541"/>
  <c r="AK541"/>
  <c r="AH541"/>
  <c r="AQ541"/>
  <c r="AG541"/>
  <c r="AP541"/>
  <c r="AS541"/>
  <c r="AF541"/>
  <c r="AE541"/>
  <c r="AQ540"/>
  <c r="AP540"/>
  <c r="AS540"/>
  <c r="AO539"/>
  <c r="AN539"/>
  <c r="AM539"/>
  <c r="AL539"/>
  <c r="AK539"/>
  <c r="AH539"/>
  <c r="AQ539"/>
  <c r="AG539"/>
  <c r="AP539"/>
  <c r="AS539"/>
  <c r="AF539"/>
  <c r="AE539"/>
  <c r="AI539"/>
  <c r="AL538"/>
  <c r="AK538"/>
  <c r="AF538"/>
  <c r="AE538"/>
  <c r="AP537"/>
  <c r="AO537"/>
  <c r="AN537"/>
  <c r="AM537"/>
  <c r="AL537"/>
  <c r="AK537"/>
  <c r="AH537"/>
  <c r="AQ537"/>
  <c r="AG537"/>
  <c r="AF537"/>
  <c r="AE537"/>
  <c r="AI537"/>
  <c r="AO536"/>
  <c r="AN536"/>
  <c r="AM536"/>
  <c r="AL536"/>
  <c r="AK536"/>
  <c r="AH536"/>
  <c r="AQ536"/>
  <c r="AG536"/>
  <c r="AP536"/>
  <c r="AF536"/>
  <c r="AE536"/>
  <c r="AQ535"/>
  <c r="AP535"/>
  <c r="AS535"/>
  <c r="AO534"/>
  <c r="AN534"/>
  <c r="AM534"/>
  <c r="AL534"/>
  <c r="AK534"/>
  <c r="AH534"/>
  <c r="AQ534"/>
  <c r="AG534"/>
  <c r="AP534"/>
  <c r="AF534"/>
  <c r="AE534"/>
  <c r="AL533"/>
  <c r="AK533"/>
  <c r="AF533"/>
  <c r="AE533"/>
  <c r="AO532"/>
  <c r="AN532"/>
  <c r="AM532"/>
  <c r="AL532"/>
  <c r="AK532"/>
  <c r="AH532"/>
  <c r="AQ532"/>
  <c r="AG532"/>
  <c r="AP532"/>
  <c r="AS532"/>
  <c r="AF532"/>
  <c r="AE532"/>
  <c r="AL531"/>
  <c r="AK531"/>
  <c r="AF531"/>
  <c r="AE531"/>
  <c r="AO530"/>
  <c r="AN530"/>
  <c r="AM530"/>
  <c r="AL530"/>
  <c r="AK530"/>
  <c r="AH530"/>
  <c r="AQ530"/>
  <c r="AG530"/>
  <c r="AP530"/>
  <c r="AF530"/>
  <c r="AE530"/>
  <c r="AL529"/>
  <c r="AK529"/>
  <c r="AF529"/>
  <c r="AE529"/>
  <c r="AO528"/>
  <c r="AN528"/>
  <c r="AM528"/>
  <c r="AL528"/>
  <c r="AK528"/>
  <c r="AH528"/>
  <c r="AQ528"/>
  <c r="AG528"/>
  <c r="AP528"/>
  <c r="AF528"/>
  <c r="AE528"/>
  <c r="AL527"/>
  <c r="AK527"/>
  <c r="AF527"/>
  <c r="AE527"/>
  <c r="AO526"/>
  <c r="AN526"/>
  <c r="AM526"/>
  <c r="AL526"/>
  <c r="AK526"/>
  <c r="AH526"/>
  <c r="AQ526"/>
  <c r="AG526"/>
  <c r="AF526"/>
  <c r="AE526"/>
  <c r="AQ525"/>
  <c r="AS525"/>
  <c r="AP525"/>
  <c r="AO524"/>
  <c r="AN524"/>
  <c r="AM524"/>
  <c r="AL524"/>
  <c r="AK524"/>
  <c r="AH524"/>
  <c r="AQ524"/>
  <c r="AG524"/>
  <c r="AP524"/>
  <c r="AS524"/>
  <c r="AF524"/>
  <c r="AE524"/>
  <c r="AI524"/>
  <c r="AO523"/>
  <c r="AN523"/>
  <c r="AM523"/>
  <c r="AL523"/>
  <c r="AK523"/>
  <c r="AH523"/>
  <c r="AQ523"/>
  <c r="AG523"/>
  <c r="AP523"/>
  <c r="AS523"/>
  <c r="AF523"/>
  <c r="AE523"/>
  <c r="AO522"/>
  <c r="AN522"/>
  <c r="AM522"/>
  <c r="AL522"/>
  <c r="AK522"/>
  <c r="AH522"/>
  <c r="AQ522"/>
  <c r="AG522"/>
  <c r="AI522"/>
  <c r="AF522"/>
  <c r="AE522"/>
  <c r="AQ521"/>
  <c r="AP521"/>
  <c r="AO520"/>
  <c r="AN520"/>
  <c r="AM520"/>
  <c r="AL520"/>
  <c r="AK520"/>
  <c r="AH520"/>
  <c r="AQ520"/>
  <c r="AS520"/>
  <c r="AG520"/>
  <c r="AP520"/>
  <c r="AF520"/>
  <c r="AE520"/>
  <c r="AL519"/>
  <c r="AK519"/>
  <c r="AF519"/>
  <c r="AE519"/>
  <c r="AO518"/>
  <c r="AN518"/>
  <c r="AM518"/>
  <c r="AL518"/>
  <c r="AK518"/>
  <c r="AH518"/>
  <c r="AJ518"/>
  <c r="AG518"/>
  <c r="AP518"/>
  <c r="AF518"/>
  <c r="AE518"/>
  <c r="AI518"/>
  <c r="AL517"/>
  <c r="AK517"/>
  <c r="AF517"/>
  <c r="AE517"/>
  <c r="AO516"/>
  <c r="AN516"/>
  <c r="AM516"/>
  <c r="AL516"/>
  <c r="AK516"/>
  <c r="AH516"/>
  <c r="AQ516"/>
  <c r="AG516"/>
  <c r="AP516"/>
  <c r="AS516"/>
  <c r="AF516"/>
  <c r="AE516"/>
  <c r="AI516"/>
  <c r="AL515"/>
  <c r="AK515"/>
  <c r="AF515"/>
  <c r="AE515"/>
  <c r="AO514"/>
  <c r="AN514"/>
  <c r="AM514"/>
  <c r="AL514"/>
  <c r="AK514"/>
  <c r="AH514"/>
  <c r="AG514"/>
  <c r="AP514"/>
  <c r="AF514"/>
  <c r="AE514"/>
  <c r="AI514"/>
  <c r="AL513"/>
  <c r="AK513"/>
  <c r="AF513"/>
  <c r="AE513"/>
  <c r="AO512"/>
  <c r="AN512"/>
  <c r="AM512"/>
  <c r="AL512"/>
  <c r="AK512"/>
  <c r="AH512"/>
  <c r="AQ512"/>
  <c r="AG512"/>
  <c r="AI512"/>
  <c r="AP512"/>
  <c r="AS512"/>
  <c r="AF512"/>
  <c r="AE512"/>
  <c r="AL511"/>
  <c r="AK511"/>
  <c r="AF511"/>
  <c r="AE511"/>
  <c r="AO510"/>
  <c r="AN510"/>
  <c r="AM510"/>
  <c r="AL510"/>
  <c r="AK510"/>
  <c r="AH510"/>
  <c r="AJ510"/>
  <c r="AG510"/>
  <c r="AP510"/>
  <c r="AF510"/>
  <c r="AE510"/>
  <c r="AL509"/>
  <c r="AK509"/>
  <c r="AF509"/>
  <c r="AE509"/>
  <c r="AO508"/>
  <c r="AN508"/>
  <c r="AM508"/>
  <c r="AL508"/>
  <c r="AK508"/>
  <c r="AH508"/>
  <c r="AQ508"/>
  <c r="AG508"/>
  <c r="AP508"/>
  <c r="AS508"/>
  <c r="AF508"/>
  <c r="AJ508"/>
  <c r="AE508"/>
  <c r="AQ507"/>
  <c r="AP507"/>
  <c r="AS507"/>
  <c r="AO506"/>
  <c r="AN506"/>
  <c r="AM506"/>
  <c r="AL506"/>
  <c r="AK506"/>
  <c r="AH506"/>
  <c r="AQ506"/>
  <c r="AG506"/>
  <c r="AP506"/>
  <c r="AS506"/>
  <c r="AF506"/>
  <c r="AE506"/>
  <c r="AL505"/>
  <c r="AK505"/>
  <c r="AF505"/>
  <c r="AE505"/>
  <c r="AO504"/>
  <c r="AN504"/>
  <c r="AM504"/>
  <c r="AL504"/>
  <c r="AK504"/>
  <c r="AH504"/>
  <c r="AQ504"/>
  <c r="AG504"/>
  <c r="AP504"/>
  <c r="AF504"/>
  <c r="AE504"/>
  <c r="AL503"/>
  <c r="AK503"/>
  <c r="AF503"/>
  <c r="AE503"/>
  <c r="AO502"/>
  <c r="AN502"/>
  <c r="AM502"/>
  <c r="AL502"/>
  <c r="AK502"/>
  <c r="AH502"/>
  <c r="AQ502"/>
  <c r="AG502"/>
  <c r="AP502"/>
  <c r="AF502"/>
  <c r="AE502"/>
  <c r="AL501"/>
  <c r="AK501"/>
  <c r="AF501"/>
  <c r="AE501"/>
  <c r="AO500"/>
  <c r="AN500"/>
  <c r="AM500"/>
  <c r="AL500"/>
  <c r="AK500"/>
  <c r="AH500"/>
  <c r="AQ500"/>
  <c r="AG500"/>
  <c r="AP500"/>
  <c r="AF500"/>
  <c r="AJ500"/>
  <c r="AE500"/>
  <c r="AL499"/>
  <c r="AK499"/>
  <c r="AF499"/>
  <c r="AE499"/>
  <c r="AO498"/>
  <c r="AN498"/>
  <c r="AM498"/>
  <c r="AL498"/>
  <c r="AK498"/>
  <c r="AH498"/>
  <c r="AQ498"/>
  <c r="AG498"/>
  <c r="AF498"/>
  <c r="AE498"/>
  <c r="AL497"/>
  <c r="AK497"/>
  <c r="AF497"/>
  <c r="AE497"/>
  <c r="AQ496"/>
  <c r="AP496"/>
  <c r="AO496"/>
  <c r="AN496"/>
  <c r="AM496"/>
  <c r="AL496"/>
  <c r="AK496"/>
  <c r="AH496"/>
  <c r="AG496"/>
  <c r="AF496"/>
  <c r="AJ496"/>
  <c r="AE496"/>
  <c r="AI496"/>
  <c r="AQ495"/>
  <c r="AP495"/>
  <c r="AS495"/>
  <c r="AO494"/>
  <c r="AN494"/>
  <c r="AM494"/>
  <c r="AL494"/>
  <c r="AK494"/>
  <c r="AH494"/>
  <c r="AQ494"/>
  <c r="AG494"/>
  <c r="AP494"/>
  <c r="AS494"/>
  <c r="AF494"/>
  <c r="AJ494"/>
  <c r="AE494"/>
  <c r="AL493"/>
  <c r="AK493"/>
  <c r="AF493"/>
  <c r="AE493"/>
  <c r="AQ492"/>
  <c r="AO492"/>
  <c r="AN492"/>
  <c r="AM492"/>
  <c r="AL492"/>
  <c r="AK492"/>
  <c r="AH492"/>
  <c r="AG492"/>
  <c r="AP492"/>
  <c r="AS492"/>
  <c r="AF492"/>
  <c r="AE492"/>
  <c r="AL491"/>
  <c r="AK491"/>
  <c r="AF491"/>
  <c r="AE491"/>
  <c r="AO490"/>
  <c r="AN490"/>
  <c r="AM490"/>
  <c r="AL490"/>
  <c r="AK490"/>
  <c r="AH490"/>
  <c r="AQ490"/>
  <c r="AG490"/>
  <c r="AP490"/>
  <c r="AS490"/>
  <c r="AF490"/>
  <c r="AJ490"/>
  <c r="AE490"/>
  <c r="AL489"/>
  <c r="AK489"/>
  <c r="AF489"/>
  <c r="AE489"/>
  <c r="AO488"/>
  <c r="AN488"/>
  <c r="AM488"/>
  <c r="AL488"/>
  <c r="AK488"/>
  <c r="AH488"/>
  <c r="AJ488"/>
  <c r="AG488"/>
  <c r="AP488"/>
  <c r="AF488"/>
  <c r="AE488"/>
  <c r="AL487"/>
  <c r="AK487"/>
  <c r="AF487"/>
  <c r="AE487"/>
  <c r="AO486"/>
  <c r="AN486"/>
  <c r="AM486"/>
  <c r="AL486"/>
  <c r="AK486"/>
  <c r="AH486"/>
  <c r="AQ486"/>
  <c r="AG486"/>
  <c r="AP486"/>
  <c r="AS486"/>
  <c r="AF486"/>
  <c r="AE486"/>
  <c r="AL485"/>
  <c r="AK485"/>
  <c r="AF485"/>
  <c r="AE485"/>
  <c r="AQ484"/>
  <c r="AO484"/>
  <c r="AN484"/>
  <c r="AM484"/>
  <c r="AL484"/>
  <c r="AK484"/>
  <c r="AH484"/>
  <c r="AG484"/>
  <c r="AP484"/>
  <c r="AS484"/>
  <c r="AF484"/>
  <c r="AE484"/>
  <c r="AL483"/>
  <c r="AK483"/>
  <c r="AF483"/>
  <c r="AE483"/>
  <c r="AO482"/>
  <c r="AN482"/>
  <c r="AM482"/>
  <c r="AL482"/>
  <c r="AK482"/>
  <c r="AH482"/>
  <c r="AQ482"/>
  <c r="AG482"/>
  <c r="AP482"/>
  <c r="AS482"/>
  <c r="AF482"/>
  <c r="AE482"/>
  <c r="AQ480"/>
  <c r="AO480"/>
  <c r="AN480"/>
  <c r="AM480"/>
  <c r="AL480"/>
  <c r="AK480"/>
  <c r="AH480"/>
  <c r="AG480"/>
  <c r="AP480"/>
  <c r="AS480"/>
  <c r="AF480"/>
  <c r="AJ480"/>
  <c r="AE480"/>
  <c r="AI480"/>
  <c r="AL479"/>
  <c r="AK479"/>
  <c r="AF479"/>
  <c r="AE479"/>
  <c r="AO478"/>
  <c r="AN478"/>
  <c r="AM478"/>
  <c r="AL478"/>
  <c r="AK478"/>
  <c r="AH478"/>
  <c r="AQ478"/>
  <c r="AG478"/>
  <c r="AP478"/>
  <c r="AF478"/>
  <c r="AJ478"/>
  <c r="AE478"/>
  <c r="AI478"/>
  <c r="AL477"/>
  <c r="AK477"/>
  <c r="AF477"/>
  <c r="AE477"/>
  <c r="AO476"/>
  <c r="AN476"/>
  <c r="AM476"/>
  <c r="AL476"/>
  <c r="AK476"/>
  <c r="AH476"/>
  <c r="AQ476"/>
  <c r="AG476"/>
  <c r="AP476"/>
  <c r="AF476"/>
  <c r="AE476"/>
  <c r="AI476"/>
  <c r="AL475"/>
  <c r="AK475"/>
  <c r="AF475"/>
  <c r="AE475"/>
  <c r="AQ474"/>
  <c r="AO474"/>
  <c r="AN474"/>
  <c r="AM474"/>
  <c r="AL474"/>
  <c r="AK474"/>
  <c r="AH474"/>
  <c r="AG474"/>
  <c r="AP474"/>
  <c r="AS474"/>
  <c r="AF474"/>
  <c r="AJ474"/>
  <c r="AE474"/>
  <c r="AI474"/>
  <c r="AL473"/>
  <c r="AK473"/>
  <c r="AF473"/>
  <c r="AE473"/>
  <c r="AO472"/>
  <c r="AN472"/>
  <c r="AM472"/>
  <c r="AL472"/>
  <c r="AK472"/>
  <c r="AH472"/>
  <c r="AQ472"/>
  <c r="AG472"/>
  <c r="AP472"/>
  <c r="AF472"/>
  <c r="AE472"/>
  <c r="AI472"/>
  <c r="AL471"/>
  <c r="AK471"/>
  <c r="AF471"/>
  <c r="AE471"/>
  <c r="AO470"/>
  <c r="AN470"/>
  <c r="AM470"/>
  <c r="AL470"/>
  <c r="AK470"/>
  <c r="AH470"/>
  <c r="AQ470"/>
  <c r="AG470"/>
  <c r="AP470"/>
  <c r="AF470"/>
  <c r="AE470"/>
  <c r="AI470"/>
  <c r="AO468"/>
  <c r="AN468"/>
  <c r="AM468"/>
  <c r="AL468"/>
  <c r="AK468"/>
  <c r="AH468"/>
  <c r="AQ468"/>
  <c r="AG468"/>
  <c r="AP468"/>
  <c r="AS468"/>
  <c r="AF468"/>
  <c r="AE468"/>
  <c r="AL467"/>
  <c r="AK467"/>
  <c r="AF467"/>
  <c r="AE467"/>
  <c r="AQ466"/>
  <c r="AO466"/>
  <c r="AN466"/>
  <c r="AM466"/>
  <c r="AL466"/>
  <c r="AK466"/>
  <c r="AH466"/>
  <c r="AJ466"/>
  <c r="AG466"/>
  <c r="AP466"/>
  <c r="AS466"/>
  <c r="AF466"/>
  <c r="AE466"/>
  <c r="AL465"/>
  <c r="AK465"/>
  <c r="AF465"/>
  <c r="AE465"/>
  <c r="AO464"/>
  <c r="AN464"/>
  <c r="AM464"/>
  <c r="AL464"/>
  <c r="AK464"/>
  <c r="AH464"/>
  <c r="AQ464"/>
  <c r="AG464"/>
  <c r="AP464"/>
  <c r="AS464"/>
  <c r="AF464"/>
  <c r="AE464"/>
  <c r="AI464"/>
  <c r="AL463"/>
  <c r="AK463"/>
  <c r="AF463"/>
  <c r="AE463"/>
  <c r="AO462"/>
  <c r="AN462"/>
  <c r="AM462"/>
  <c r="AL462"/>
  <c r="AK462"/>
  <c r="AH462"/>
  <c r="AQ462"/>
  <c r="AG462"/>
  <c r="AP462"/>
  <c r="AF462"/>
  <c r="AJ462"/>
  <c r="AE462"/>
  <c r="AI462"/>
  <c r="AL461"/>
  <c r="AK461"/>
  <c r="AF461"/>
  <c r="AE461"/>
  <c r="AQ460"/>
  <c r="AO460"/>
  <c r="AN460"/>
  <c r="AM460"/>
  <c r="AL460"/>
  <c r="AK460"/>
  <c r="AH460"/>
  <c r="AG460"/>
  <c r="AP460"/>
  <c r="AS460"/>
  <c r="AF460"/>
  <c r="AJ460"/>
  <c r="AE460"/>
  <c r="AI460"/>
  <c r="AL459"/>
  <c r="AK459"/>
  <c r="AF459"/>
  <c r="AE459"/>
  <c r="AO458"/>
  <c r="AN458"/>
  <c r="AM458"/>
  <c r="AL458"/>
  <c r="AK458"/>
  <c r="AH458"/>
  <c r="AQ458"/>
  <c r="AG458"/>
  <c r="AP458"/>
  <c r="AS458"/>
  <c r="AF458"/>
  <c r="AJ458"/>
  <c r="AE458"/>
  <c r="AI458"/>
  <c r="AL457"/>
  <c r="AK457"/>
  <c r="AF457"/>
  <c r="AE457"/>
  <c r="AQ456"/>
  <c r="AO456"/>
  <c r="AN456"/>
  <c r="AM456"/>
  <c r="AL456"/>
  <c r="AK456"/>
  <c r="AH456"/>
  <c r="AJ456"/>
  <c r="AG456"/>
  <c r="AP456"/>
  <c r="AS456"/>
  <c r="AF456"/>
  <c r="AE456"/>
  <c r="AL455"/>
  <c r="AK455"/>
  <c r="AF455"/>
  <c r="AE455"/>
  <c r="AO454"/>
  <c r="AN454"/>
  <c r="AM454"/>
  <c r="AL454"/>
  <c r="AK454"/>
  <c r="AH454"/>
  <c r="AQ454"/>
  <c r="AG454"/>
  <c r="AI454"/>
  <c r="AP454"/>
  <c r="AF454"/>
  <c r="AE454"/>
  <c r="AL453"/>
  <c r="AK453"/>
  <c r="AF453"/>
  <c r="AE453"/>
  <c r="AQ452"/>
  <c r="AO452"/>
  <c r="AN452"/>
  <c r="AM452"/>
  <c r="AL452"/>
  <c r="AK452"/>
  <c r="AH452"/>
  <c r="AJ452"/>
  <c r="AG452"/>
  <c r="AP452"/>
  <c r="AS452"/>
  <c r="AF452"/>
  <c r="AE452"/>
  <c r="AL451"/>
  <c r="AK451"/>
  <c r="AF451"/>
  <c r="AE451"/>
  <c r="AO450"/>
  <c r="AN450"/>
  <c r="AM450"/>
  <c r="AL450"/>
  <c r="AK450"/>
  <c r="AH450"/>
  <c r="AQ450"/>
  <c r="AG450"/>
  <c r="AP450"/>
  <c r="AF450"/>
  <c r="AE450"/>
  <c r="AL449"/>
  <c r="AK449"/>
  <c r="AF449"/>
  <c r="AE449"/>
  <c r="AP448"/>
  <c r="AS448"/>
  <c r="AO448"/>
  <c r="AN448"/>
  <c r="AM448"/>
  <c r="AL448"/>
  <c r="AK448"/>
  <c r="AH448"/>
  <c r="AQ448"/>
  <c r="AJ448"/>
  <c r="AG448"/>
  <c r="AF448"/>
  <c r="AE448"/>
  <c r="AI448"/>
  <c r="AL447"/>
  <c r="AL469"/>
  <c r="AK447"/>
  <c r="AK469"/>
  <c r="AF447"/>
  <c r="AF469"/>
  <c r="AE447"/>
  <c r="AE469"/>
  <c r="AO446"/>
  <c r="AN446"/>
  <c r="AM446"/>
  <c r="AL446"/>
  <c r="AK446"/>
  <c r="AH446"/>
  <c r="AQ446"/>
  <c r="AG446"/>
  <c r="AP446"/>
  <c r="AS446"/>
  <c r="AF446"/>
  <c r="AE446"/>
  <c r="AQ445"/>
  <c r="AS445"/>
  <c r="AP445"/>
  <c r="AO444"/>
  <c r="AN444"/>
  <c r="AM444"/>
  <c r="AL444"/>
  <c r="AK444"/>
  <c r="AH444"/>
  <c r="AQ444"/>
  <c r="AG444"/>
  <c r="AP444"/>
  <c r="AF444"/>
  <c r="AE444"/>
  <c r="AL443"/>
  <c r="AK443"/>
  <c r="AF443"/>
  <c r="AE443"/>
  <c r="AO442"/>
  <c r="AN442"/>
  <c r="AM442"/>
  <c r="AL442"/>
  <c r="AK442"/>
  <c r="AH442"/>
  <c r="AJ442"/>
  <c r="AG442"/>
  <c r="AP442"/>
  <c r="AF442"/>
  <c r="AE442"/>
  <c r="AI442"/>
  <c r="AL441"/>
  <c r="AK441"/>
  <c r="AF441"/>
  <c r="AE441"/>
  <c r="AO440"/>
  <c r="AN440"/>
  <c r="AM440"/>
  <c r="AL440"/>
  <c r="AK440"/>
  <c r="AH440"/>
  <c r="AQ440"/>
  <c r="AG440"/>
  <c r="AP440"/>
  <c r="AF440"/>
  <c r="AE440"/>
  <c r="AL439"/>
  <c r="AK439"/>
  <c r="AF439"/>
  <c r="AE439"/>
  <c r="AO438"/>
  <c r="AN438"/>
  <c r="AM438"/>
  <c r="AL438"/>
  <c r="AK438"/>
  <c r="AH438"/>
  <c r="AQ438"/>
  <c r="AG438"/>
  <c r="AP438"/>
  <c r="AF438"/>
  <c r="AE438"/>
  <c r="AL437"/>
  <c r="AK437"/>
  <c r="AF437"/>
  <c r="AE437"/>
  <c r="AO436"/>
  <c r="AN436"/>
  <c r="AM436"/>
  <c r="AL436"/>
  <c r="AK436"/>
  <c r="AH436"/>
  <c r="AQ436"/>
  <c r="AG436"/>
  <c r="AI436"/>
  <c r="AP436"/>
  <c r="AS436"/>
  <c r="AF436"/>
  <c r="AE436"/>
  <c r="AO435"/>
  <c r="AN435"/>
  <c r="AM435"/>
  <c r="AL435"/>
  <c r="AK435"/>
  <c r="AH435"/>
  <c r="AQ435"/>
  <c r="AG435"/>
  <c r="AF435"/>
  <c r="AE435"/>
  <c r="AQ434"/>
  <c r="AP434"/>
  <c r="AS434"/>
  <c r="AQ433"/>
  <c r="AP433"/>
  <c r="AS433"/>
  <c r="AO432"/>
  <c r="AN432"/>
  <c r="AM432"/>
  <c r="AL432"/>
  <c r="AK432"/>
  <c r="AH432"/>
  <c r="AQ432"/>
  <c r="AG432"/>
  <c r="AP432"/>
  <c r="AS432"/>
  <c r="AF432"/>
  <c r="AE432"/>
  <c r="AO431"/>
  <c r="AN431"/>
  <c r="AF431"/>
  <c r="AE431"/>
  <c r="AO430"/>
  <c r="AN430"/>
  <c r="AM430"/>
  <c r="AL430"/>
  <c r="AK430"/>
  <c r="AH430"/>
  <c r="AQ430"/>
  <c r="AG430"/>
  <c r="AP430"/>
  <c r="AF430"/>
  <c r="AE430"/>
  <c r="AO429"/>
  <c r="AN429"/>
  <c r="AF429"/>
  <c r="AE429"/>
  <c r="AO428"/>
  <c r="AN428"/>
  <c r="AM428"/>
  <c r="AL428"/>
  <c r="AK428"/>
  <c r="AH428"/>
  <c r="AQ428"/>
  <c r="AG428"/>
  <c r="AP428"/>
  <c r="AS428"/>
  <c r="AF428"/>
  <c r="AE428"/>
  <c r="AO427"/>
  <c r="AN427"/>
  <c r="AF427"/>
  <c r="AE427"/>
  <c r="AQ426"/>
  <c r="AP426"/>
  <c r="AS426"/>
  <c r="AQ425"/>
  <c r="AS425"/>
  <c r="AP425"/>
  <c r="AO424"/>
  <c r="AN424"/>
  <c r="AM424"/>
  <c r="AL424"/>
  <c r="AK424"/>
  <c r="AH424"/>
  <c r="AJ424"/>
  <c r="AG424"/>
  <c r="AP424"/>
  <c r="AF424"/>
  <c r="AE424"/>
  <c r="AI424"/>
  <c r="AO423"/>
  <c r="AN423"/>
  <c r="AM423"/>
  <c r="AF423"/>
  <c r="AE423"/>
  <c r="AO422"/>
  <c r="AN422"/>
  <c r="AM422"/>
  <c r="AL422"/>
  <c r="AK422"/>
  <c r="AH422"/>
  <c r="AJ422"/>
  <c r="AG422"/>
  <c r="AP422"/>
  <c r="AF422"/>
  <c r="AE422"/>
  <c r="AQ421"/>
  <c r="AP421"/>
  <c r="AS421"/>
  <c r="AO420"/>
  <c r="AN420"/>
  <c r="AM420"/>
  <c r="AL420"/>
  <c r="AK420"/>
  <c r="AH420"/>
  <c r="AQ420"/>
  <c r="AG420"/>
  <c r="AP420"/>
  <c r="AF420"/>
  <c r="AE420"/>
  <c r="AO419"/>
  <c r="AN419"/>
  <c r="AM419"/>
  <c r="AF419"/>
  <c r="AE419"/>
  <c r="AO418"/>
  <c r="AN418"/>
  <c r="AM418"/>
  <c r="AL418"/>
  <c r="AK418"/>
  <c r="AH418"/>
  <c r="AQ418"/>
  <c r="AG418"/>
  <c r="AP418"/>
  <c r="AF418"/>
  <c r="AE418"/>
  <c r="AO417"/>
  <c r="AN417"/>
  <c r="AM417"/>
  <c r="AF417"/>
  <c r="AE417"/>
  <c r="AO416"/>
  <c r="AN416"/>
  <c r="AM416"/>
  <c r="AL416"/>
  <c r="AK416"/>
  <c r="AH416"/>
  <c r="AQ416"/>
  <c r="AG416"/>
  <c r="AP416"/>
  <c r="AF416"/>
  <c r="AE416"/>
  <c r="AO415"/>
  <c r="AN415"/>
  <c r="AF415"/>
  <c r="AE415"/>
  <c r="AO414"/>
  <c r="AN414"/>
  <c r="AM414"/>
  <c r="AL414"/>
  <c r="AK414"/>
  <c r="AH414"/>
  <c r="AQ414"/>
  <c r="AG414"/>
  <c r="AP414"/>
  <c r="AF414"/>
  <c r="AE414"/>
  <c r="AO413"/>
  <c r="AN413"/>
  <c r="AF413"/>
  <c r="AE413"/>
  <c r="AO412"/>
  <c r="AN412"/>
  <c r="AM412"/>
  <c r="AL412"/>
  <c r="AK412"/>
  <c r="AH412"/>
  <c r="AQ412"/>
  <c r="AG412"/>
  <c r="AP412"/>
  <c r="AF412"/>
  <c r="AE412"/>
  <c r="AO411"/>
  <c r="AN411"/>
  <c r="AM411"/>
  <c r="AF411"/>
  <c r="AE411"/>
  <c r="AO410"/>
  <c r="AN410"/>
  <c r="AM410"/>
  <c r="AL410"/>
  <c r="AK410"/>
  <c r="AH410"/>
  <c r="AQ410"/>
  <c r="AG410"/>
  <c r="AP410"/>
  <c r="AF410"/>
  <c r="AE410"/>
  <c r="AO409"/>
  <c r="AN409"/>
  <c r="AM409"/>
  <c r="AF409"/>
  <c r="AE409"/>
  <c r="AO408"/>
  <c r="AN408"/>
  <c r="AM408"/>
  <c r="AL408"/>
  <c r="AK408"/>
  <c r="AH408"/>
  <c r="AQ408"/>
  <c r="AG408"/>
  <c r="AP408"/>
  <c r="AF408"/>
  <c r="AE408"/>
  <c r="AO407"/>
  <c r="AN407"/>
  <c r="AM407"/>
  <c r="AF407"/>
  <c r="AE407"/>
  <c r="AO406"/>
  <c r="AN406"/>
  <c r="AM406"/>
  <c r="AL406"/>
  <c r="AK406"/>
  <c r="AH406"/>
  <c r="AQ406"/>
  <c r="AG406"/>
  <c r="AP406"/>
  <c r="AF406"/>
  <c r="AE406"/>
  <c r="AQ405"/>
  <c r="AS405"/>
  <c r="AP405"/>
  <c r="AO404"/>
  <c r="AN404"/>
  <c r="AM404"/>
  <c r="AL404"/>
  <c r="AK404"/>
  <c r="AH404"/>
  <c r="AQ404"/>
  <c r="AG404"/>
  <c r="AP404"/>
  <c r="AF404"/>
  <c r="AE404"/>
  <c r="AO403"/>
  <c r="AN403"/>
  <c r="AM403"/>
  <c r="AF403"/>
  <c r="AE403"/>
  <c r="AO402"/>
  <c r="AN402"/>
  <c r="AM402"/>
  <c r="AL402"/>
  <c r="AK402"/>
  <c r="AH402"/>
  <c r="AQ402"/>
  <c r="AG402"/>
  <c r="AP402"/>
  <c r="AF402"/>
  <c r="AE402"/>
  <c r="AI402"/>
  <c r="AO401"/>
  <c r="AN401"/>
  <c r="AF401"/>
  <c r="AE401"/>
  <c r="AO400"/>
  <c r="AN400"/>
  <c r="AM400"/>
  <c r="AL400"/>
  <c r="AK400"/>
  <c r="AH400"/>
  <c r="AJ400"/>
  <c r="AQ400"/>
  <c r="AG400"/>
  <c r="AP400"/>
  <c r="AS400"/>
  <c r="AF400"/>
  <c r="AE400"/>
  <c r="AI400"/>
  <c r="AO399"/>
  <c r="AN399"/>
  <c r="AM399"/>
  <c r="AF399"/>
  <c r="AE399"/>
  <c r="AO398"/>
  <c r="AN398"/>
  <c r="AM398"/>
  <c r="AL398"/>
  <c r="AK398"/>
  <c r="AH398"/>
  <c r="AQ398"/>
  <c r="AG398"/>
  <c r="AP398"/>
  <c r="AS398"/>
  <c r="AF398"/>
  <c r="AE398"/>
  <c r="AO397"/>
  <c r="AN397"/>
  <c r="AM397"/>
  <c r="AF397"/>
  <c r="AE397"/>
  <c r="AO396"/>
  <c r="AN396"/>
  <c r="AM396"/>
  <c r="AL396"/>
  <c r="AK396"/>
  <c r="AH396"/>
  <c r="AQ396"/>
  <c r="AG396"/>
  <c r="AP396"/>
  <c r="AF396"/>
  <c r="AE396"/>
  <c r="AI396"/>
  <c r="AO395"/>
  <c r="AN395"/>
  <c r="AM395"/>
  <c r="AF395"/>
  <c r="AE395"/>
  <c r="AO394"/>
  <c r="AN394"/>
  <c r="AM394"/>
  <c r="AL394"/>
  <c r="AK394"/>
  <c r="AH394"/>
  <c r="AQ394"/>
  <c r="AG394"/>
  <c r="AP394"/>
  <c r="AF394"/>
  <c r="AE394"/>
  <c r="AI394"/>
  <c r="AO393"/>
  <c r="AN393"/>
  <c r="AM393"/>
  <c r="AF393"/>
  <c r="AE393"/>
  <c r="AO392"/>
  <c r="AN392"/>
  <c r="AM392"/>
  <c r="AL392"/>
  <c r="AK392"/>
  <c r="AH392"/>
  <c r="AQ392"/>
  <c r="AG392"/>
  <c r="AP392"/>
  <c r="AF392"/>
  <c r="AE392"/>
  <c r="AI392"/>
  <c r="AO391"/>
  <c r="AN391"/>
  <c r="AM391"/>
  <c r="AF391"/>
  <c r="AE391"/>
  <c r="AO390"/>
  <c r="AN390"/>
  <c r="AM390"/>
  <c r="AL390"/>
  <c r="AK390"/>
  <c r="AH390"/>
  <c r="AQ390"/>
  <c r="AG390"/>
  <c r="AP390"/>
  <c r="AF390"/>
  <c r="AE390"/>
  <c r="AQ389"/>
  <c r="AP389"/>
  <c r="AS389"/>
  <c r="AQ388"/>
  <c r="AO388"/>
  <c r="AN388"/>
  <c r="AM388"/>
  <c r="AL388"/>
  <c r="AK388"/>
  <c r="AH388"/>
  <c r="AG388"/>
  <c r="AI388"/>
  <c r="AF388"/>
  <c r="AJ388"/>
  <c r="AE388"/>
  <c r="AO387"/>
  <c r="AN387"/>
  <c r="AM387"/>
  <c r="AF387"/>
  <c r="AE387"/>
  <c r="AQ386"/>
  <c r="AO386"/>
  <c r="AN386"/>
  <c r="AM386"/>
  <c r="AL386"/>
  <c r="AK386"/>
  <c r="AH386"/>
  <c r="AG386"/>
  <c r="AI386"/>
  <c r="AF386"/>
  <c r="AJ386"/>
  <c r="AE386"/>
  <c r="AO385"/>
  <c r="AN385"/>
  <c r="AM385"/>
  <c r="AF385"/>
  <c r="AE385"/>
  <c r="AO384"/>
  <c r="AN384"/>
  <c r="AM384"/>
  <c r="AL384"/>
  <c r="AK384"/>
  <c r="AH384"/>
  <c r="AQ384"/>
  <c r="AG384"/>
  <c r="AF384"/>
  <c r="AE384"/>
  <c r="AI384"/>
  <c r="AO383"/>
  <c r="AN383"/>
  <c r="AM383"/>
  <c r="AF383"/>
  <c r="AE383"/>
  <c r="AO382"/>
  <c r="AN382"/>
  <c r="AM382"/>
  <c r="AL382"/>
  <c r="AK382"/>
  <c r="AH382"/>
  <c r="AQ382"/>
  <c r="AG382"/>
  <c r="AI382"/>
  <c r="AF382"/>
  <c r="AE382"/>
  <c r="AO381"/>
  <c r="AN381"/>
  <c r="AF381"/>
  <c r="AE381"/>
  <c r="AO380"/>
  <c r="AN380"/>
  <c r="AM380"/>
  <c r="AL380"/>
  <c r="AK380"/>
  <c r="AH380"/>
  <c r="AQ380"/>
  <c r="AG380"/>
  <c r="AF380"/>
  <c r="AE380"/>
  <c r="AI380"/>
  <c r="AQ379"/>
  <c r="AP379"/>
  <c r="AS379"/>
  <c r="AO378"/>
  <c r="AN378"/>
  <c r="AM378"/>
  <c r="AL378"/>
  <c r="AK378"/>
  <c r="AH378"/>
  <c r="AJ378"/>
  <c r="AG378"/>
  <c r="AP378"/>
  <c r="AF378"/>
  <c r="AE378"/>
  <c r="AO377"/>
  <c r="AN377"/>
  <c r="AF377"/>
  <c r="AE377"/>
  <c r="AO376"/>
  <c r="AN376"/>
  <c r="AM376"/>
  <c r="AL376"/>
  <c r="AK376"/>
  <c r="AH376"/>
  <c r="AQ376"/>
  <c r="AG376"/>
  <c r="AP376"/>
  <c r="AF376"/>
  <c r="AE376"/>
  <c r="AO375"/>
  <c r="AN375"/>
  <c r="AM375"/>
  <c r="AF375"/>
  <c r="AE375"/>
  <c r="AO374"/>
  <c r="AN374"/>
  <c r="AM374"/>
  <c r="AL374"/>
  <c r="AK374"/>
  <c r="AH374"/>
  <c r="AQ374"/>
  <c r="AG374"/>
  <c r="AP374"/>
  <c r="AF374"/>
  <c r="AE374"/>
  <c r="AO373"/>
  <c r="AN373"/>
  <c r="AM373"/>
  <c r="AF373"/>
  <c r="AE373"/>
  <c r="AO372"/>
  <c r="AN372"/>
  <c r="AM372"/>
  <c r="AL372"/>
  <c r="AK372"/>
  <c r="AH372"/>
  <c r="AJ372"/>
  <c r="AG372"/>
  <c r="AP372"/>
  <c r="AF372"/>
  <c r="AE372"/>
  <c r="AI372"/>
  <c r="AO371"/>
  <c r="AN371"/>
  <c r="AM371"/>
  <c r="AL371"/>
  <c r="AK371"/>
  <c r="AH371"/>
  <c r="AQ371"/>
  <c r="AG371"/>
  <c r="AP371"/>
  <c r="AS371"/>
  <c r="AF371"/>
  <c r="AE371"/>
  <c r="AQ370"/>
  <c r="AP370"/>
  <c r="AS370"/>
  <c r="AO369"/>
  <c r="AN369"/>
  <c r="AM369"/>
  <c r="AL369"/>
  <c r="AK369"/>
  <c r="AH369"/>
  <c r="AQ369"/>
  <c r="AG369"/>
  <c r="AF369"/>
  <c r="AE369"/>
  <c r="AI369"/>
  <c r="AO368"/>
  <c r="AN368"/>
  <c r="AM368"/>
  <c r="AF368"/>
  <c r="AE368"/>
  <c r="AO367"/>
  <c r="AN367"/>
  <c r="AM367"/>
  <c r="AL367"/>
  <c r="AK367"/>
  <c r="AH367"/>
  <c r="AQ367"/>
  <c r="AG367"/>
  <c r="AP367"/>
  <c r="AF367"/>
  <c r="AE367"/>
  <c r="AI367"/>
  <c r="AO366"/>
  <c r="AN366"/>
  <c r="AM366"/>
  <c r="AF366"/>
  <c r="AE366"/>
  <c r="AO365"/>
  <c r="AN365"/>
  <c r="AM365"/>
  <c r="AL365"/>
  <c r="AK365"/>
  <c r="AH365"/>
  <c r="AQ365"/>
  <c r="AG365"/>
  <c r="AI365"/>
  <c r="AF365"/>
  <c r="AE365"/>
  <c r="AO364"/>
  <c r="AN364"/>
  <c r="AM364"/>
  <c r="AF364"/>
  <c r="AE364"/>
  <c r="AO363"/>
  <c r="AN363"/>
  <c r="AM363"/>
  <c r="AL363"/>
  <c r="AK363"/>
  <c r="AH363"/>
  <c r="AQ363"/>
  <c r="AG363"/>
  <c r="AI363"/>
  <c r="AF363"/>
  <c r="AE363"/>
  <c r="AO362"/>
  <c r="AN362"/>
  <c r="AF362"/>
  <c r="AE362"/>
  <c r="AO361"/>
  <c r="AN361"/>
  <c r="AM361"/>
  <c r="AL361"/>
  <c r="AK361"/>
  <c r="AH361"/>
  <c r="AQ361"/>
  <c r="AG361"/>
  <c r="AP361"/>
  <c r="AF361"/>
  <c r="AE361"/>
  <c r="AI361"/>
  <c r="AQ360"/>
  <c r="AP360"/>
  <c r="AS360"/>
  <c r="AO359"/>
  <c r="AN359"/>
  <c r="AM359"/>
  <c r="AL359"/>
  <c r="AK359"/>
  <c r="AH359"/>
  <c r="AJ359"/>
  <c r="AG359"/>
  <c r="AP359"/>
  <c r="AF359"/>
  <c r="AE359"/>
  <c r="AO358"/>
  <c r="AN358"/>
  <c r="AM358"/>
  <c r="AF358"/>
  <c r="AE358"/>
  <c r="AQ357"/>
  <c r="AO357"/>
  <c r="AN357"/>
  <c r="AM357"/>
  <c r="AL357"/>
  <c r="AK357"/>
  <c r="AH357"/>
  <c r="AJ357"/>
  <c r="AG357"/>
  <c r="AP357"/>
  <c r="AS357"/>
  <c r="AF357"/>
  <c r="AE357"/>
  <c r="AI357"/>
  <c r="AO356"/>
  <c r="AN356"/>
  <c r="AM356"/>
  <c r="AF356"/>
  <c r="AE356"/>
  <c r="AO355"/>
  <c r="AN355"/>
  <c r="AM355"/>
  <c r="AL355"/>
  <c r="AK355"/>
  <c r="AH355"/>
  <c r="AQ355"/>
  <c r="AG355"/>
  <c r="AP355"/>
  <c r="AF355"/>
  <c r="AJ355"/>
  <c r="AE355"/>
  <c r="AI355"/>
  <c r="AO354"/>
  <c r="AN354"/>
  <c r="AM354"/>
  <c r="AF354"/>
  <c r="AE354"/>
  <c r="AO353"/>
  <c r="AN353"/>
  <c r="AM353"/>
  <c r="AL353"/>
  <c r="AK353"/>
  <c r="AH353"/>
  <c r="AG353"/>
  <c r="AP353"/>
  <c r="AF353"/>
  <c r="AE353"/>
  <c r="AO352"/>
  <c r="AN352"/>
  <c r="AM352"/>
  <c r="AF352"/>
  <c r="AE352"/>
  <c r="AO351"/>
  <c r="AN351"/>
  <c r="AM351"/>
  <c r="AL351"/>
  <c r="AK351"/>
  <c r="AH351"/>
  <c r="AQ351"/>
  <c r="AG351"/>
  <c r="AP351"/>
  <c r="AF351"/>
  <c r="AJ351"/>
  <c r="AE351"/>
  <c r="AI351"/>
  <c r="AO350"/>
  <c r="AN350"/>
  <c r="AM350"/>
  <c r="AF350"/>
  <c r="AE350"/>
  <c r="AO349"/>
  <c r="AN349"/>
  <c r="AM349"/>
  <c r="AL349"/>
  <c r="AK349"/>
  <c r="AH349"/>
  <c r="AQ349"/>
  <c r="AG349"/>
  <c r="AF349"/>
  <c r="AE349"/>
  <c r="AO348"/>
  <c r="AN348"/>
  <c r="AM348"/>
  <c r="AF348"/>
  <c r="AE348"/>
  <c r="AO347"/>
  <c r="AN347"/>
  <c r="AM347"/>
  <c r="AL347"/>
  <c r="AK347"/>
  <c r="AH347"/>
  <c r="AQ347"/>
  <c r="AG347"/>
  <c r="AP347"/>
  <c r="AF347"/>
  <c r="AJ347"/>
  <c r="AE347"/>
  <c r="AO346"/>
  <c r="AN346"/>
  <c r="AM346"/>
  <c r="AF346"/>
  <c r="AE346"/>
  <c r="AO345"/>
  <c r="AN345"/>
  <c r="AM345"/>
  <c r="AL345"/>
  <c r="AK345"/>
  <c r="AH345"/>
  <c r="AJ345"/>
  <c r="AG345"/>
  <c r="AP345"/>
  <c r="AF345"/>
  <c r="AE345"/>
  <c r="AQ344"/>
  <c r="AP344"/>
  <c r="AS344"/>
  <c r="AO343"/>
  <c r="AN343"/>
  <c r="AM343"/>
  <c r="AL343"/>
  <c r="AK343"/>
  <c r="AH343"/>
  <c r="AQ343"/>
  <c r="AG343"/>
  <c r="AP343"/>
  <c r="AF343"/>
  <c r="AE343"/>
  <c r="AO342"/>
  <c r="AN342"/>
  <c r="AM342"/>
  <c r="AF342"/>
  <c r="AE342"/>
  <c r="AO341"/>
  <c r="AN341"/>
  <c r="AM341"/>
  <c r="AL341"/>
  <c r="AK341"/>
  <c r="AH341"/>
  <c r="AQ341"/>
  <c r="AG341"/>
  <c r="AP341"/>
  <c r="AS341"/>
  <c r="AF341"/>
  <c r="AE341"/>
  <c r="AO340"/>
  <c r="AN340"/>
  <c r="AM340"/>
  <c r="AF340"/>
  <c r="AE340"/>
  <c r="AO339"/>
  <c r="AN339"/>
  <c r="AM339"/>
  <c r="AL339"/>
  <c r="AK339"/>
  <c r="AH339"/>
  <c r="AQ339"/>
  <c r="AG339"/>
  <c r="AP339"/>
  <c r="AF339"/>
  <c r="AE339"/>
  <c r="AO338"/>
  <c r="AN338"/>
  <c r="AM338"/>
  <c r="AF338"/>
  <c r="AE338"/>
  <c r="AO337"/>
  <c r="AN337"/>
  <c r="AM337"/>
  <c r="AL337"/>
  <c r="AK337"/>
  <c r="AH337"/>
  <c r="AQ337"/>
  <c r="AG337"/>
  <c r="AP337"/>
  <c r="AS337"/>
  <c r="AF337"/>
  <c r="AE337"/>
  <c r="AO336"/>
  <c r="AN336"/>
  <c r="AM336"/>
  <c r="AF336"/>
  <c r="AE336"/>
  <c r="AO335"/>
  <c r="AN335"/>
  <c r="AM335"/>
  <c r="AL335"/>
  <c r="AK335"/>
  <c r="AH335"/>
  <c r="AQ335"/>
  <c r="AG335"/>
  <c r="AP335"/>
  <c r="AS335"/>
  <c r="AF335"/>
  <c r="AE335"/>
  <c r="AO334"/>
  <c r="AM334"/>
  <c r="AF334"/>
  <c r="AO333"/>
  <c r="AN333"/>
  <c r="AM333"/>
  <c r="AL333"/>
  <c r="AK333"/>
  <c r="AH333"/>
  <c r="AQ333"/>
  <c r="AG333"/>
  <c r="AP333"/>
  <c r="AF333"/>
  <c r="AE333"/>
  <c r="AO332"/>
  <c r="AN332"/>
  <c r="AM332"/>
  <c r="AF332"/>
  <c r="AE332"/>
  <c r="AO331"/>
  <c r="AN331"/>
  <c r="AM331"/>
  <c r="AL331"/>
  <c r="AK331"/>
  <c r="AH331"/>
  <c r="AQ331"/>
  <c r="AG331"/>
  <c r="AP331"/>
  <c r="AS331"/>
  <c r="AF331"/>
  <c r="AJ331"/>
  <c r="AE331"/>
  <c r="AO330"/>
  <c r="AN330"/>
  <c r="AM330"/>
  <c r="AF330"/>
  <c r="AE330"/>
  <c r="AO329"/>
  <c r="AN329"/>
  <c r="AM329"/>
  <c r="AL329"/>
  <c r="AK329"/>
  <c r="AH329"/>
  <c r="AQ329"/>
  <c r="AS329"/>
  <c r="AG329"/>
  <c r="AP329"/>
  <c r="AF329"/>
  <c r="AJ329"/>
  <c r="AE329"/>
  <c r="AQ328"/>
  <c r="AP328"/>
  <c r="AS328"/>
  <c r="AO327"/>
  <c r="AN327"/>
  <c r="AM327"/>
  <c r="AL327"/>
  <c r="AK327"/>
  <c r="AH327"/>
  <c r="AQ327"/>
  <c r="AG327"/>
  <c r="AP327"/>
  <c r="AF327"/>
  <c r="AE327"/>
  <c r="AO326"/>
  <c r="AN326"/>
  <c r="AM326"/>
  <c r="AF326"/>
  <c r="AE326"/>
  <c r="AO325"/>
  <c r="AN325"/>
  <c r="AM325"/>
  <c r="AL325"/>
  <c r="AK325"/>
  <c r="AH325"/>
  <c r="AQ325"/>
  <c r="AG325"/>
  <c r="AP325"/>
  <c r="AF325"/>
  <c r="AE325"/>
  <c r="AI325"/>
  <c r="AO324"/>
  <c r="AN324"/>
  <c r="AF324"/>
  <c r="AE324"/>
  <c r="AO323"/>
  <c r="AN323"/>
  <c r="AM323"/>
  <c r="AL323"/>
  <c r="AK323"/>
  <c r="AH323"/>
  <c r="AQ323"/>
  <c r="AG323"/>
  <c r="AP323"/>
  <c r="AF323"/>
  <c r="AE323"/>
  <c r="AO322"/>
  <c r="AN322"/>
  <c r="AF322"/>
  <c r="AE322"/>
  <c r="AO321"/>
  <c r="AN321"/>
  <c r="AM321"/>
  <c r="AL321"/>
  <c r="AK321"/>
  <c r="AH321"/>
  <c r="AQ321"/>
  <c r="AG321"/>
  <c r="AP321"/>
  <c r="AF321"/>
  <c r="AE321"/>
  <c r="AO320"/>
  <c r="AM320"/>
  <c r="AF320"/>
  <c r="AO319"/>
  <c r="AN319"/>
  <c r="AM319"/>
  <c r="AL319"/>
  <c r="AK319"/>
  <c r="AH319"/>
  <c r="AQ319"/>
  <c r="AG319"/>
  <c r="AP319"/>
  <c r="AF319"/>
  <c r="AE319"/>
  <c r="AO318"/>
  <c r="AN318"/>
  <c r="AM318"/>
  <c r="AF318"/>
  <c r="AE318"/>
  <c r="AO317"/>
  <c r="AN317"/>
  <c r="AM317"/>
  <c r="AL317"/>
  <c r="AK317"/>
  <c r="AH317"/>
  <c r="AQ317"/>
  <c r="AG317"/>
  <c r="AP317"/>
  <c r="AS317"/>
  <c r="AF317"/>
  <c r="AE317"/>
  <c r="AO316"/>
  <c r="AN316"/>
  <c r="AM316"/>
  <c r="AF316"/>
  <c r="AE316"/>
  <c r="AO315"/>
  <c r="AN315"/>
  <c r="AM315"/>
  <c r="AL315"/>
  <c r="AK315"/>
  <c r="AH315"/>
  <c r="AQ315"/>
  <c r="AG315"/>
  <c r="AP315"/>
  <c r="AS315"/>
  <c r="AF315"/>
  <c r="AE315"/>
  <c r="AS314"/>
  <c r="AQ314"/>
  <c r="AP314"/>
  <c r="AO313"/>
  <c r="AN313"/>
  <c r="AM313"/>
  <c r="AL313"/>
  <c r="AK313"/>
  <c r="AH313"/>
  <c r="AQ313"/>
  <c r="AG313"/>
  <c r="AP313"/>
  <c r="AS313"/>
  <c r="AF313"/>
  <c r="AE313"/>
  <c r="AO312"/>
  <c r="AN312"/>
  <c r="AM312"/>
  <c r="AF312"/>
  <c r="AE312"/>
  <c r="AO311"/>
  <c r="AN311"/>
  <c r="AM311"/>
  <c r="AL311"/>
  <c r="AK311"/>
  <c r="AH311"/>
  <c r="AQ311"/>
  <c r="AG311"/>
  <c r="AP311"/>
  <c r="AF311"/>
  <c r="AE311"/>
  <c r="AI311"/>
  <c r="AO310"/>
  <c r="AN310"/>
  <c r="AM310"/>
  <c r="AF310"/>
  <c r="AE310"/>
  <c r="AO309"/>
  <c r="AN309"/>
  <c r="AM309"/>
  <c r="AL309"/>
  <c r="AK309"/>
  <c r="AH309"/>
  <c r="AQ309"/>
  <c r="AG309"/>
  <c r="AP309"/>
  <c r="AF309"/>
  <c r="AE309"/>
  <c r="AO308"/>
  <c r="AN308"/>
  <c r="AM308"/>
  <c r="AF308"/>
  <c r="AE308"/>
  <c r="AO307"/>
  <c r="AN307"/>
  <c r="AM307"/>
  <c r="AL307"/>
  <c r="AK307"/>
  <c r="AH307"/>
  <c r="AQ307"/>
  <c r="AG307"/>
  <c r="AP307"/>
  <c r="AF307"/>
  <c r="AE307"/>
  <c r="AI307"/>
  <c r="AO306"/>
  <c r="AN306"/>
  <c r="AM306"/>
  <c r="AF306"/>
  <c r="AE306"/>
  <c r="AO305"/>
  <c r="AN305"/>
  <c r="AM305"/>
  <c r="AL305"/>
  <c r="AK305"/>
  <c r="AH305"/>
  <c r="AQ305"/>
  <c r="AG305"/>
  <c r="AF305"/>
  <c r="AE305"/>
  <c r="AI305"/>
  <c r="AO304"/>
  <c r="AN304"/>
  <c r="AM304"/>
  <c r="AF304"/>
  <c r="AE304"/>
  <c r="AO303"/>
  <c r="AN303"/>
  <c r="AM303"/>
  <c r="AL303"/>
  <c r="AK303"/>
  <c r="AH303"/>
  <c r="AQ303"/>
  <c r="AG303"/>
  <c r="AP303"/>
  <c r="AS303"/>
  <c r="AF303"/>
  <c r="AE303"/>
  <c r="AI303"/>
  <c r="AO302"/>
  <c r="AN302"/>
  <c r="AM302"/>
  <c r="AF302"/>
  <c r="AE302"/>
  <c r="AO301"/>
  <c r="AN301"/>
  <c r="AM301"/>
  <c r="AL301"/>
  <c r="AK301"/>
  <c r="AH301"/>
  <c r="AQ301"/>
  <c r="AG301"/>
  <c r="AP301"/>
  <c r="AF301"/>
  <c r="AE301"/>
  <c r="AO300"/>
  <c r="AN300"/>
  <c r="AF300"/>
  <c r="AE300"/>
  <c r="AO299"/>
  <c r="AN299"/>
  <c r="AM299"/>
  <c r="AL299"/>
  <c r="AK299"/>
  <c r="AH299"/>
  <c r="AQ299"/>
  <c r="AG299"/>
  <c r="AI299"/>
  <c r="AF299"/>
  <c r="AE299"/>
  <c r="AO298"/>
  <c r="AN298"/>
  <c r="AM298"/>
  <c r="AF298"/>
  <c r="AE298"/>
  <c r="AO297"/>
  <c r="AN297"/>
  <c r="AM297"/>
  <c r="AL297"/>
  <c r="AK297"/>
  <c r="AH297"/>
  <c r="AQ297"/>
  <c r="AG297"/>
  <c r="AF297"/>
  <c r="AE297"/>
  <c r="AI297"/>
  <c r="AQ296"/>
  <c r="AP296"/>
  <c r="AS296"/>
  <c r="AP295"/>
  <c r="AO295"/>
  <c r="AN295"/>
  <c r="AM295"/>
  <c r="AL295"/>
  <c r="AK295"/>
  <c r="AH295"/>
  <c r="AQ295"/>
  <c r="AS295"/>
  <c r="AG295"/>
  <c r="AF295"/>
  <c r="AE295"/>
  <c r="AI295"/>
  <c r="AO294"/>
  <c r="AN294"/>
  <c r="AM294"/>
  <c r="AF294"/>
  <c r="AE294"/>
  <c r="AO293"/>
  <c r="AN293"/>
  <c r="AM293"/>
  <c r="AL293"/>
  <c r="AK293"/>
  <c r="AH293"/>
  <c r="AQ293"/>
  <c r="AG293"/>
  <c r="AP293"/>
  <c r="AS293"/>
  <c r="AF293"/>
  <c r="AJ293"/>
  <c r="AE293"/>
  <c r="AI293"/>
  <c r="AO292"/>
  <c r="AN292"/>
  <c r="AM292"/>
  <c r="AF292"/>
  <c r="AE292"/>
  <c r="AO291"/>
  <c r="AN291"/>
  <c r="AM291"/>
  <c r="AL291"/>
  <c r="AK291"/>
  <c r="AH291"/>
  <c r="AJ291"/>
  <c r="AQ291"/>
  <c r="AG291"/>
  <c r="AP291"/>
  <c r="AS291"/>
  <c r="AF291"/>
  <c r="AE291"/>
  <c r="AI291"/>
  <c r="AO290"/>
  <c r="AN290"/>
  <c r="AF290"/>
  <c r="AE290"/>
  <c r="AO289"/>
  <c r="AN289"/>
  <c r="AM289"/>
  <c r="AL289"/>
  <c r="AK289"/>
  <c r="AH289"/>
  <c r="AQ289"/>
  <c r="AG289"/>
  <c r="AP289"/>
  <c r="AF289"/>
  <c r="AJ289"/>
  <c r="AE289"/>
  <c r="AI289"/>
  <c r="AO288"/>
  <c r="AN288"/>
  <c r="AF288"/>
  <c r="AE288"/>
  <c r="AO287"/>
  <c r="AN287"/>
  <c r="AM287"/>
  <c r="AL287"/>
  <c r="AK287"/>
  <c r="AH287"/>
  <c r="AQ287"/>
  <c r="AG287"/>
  <c r="AI287"/>
  <c r="AF287"/>
  <c r="AJ287"/>
  <c r="AE287"/>
  <c r="AO286"/>
  <c r="AN286"/>
  <c r="AF286"/>
  <c r="AE286"/>
  <c r="AO285"/>
  <c r="AN285"/>
  <c r="AM285"/>
  <c r="AL285"/>
  <c r="AK285"/>
  <c r="AH285"/>
  <c r="AJ285"/>
  <c r="AQ285"/>
  <c r="AG285"/>
  <c r="AP285"/>
  <c r="AS285"/>
  <c r="AF285"/>
  <c r="AE285"/>
  <c r="AO284"/>
  <c r="AN284"/>
  <c r="AM284"/>
  <c r="AF284"/>
  <c r="AE284"/>
  <c r="AP283"/>
  <c r="AO283"/>
  <c r="AN283"/>
  <c r="AM283"/>
  <c r="AL283"/>
  <c r="AK283"/>
  <c r="AH283"/>
  <c r="AQ283"/>
  <c r="AS283"/>
  <c r="AG283"/>
  <c r="AF283"/>
  <c r="AE283"/>
  <c r="AI283"/>
  <c r="AO282"/>
  <c r="AN282"/>
  <c r="AF282"/>
  <c r="AE282"/>
  <c r="AO281"/>
  <c r="AN281"/>
  <c r="AM281"/>
  <c r="AL281"/>
  <c r="AK281"/>
  <c r="AH281"/>
  <c r="AQ281"/>
  <c r="AG281"/>
  <c r="AP281"/>
  <c r="AF281"/>
  <c r="AJ281"/>
  <c r="AE281"/>
  <c r="AI281"/>
  <c r="AO279"/>
  <c r="AN279"/>
  <c r="AM279"/>
  <c r="AL279"/>
  <c r="AK279"/>
  <c r="AH279"/>
  <c r="AQ279"/>
  <c r="AG279"/>
  <c r="AP279"/>
  <c r="AS279"/>
  <c r="AF279"/>
  <c r="AJ279"/>
  <c r="AE279"/>
  <c r="AI279"/>
  <c r="AO278"/>
  <c r="AN278"/>
  <c r="AM278"/>
  <c r="AF278"/>
  <c r="AE278"/>
  <c r="AO277"/>
  <c r="AN277"/>
  <c r="AM277"/>
  <c r="AL277"/>
  <c r="AK277"/>
  <c r="AH277"/>
  <c r="AQ277"/>
  <c r="AG277"/>
  <c r="AP277"/>
  <c r="AS277"/>
  <c r="AF277"/>
  <c r="AJ277"/>
  <c r="AE277"/>
  <c r="AI277"/>
  <c r="AO276"/>
  <c r="AN276"/>
  <c r="AM276"/>
  <c r="AF276"/>
  <c r="AE276"/>
  <c r="AO275"/>
  <c r="AN275"/>
  <c r="AM275"/>
  <c r="AL275"/>
  <c r="AK275"/>
  <c r="AH275"/>
  <c r="AQ275"/>
  <c r="AG275"/>
  <c r="AP275"/>
  <c r="AS275"/>
  <c r="AF275"/>
  <c r="AJ275"/>
  <c r="AE275"/>
  <c r="AI275"/>
  <c r="AO274"/>
  <c r="AN274"/>
  <c r="AM274"/>
  <c r="AF274"/>
  <c r="AE274"/>
  <c r="AO273"/>
  <c r="AN273"/>
  <c r="AM273"/>
  <c r="AL273"/>
  <c r="AK273"/>
  <c r="AH273"/>
  <c r="AQ273"/>
  <c r="AG273"/>
  <c r="AP273"/>
  <c r="AS273"/>
  <c r="AF273"/>
  <c r="AJ273"/>
  <c r="AE273"/>
  <c r="AI273"/>
  <c r="AO272"/>
  <c r="AN272"/>
  <c r="AM272"/>
  <c r="AF272"/>
  <c r="AE272"/>
  <c r="AO271"/>
  <c r="AN271"/>
  <c r="AM271"/>
  <c r="AL271"/>
  <c r="AK271"/>
  <c r="AH271"/>
  <c r="AQ271"/>
  <c r="AG271"/>
  <c r="AP271"/>
  <c r="AS271"/>
  <c r="AF271"/>
  <c r="AJ271"/>
  <c r="AE271"/>
  <c r="AI271"/>
  <c r="AO270"/>
  <c r="AN270"/>
  <c r="AM270"/>
  <c r="AF270"/>
  <c r="AE270"/>
  <c r="AO269"/>
  <c r="AN269"/>
  <c r="AM269"/>
  <c r="AL269"/>
  <c r="AK269"/>
  <c r="AH269"/>
  <c r="AQ269"/>
  <c r="AG269"/>
  <c r="AP269"/>
  <c r="AF269"/>
  <c r="AE269"/>
  <c r="AO268"/>
  <c r="AN268"/>
  <c r="AM268"/>
  <c r="AF268"/>
  <c r="AE268"/>
  <c r="AO267"/>
  <c r="AN267"/>
  <c r="AM267"/>
  <c r="AL267"/>
  <c r="AK267"/>
  <c r="AH267"/>
  <c r="AQ267"/>
  <c r="AG267"/>
  <c r="AP267"/>
  <c r="AF267"/>
  <c r="AJ267"/>
  <c r="AE267"/>
  <c r="AO266"/>
  <c r="AN266"/>
  <c r="AM266"/>
  <c r="AF266"/>
  <c r="AE266"/>
  <c r="AO265"/>
  <c r="AN265"/>
  <c r="AM265"/>
  <c r="AL265"/>
  <c r="AK265"/>
  <c r="AH265"/>
  <c r="AJ265"/>
  <c r="AG265"/>
  <c r="AP265"/>
  <c r="AF265"/>
  <c r="AE265"/>
  <c r="AO264"/>
  <c r="AN264"/>
  <c r="AM264"/>
  <c r="AF264"/>
  <c r="AE264"/>
  <c r="AO263"/>
  <c r="AN263"/>
  <c r="AM263"/>
  <c r="AL263"/>
  <c r="AK263"/>
  <c r="AH263"/>
  <c r="AQ263"/>
  <c r="AG263"/>
  <c r="AP263"/>
  <c r="AF263"/>
  <c r="AJ263"/>
  <c r="AE263"/>
  <c r="AO262"/>
  <c r="AN262"/>
  <c r="AM262"/>
  <c r="AF262"/>
  <c r="AE262"/>
  <c r="AO261"/>
  <c r="AN261"/>
  <c r="AM261"/>
  <c r="AL261"/>
  <c r="AK261"/>
  <c r="AH261"/>
  <c r="AQ261"/>
  <c r="AG261"/>
  <c r="AP261"/>
  <c r="AF261"/>
  <c r="AJ261"/>
  <c r="AE261"/>
  <c r="AO260"/>
  <c r="AN260"/>
  <c r="AF260"/>
  <c r="AE260"/>
  <c r="AO259"/>
  <c r="AN259"/>
  <c r="AM259"/>
  <c r="AL259"/>
  <c r="AK259"/>
  <c r="AH259"/>
  <c r="AQ259"/>
  <c r="AG259"/>
  <c r="AP259"/>
  <c r="AF259"/>
  <c r="AJ259"/>
  <c r="AE259"/>
  <c r="AO258"/>
  <c r="AN258"/>
  <c r="AM258"/>
  <c r="AF258"/>
  <c r="AE258"/>
  <c r="AO257"/>
  <c r="AN257"/>
  <c r="AM257"/>
  <c r="AL257"/>
  <c r="AK257"/>
  <c r="AH257"/>
  <c r="AJ257"/>
  <c r="AG257"/>
  <c r="AP257"/>
  <c r="AF257"/>
  <c r="AE257"/>
  <c r="AI257"/>
  <c r="AO256"/>
  <c r="AN256"/>
  <c r="AM256"/>
  <c r="AF256"/>
  <c r="AE256"/>
  <c r="AO255"/>
  <c r="AN255"/>
  <c r="AM255"/>
  <c r="AL255"/>
  <c r="AK255"/>
  <c r="AH255"/>
  <c r="AJ255"/>
  <c r="AQ255"/>
  <c r="AG255"/>
  <c r="AP255"/>
  <c r="AS255"/>
  <c r="AF255"/>
  <c r="AE255"/>
  <c r="AI255"/>
  <c r="AO254"/>
  <c r="AN254"/>
  <c r="AM254"/>
  <c r="AF254"/>
  <c r="AE254"/>
  <c r="AO253"/>
  <c r="AN253"/>
  <c r="AM253"/>
  <c r="AL253"/>
  <c r="AK253"/>
  <c r="AH253"/>
  <c r="AQ253"/>
  <c r="AG253"/>
  <c r="AP253"/>
  <c r="AF253"/>
  <c r="AJ253"/>
  <c r="AE253"/>
  <c r="AI253"/>
  <c r="AO252"/>
  <c r="AN252"/>
  <c r="AM252"/>
  <c r="AF252"/>
  <c r="AE252"/>
  <c r="AO251"/>
  <c r="AN251"/>
  <c r="AM251"/>
  <c r="AL251"/>
  <c r="AK251"/>
  <c r="AH251"/>
  <c r="AQ251"/>
  <c r="AG251"/>
  <c r="AP251"/>
  <c r="AF251"/>
  <c r="AE251"/>
  <c r="AO250"/>
  <c r="AO280"/>
  <c r="AN250"/>
  <c r="AN280"/>
  <c r="AM250"/>
  <c r="AF250"/>
  <c r="AF280"/>
  <c r="AE250"/>
  <c r="AE280"/>
  <c r="AO249"/>
  <c r="AN249"/>
  <c r="AM249"/>
  <c r="AL249"/>
  <c r="AK249"/>
  <c r="AH249"/>
  <c r="AQ249"/>
  <c r="AG249"/>
  <c r="AP249"/>
  <c r="AS249"/>
  <c r="AF249"/>
  <c r="AJ249"/>
  <c r="AE249"/>
  <c r="AQ248"/>
  <c r="AP248"/>
  <c r="AS248"/>
  <c r="AO247"/>
  <c r="AN247"/>
  <c r="AM247"/>
  <c r="AL247"/>
  <c r="AK247"/>
  <c r="AH247"/>
  <c r="AQ247"/>
  <c r="AG247"/>
  <c r="AP247"/>
  <c r="AS247"/>
  <c r="AF247"/>
  <c r="AJ247"/>
  <c r="AE247"/>
  <c r="AO246"/>
  <c r="AN246"/>
  <c r="AM246"/>
  <c r="AF246"/>
  <c r="AE246"/>
  <c r="AO245"/>
  <c r="AN245"/>
  <c r="AM245"/>
  <c r="AL245"/>
  <c r="AK245"/>
  <c r="AH245"/>
  <c r="AQ245"/>
  <c r="AG245"/>
  <c r="AP245"/>
  <c r="AF245"/>
  <c r="AE245"/>
  <c r="AO244"/>
  <c r="AN244"/>
  <c r="AM244"/>
  <c r="AF244"/>
  <c r="AE244"/>
  <c r="AO243"/>
  <c r="AN243"/>
  <c r="AM243"/>
  <c r="AL243"/>
  <c r="AK243"/>
  <c r="AH243"/>
  <c r="AJ243"/>
  <c r="AQ243"/>
  <c r="AG243"/>
  <c r="AP243"/>
  <c r="AS243"/>
  <c r="AF243"/>
  <c r="AE243"/>
  <c r="AO242"/>
  <c r="AN242"/>
  <c r="AM242"/>
  <c r="AF242"/>
  <c r="AE242"/>
  <c r="AO241"/>
  <c r="AN241"/>
  <c r="AM241"/>
  <c r="AL241"/>
  <c r="AK241"/>
  <c r="AH241"/>
  <c r="AQ241"/>
  <c r="AG241"/>
  <c r="AP241"/>
  <c r="AF241"/>
  <c r="AE241"/>
  <c r="AO240"/>
  <c r="AN240"/>
  <c r="AM240"/>
  <c r="AF240"/>
  <c r="AE240"/>
  <c r="AO239"/>
  <c r="AN239"/>
  <c r="AM239"/>
  <c r="AL239"/>
  <c r="AK239"/>
  <c r="AH239"/>
  <c r="AQ239"/>
  <c r="AG239"/>
  <c r="AP239"/>
  <c r="AF239"/>
  <c r="AE239"/>
  <c r="AI239"/>
  <c r="AO238"/>
  <c r="AN238"/>
  <c r="AM238"/>
  <c r="AF238"/>
  <c r="AE238"/>
  <c r="AQ237"/>
  <c r="AO237"/>
  <c r="AN237"/>
  <c r="AM237"/>
  <c r="AL237"/>
  <c r="AK237"/>
  <c r="AH237"/>
  <c r="AG237"/>
  <c r="AP237"/>
  <c r="AS237"/>
  <c r="AF237"/>
  <c r="AJ237"/>
  <c r="AE237"/>
  <c r="AI237"/>
  <c r="AO236"/>
  <c r="AN236"/>
  <c r="AM236"/>
  <c r="AF236"/>
  <c r="AE236"/>
  <c r="AO235"/>
  <c r="AN235"/>
  <c r="AM235"/>
  <c r="AL235"/>
  <c r="AK235"/>
  <c r="AH235"/>
  <c r="AQ235"/>
  <c r="AG235"/>
  <c r="AP235"/>
  <c r="AF235"/>
  <c r="AJ235"/>
  <c r="AE235"/>
  <c r="AO234"/>
  <c r="AN234"/>
  <c r="AF234"/>
  <c r="AE234"/>
  <c r="AO233"/>
  <c r="AN233"/>
  <c r="AM233"/>
  <c r="AL233"/>
  <c r="AK233"/>
  <c r="AH233"/>
  <c r="AJ233"/>
  <c r="AG233"/>
  <c r="AP233"/>
  <c r="AF233"/>
  <c r="AE233"/>
  <c r="AI233"/>
  <c r="AO232"/>
  <c r="AN232"/>
  <c r="AM232"/>
  <c r="AF232"/>
  <c r="AE232"/>
  <c r="AO231"/>
  <c r="AN231"/>
  <c r="AM231"/>
  <c r="AL231"/>
  <c r="AK231"/>
  <c r="AH231"/>
  <c r="AQ231"/>
  <c r="AG231"/>
  <c r="AP231"/>
  <c r="AF231"/>
  <c r="AE231"/>
  <c r="AO230"/>
  <c r="AN230"/>
  <c r="AM230"/>
  <c r="AF230"/>
  <c r="AE230"/>
  <c r="AO229"/>
  <c r="AN229"/>
  <c r="AM229"/>
  <c r="AL229"/>
  <c r="AK229"/>
  <c r="AH229"/>
  <c r="AQ229"/>
  <c r="AG229"/>
  <c r="AP229"/>
  <c r="AS229"/>
  <c r="AF229"/>
  <c r="AE229"/>
  <c r="AO228"/>
  <c r="AN228"/>
  <c r="AM228"/>
  <c r="AF228"/>
  <c r="AE228"/>
  <c r="AQ227"/>
  <c r="AS227"/>
  <c r="AP227"/>
  <c r="AQ226"/>
  <c r="AS226"/>
  <c r="AP226"/>
  <c r="AO225"/>
  <c r="AN225"/>
  <c r="AM225"/>
  <c r="AL225"/>
  <c r="AK225"/>
  <c r="AH225"/>
  <c r="AQ225"/>
  <c r="AG225"/>
  <c r="AI225"/>
  <c r="AF225"/>
  <c r="AE225"/>
  <c r="AO224"/>
  <c r="AN224"/>
  <c r="AF224"/>
  <c r="AE224"/>
  <c r="AO223"/>
  <c r="AN223"/>
  <c r="AM223"/>
  <c r="AL223"/>
  <c r="AK223"/>
  <c r="AH223"/>
  <c r="AQ223"/>
  <c r="AG223"/>
  <c r="AP223"/>
  <c r="AF223"/>
  <c r="AE223"/>
  <c r="AO222"/>
  <c r="AN222"/>
  <c r="AM222"/>
  <c r="AF222"/>
  <c r="AE222"/>
  <c r="AO221"/>
  <c r="AN221"/>
  <c r="AM221"/>
  <c r="AL221"/>
  <c r="AK221"/>
  <c r="AH221"/>
  <c r="AQ221"/>
  <c r="AG221"/>
  <c r="AP221"/>
  <c r="AF221"/>
  <c r="AE221"/>
  <c r="AO220"/>
  <c r="AN220"/>
  <c r="AM220"/>
  <c r="AF220"/>
  <c r="AE220"/>
  <c r="AO219"/>
  <c r="AN219"/>
  <c r="AM219"/>
  <c r="AL219"/>
  <c r="AK219"/>
  <c r="AH219"/>
  <c r="AQ219"/>
  <c r="AG219"/>
  <c r="AI219"/>
  <c r="AP219"/>
  <c r="AS219"/>
  <c r="AF219"/>
  <c r="AJ219"/>
  <c r="AE219"/>
  <c r="AO218"/>
  <c r="AN218"/>
  <c r="AM218"/>
  <c r="AF218"/>
  <c r="AE218"/>
  <c r="AO217"/>
  <c r="AN217"/>
  <c r="AM217"/>
  <c r="AL217"/>
  <c r="AK217"/>
  <c r="AH217"/>
  <c r="AQ217"/>
  <c r="AG217"/>
  <c r="AI217"/>
  <c r="AF217"/>
  <c r="AJ217"/>
  <c r="AE217"/>
  <c r="AO216"/>
  <c r="AN216"/>
  <c r="AM216"/>
  <c r="AF216"/>
  <c r="AE216"/>
  <c r="AQ215"/>
  <c r="AO215"/>
  <c r="AN215"/>
  <c r="AM215"/>
  <c r="AL215"/>
  <c r="AK215"/>
  <c r="AH215"/>
  <c r="AG215"/>
  <c r="AP215"/>
  <c r="AS215"/>
  <c r="AF215"/>
  <c r="AJ215"/>
  <c r="AE215"/>
  <c r="AI215"/>
  <c r="AO214"/>
  <c r="AN214"/>
  <c r="AM214"/>
  <c r="AF214"/>
  <c r="AE214"/>
  <c r="AO213"/>
  <c r="AN213"/>
  <c r="AM213"/>
  <c r="AL213"/>
  <c r="AK213"/>
  <c r="AH213"/>
  <c r="AQ213"/>
  <c r="AG213"/>
  <c r="AI213"/>
  <c r="AF213"/>
  <c r="AJ213"/>
  <c r="AE213"/>
  <c r="AO212"/>
  <c r="AN212"/>
  <c r="AM212"/>
  <c r="AF212"/>
  <c r="AE212"/>
  <c r="AO211"/>
  <c r="AN211"/>
  <c r="AM211"/>
  <c r="AL211"/>
  <c r="AK211"/>
  <c r="AH211"/>
  <c r="AQ211"/>
  <c r="AG211"/>
  <c r="AP211"/>
  <c r="AF211"/>
  <c r="AE211"/>
  <c r="AI211"/>
  <c r="AO210"/>
  <c r="AN210"/>
  <c r="AM210"/>
  <c r="AF210"/>
  <c r="AE210"/>
  <c r="AO209"/>
  <c r="AN209"/>
  <c r="AM209"/>
  <c r="AL209"/>
  <c r="AK209"/>
  <c r="AH209"/>
  <c r="AQ209"/>
  <c r="AG209"/>
  <c r="AP209"/>
  <c r="AF209"/>
  <c r="AJ209"/>
  <c r="AE209"/>
  <c r="AI209"/>
  <c r="AO208"/>
  <c r="AN208"/>
  <c r="AM208"/>
  <c r="AF208"/>
  <c r="AE208"/>
  <c r="AO207"/>
  <c r="AN207"/>
  <c r="AM207"/>
  <c r="AL207"/>
  <c r="AK207"/>
  <c r="AH207"/>
  <c r="AQ207"/>
  <c r="AG207"/>
  <c r="AI207"/>
  <c r="AF207"/>
  <c r="AJ207"/>
  <c r="AE207"/>
  <c r="AO206"/>
  <c r="AN206"/>
  <c r="AF206"/>
  <c r="AE206"/>
  <c r="AO205"/>
  <c r="AN205"/>
  <c r="AM205"/>
  <c r="AL205"/>
  <c r="AK205"/>
  <c r="AH205"/>
  <c r="AQ205"/>
  <c r="AG205"/>
  <c r="AP205"/>
  <c r="AF205"/>
  <c r="AJ205"/>
  <c r="AE205"/>
  <c r="AI205"/>
  <c r="AO204"/>
  <c r="AN204"/>
  <c r="AF204"/>
  <c r="AE204"/>
  <c r="AQ203"/>
  <c r="AO203"/>
  <c r="AN203"/>
  <c r="AM203"/>
  <c r="AL203"/>
  <c r="AK203"/>
  <c r="AH203"/>
  <c r="AJ203"/>
  <c r="AG203"/>
  <c r="AI203"/>
  <c r="AP203"/>
  <c r="AS203"/>
  <c r="AF203"/>
  <c r="AE203"/>
  <c r="AQ202"/>
  <c r="AP202"/>
  <c r="AS202"/>
  <c r="AO201"/>
  <c r="AN201"/>
  <c r="AM201"/>
  <c r="AL201"/>
  <c r="AK201"/>
  <c r="AH201"/>
  <c r="AQ201"/>
  <c r="AG201"/>
  <c r="AP201"/>
  <c r="AS201"/>
  <c r="AF201"/>
  <c r="AJ201"/>
  <c r="AE201"/>
  <c r="AO200"/>
  <c r="AN200"/>
  <c r="AF200"/>
  <c r="AE200"/>
  <c r="AO199"/>
  <c r="AN199"/>
  <c r="AM199"/>
  <c r="AL199"/>
  <c r="AK199"/>
  <c r="AH199"/>
  <c r="AQ199"/>
  <c r="AG199"/>
  <c r="AP199"/>
  <c r="AF199"/>
  <c r="AJ199"/>
  <c r="AE199"/>
  <c r="AO198"/>
  <c r="AN198"/>
  <c r="AF198"/>
  <c r="AE198"/>
  <c r="AO197"/>
  <c r="AN197"/>
  <c r="AM197"/>
  <c r="AL197"/>
  <c r="AK197"/>
  <c r="AH197"/>
  <c r="AJ197"/>
  <c r="AQ197"/>
  <c r="AG197"/>
  <c r="AP197"/>
  <c r="AS197"/>
  <c r="AF197"/>
  <c r="AE197"/>
  <c r="AI197"/>
  <c r="AO196"/>
  <c r="AN196"/>
  <c r="AM196"/>
  <c r="AF196"/>
  <c r="AE196"/>
  <c r="AO195"/>
  <c r="AN195"/>
  <c r="AM195"/>
  <c r="AL195"/>
  <c r="AK195"/>
  <c r="AH195"/>
  <c r="AQ195"/>
  <c r="AG195"/>
  <c r="AP195"/>
  <c r="AF195"/>
  <c r="AE195"/>
  <c r="AI195"/>
  <c r="AO194"/>
  <c r="AN194"/>
  <c r="AM194"/>
  <c r="AL194"/>
  <c r="AK194"/>
  <c r="AH194"/>
  <c r="AQ194"/>
  <c r="AG194"/>
  <c r="AP194"/>
  <c r="AS194"/>
  <c r="AF194"/>
  <c r="AE194"/>
  <c r="AQ193"/>
  <c r="AP193"/>
  <c r="AS193"/>
  <c r="AO192"/>
  <c r="AN192"/>
  <c r="AM192"/>
  <c r="AL192"/>
  <c r="AK192"/>
  <c r="AH192"/>
  <c r="AQ192"/>
  <c r="AG192"/>
  <c r="AI192"/>
  <c r="AF192"/>
  <c r="AE192"/>
  <c r="AO191"/>
  <c r="AO666"/>
  <c r="AN191"/>
  <c r="AN666"/>
  <c r="AF191"/>
  <c r="AF666"/>
  <c r="AE191"/>
  <c r="AE666"/>
  <c r="AQ190"/>
  <c r="AS190"/>
  <c r="AP190"/>
  <c r="AQ189"/>
  <c r="AP189"/>
  <c r="AS189"/>
  <c r="AQ188"/>
  <c r="AP188"/>
  <c r="AS188"/>
  <c r="AO185"/>
  <c r="AN185"/>
  <c r="AM185"/>
  <c r="AL185"/>
  <c r="AK185"/>
  <c r="AH185"/>
  <c r="AJ185"/>
  <c r="AG185"/>
  <c r="AP185"/>
  <c r="AF185"/>
  <c r="AE185"/>
  <c r="AQ184"/>
  <c r="AS184"/>
  <c r="AP184"/>
  <c r="AO183"/>
  <c r="AN183"/>
  <c r="AM183"/>
  <c r="AL183"/>
  <c r="AK183"/>
  <c r="AH183"/>
  <c r="AQ183"/>
  <c r="AG183"/>
  <c r="AP183"/>
  <c r="AF183"/>
  <c r="AE183"/>
  <c r="AO182"/>
  <c r="AN182"/>
  <c r="AM182"/>
  <c r="AF182"/>
  <c r="AE182"/>
  <c r="AO181"/>
  <c r="AN181"/>
  <c r="AM181"/>
  <c r="AL181"/>
  <c r="AK181"/>
  <c r="AH181"/>
  <c r="AQ181"/>
  <c r="AG181"/>
  <c r="AP181"/>
  <c r="AS181"/>
  <c r="AF181"/>
  <c r="AE181"/>
  <c r="AQ180"/>
  <c r="AP180"/>
  <c r="AS180"/>
  <c r="AO179"/>
  <c r="AN179"/>
  <c r="AM179"/>
  <c r="AL179"/>
  <c r="AK179"/>
  <c r="AH179"/>
  <c r="AQ179"/>
  <c r="AG179"/>
  <c r="AP179"/>
  <c r="AS179"/>
  <c r="AF179"/>
  <c r="AE179"/>
  <c r="AO178"/>
  <c r="AN178"/>
  <c r="AM178"/>
  <c r="AF178"/>
  <c r="AE178"/>
  <c r="AP177"/>
  <c r="AS177"/>
  <c r="AO177"/>
  <c r="AN177"/>
  <c r="AM177"/>
  <c r="AL177"/>
  <c r="AK177"/>
  <c r="AH177"/>
  <c r="AQ177"/>
  <c r="AG177"/>
  <c r="AF177"/>
  <c r="AE177"/>
  <c r="AI177"/>
  <c r="AQ176"/>
  <c r="AP176"/>
  <c r="AS176"/>
  <c r="AQ175"/>
  <c r="AO175"/>
  <c r="AN175"/>
  <c r="AM175"/>
  <c r="AL175"/>
  <c r="AK175"/>
  <c r="AH175"/>
  <c r="AJ175"/>
  <c r="AG175"/>
  <c r="AP175"/>
  <c r="AS175"/>
  <c r="AF175"/>
  <c r="AE175"/>
  <c r="AI175"/>
  <c r="AO174"/>
  <c r="AN174"/>
  <c r="AM174"/>
  <c r="AF174"/>
  <c r="AE174"/>
  <c r="AO173"/>
  <c r="AN173"/>
  <c r="AM173"/>
  <c r="AL173"/>
  <c r="AK173"/>
  <c r="AH173"/>
  <c r="AQ173"/>
  <c r="AG173"/>
  <c r="AI173"/>
  <c r="AP173"/>
  <c r="AS173"/>
  <c r="AF173"/>
  <c r="AE173"/>
  <c r="AO172"/>
  <c r="AN172"/>
  <c r="AM172"/>
  <c r="AF172"/>
  <c r="AE172"/>
  <c r="AO171"/>
  <c r="AN171"/>
  <c r="AM171"/>
  <c r="AL171"/>
  <c r="AK171"/>
  <c r="AH171"/>
  <c r="AQ171"/>
  <c r="AG171"/>
  <c r="AI171"/>
  <c r="AF171"/>
  <c r="AJ171"/>
  <c r="AE171"/>
  <c r="AO170"/>
  <c r="AN170"/>
  <c r="AM170"/>
  <c r="AL170"/>
  <c r="AK170"/>
  <c r="AH170"/>
  <c r="AQ170"/>
  <c r="AG170"/>
  <c r="AP170"/>
  <c r="AF170"/>
  <c r="AE170"/>
  <c r="AQ169"/>
  <c r="AS169"/>
  <c r="AP169"/>
  <c r="AO168"/>
  <c r="AN168"/>
  <c r="AM168"/>
  <c r="AL168"/>
  <c r="AK168"/>
  <c r="AH168"/>
  <c r="AQ168"/>
  <c r="AG168"/>
  <c r="AP168"/>
  <c r="AF168"/>
  <c r="AE168"/>
  <c r="AI168"/>
  <c r="AO167"/>
  <c r="AN167"/>
  <c r="AM167"/>
  <c r="AF167"/>
  <c r="AE167"/>
  <c r="AP166"/>
  <c r="AS166"/>
  <c r="AO166"/>
  <c r="AN166"/>
  <c r="AM166"/>
  <c r="AL166"/>
  <c r="AK166"/>
  <c r="AH166"/>
  <c r="AQ166"/>
  <c r="AG166"/>
  <c r="AF166"/>
  <c r="AE166"/>
  <c r="AI166"/>
  <c r="AO165"/>
  <c r="AN165"/>
  <c r="AM165"/>
  <c r="AF165"/>
  <c r="AE165"/>
  <c r="AP164"/>
  <c r="AS164"/>
  <c r="AO164"/>
  <c r="AN164"/>
  <c r="AM164"/>
  <c r="AL164"/>
  <c r="AK164"/>
  <c r="AH164"/>
  <c r="AQ164"/>
  <c r="AG164"/>
  <c r="AF164"/>
  <c r="AE164"/>
  <c r="AI164"/>
  <c r="AO163"/>
  <c r="AN163"/>
  <c r="AM163"/>
  <c r="AF163"/>
  <c r="AE163"/>
  <c r="AP162"/>
  <c r="AO162"/>
  <c r="AN162"/>
  <c r="AM162"/>
  <c r="AL162"/>
  <c r="AK162"/>
  <c r="AH162"/>
  <c r="AG162"/>
  <c r="AF162"/>
  <c r="AE162"/>
  <c r="AI162"/>
  <c r="AO161"/>
  <c r="AN161"/>
  <c r="AM161"/>
  <c r="AF161"/>
  <c r="AE161"/>
  <c r="AO160"/>
  <c r="AN160"/>
  <c r="AM160"/>
  <c r="AL160"/>
  <c r="AK160"/>
  <c r="AH160"/>
  <c r="AQ160"/>
  <c r="AG160"/>
  <c r="AP160"/>
  <c r="AS160"/>
  <c r="AF160"/>
  <c r="AE160"/>
  <c r="AQ159"/>
  <c r="AP159"/>
  <c r="AS159"/>
  <c r="AO158"/>
  <c r="AN158"/>
  <c r="AM158"/>
  <c r="AL158"/>
  <c r="AK158"/>
  <c r="AH158"/>
  <c r="AQ158"/>
  <c r="AG158"/>
  <c r="AF158"/>
  <c r="AE158"/>
  <c r="AI158"/>
  <c r="AO157"/>
  <c r="AN157"/>
  <c r="AM157"/>
  <c r="AF157"/>
  <c r="AE157"/>
  <c r="AO156"/>
  <c r="AN156"/>
  <c r="AM156"/>
  <c r="AL156"/>
  <c r="AK156"/>
  <c r="AH156"/>
  <c r="AQ156"/>
  <c r="AG156"/>
  <c r="AI156"/>
  <c r="AF156"/>
  <c r="AE156"/>
  <c r="AO155"/>
  <c r="AN155"/>
  <c r="AM155"/>
  <c r="AF155"/>
  <c r="AE155"/>
  <c r="AO154"/>
  <c r="AN154"/>
  <c r="AM154"/>
  <c r="AL154"/>
  <c r="AK154"/>
  <c r="AH154"/>
  <c r="AQ154"/>
  <c r="AG154"/>
  <c r="AP154"/>
  <c r="AF154"/>
  <c r="AE154"/>
  <c r="AI154"/>
  <c r="AO153"/>
  <c r="AN153"/>
  <c r="AM153"/>
  <c r="AF153"/>
  <c r="AE153"/>
  <c r="AO152"/>
  <c r="AN152"/>
  <c r="AM152"/>
  <c r="AL152"/>
  <c r="AK152"/>
  <c r="AH152"/>
  <c r="AQ152"/>
  <c r="AG152"/>
  <c r="AP152"/>
  <c r="AS152"/>
  <c r="AF152"/>
  <c r="AE152"/>
  <c r="AO151"/>
  <c r="AN151"/>
  <c r="AM151"/>
  <c r="AF151"/>
  <c r="AE151"/>
  <c r="AO150"/>
  <c r="AN150"/>
  <c r="AM150"/>
  <c r="AL150"/>
  <c r="AK150"/>
  <c r="AH150"/>
  <c r="AQ150"/>
  <c r="AG150"/>
  <c r="AP150"/>
  <c r="AF150"/>
  <c r="AE150"/>
  <c r="AI150"/>
  <c r="AO149"/>
  <c r="AN149"/>
  <c r="AM149"/>
  <c r="AF149"/>
  <c r="AE149"/>
  <c r="AO148"/>
  <c r="AN148"/>
  <c r="AM148"/>
  <c r="AL148"/>
  <c r="AK148"/>
  <c r="AH148"/>
  <c r="AQ148"/>
  <c r="AG148"/>
  <c r="AP148"/>
  <c r="AS148"/>
  <c r="AF148"/>
  <c r="AJ148"/>
  <c r="AE148"/>
  <c r="AI148"/>
  <c r="AO147"/>
  <c r="AN147"/>
  <c r="AM147"/>
  <c r="AF147"/>
  <c r="AE147"/>
  <c r="AP146"/>
  <c r="AO146"/>
  <c r="AN146"/>
  <c r="AM146"/>
  <c r="AL146"/>
  <c r="AK146"/>
  <c r="AH146"/>
  <c r="AJ146"/>
  <c r="AG146"/>
  <c r="AF146"/>
  <c r="AE146"/>
  <c r="AI146"/>
  <c r="AO145"/>
  <c r="AN145"/>
  <c r="AM145"/>
  <c r="AF145"/>
  <c r="AE145"/>
  <c r="AO144"/>
  <c r="AN144"/>
  <c r="AM144"/>
  <c r="AL144"/>
  <c r="AK144"/>
  <c r="AH144"/>
  <c r="AQ144"/>
  <c r="AG144"/>
  <c r="AF144"/>
  <c r="AJ144"/>
  <c r="AE144"/>
  <c r="AO143"/>
  <c r="AM143"/>
  <c r="AF143"/>
  <c r="AP142"/>
  <c r="AS142"/>
  <c r="AO142"/>
  <c r="AN142"/>
  <c r="AM142"/>
  <c r="AL142"/>
  <c r="AK142"/>
  <c r="AH142"/>
  <c r="AQ142"/>
  <c r="AG142"/>
  <c r="AF142"/>
  <c r="AE142"/>
  <c r="AI142"/>
  <c r="AO141"/>
  <c r="AN141"/>
  <c r="AM141"/>
  <c r="AF141"/>
  <c r="AE141"/>
  <c r="AO140"/>
  <c r="AN140"/>
  <c r="AM140"/>
  <c r="AL140"/>
  <c r="AK140"/>
  <c r="AH140"/>
  <c r="AQ140"/>
  <c r="AG140"/>
  <c r="AP140"/>
  <c r="AS140"/>
  <c r="AF140"/>
  <c r="AJ140"/>
  <c r="AE140"/>
  <c r="AI140"/>
  <c r="AQ139"/>
  <c r="AP139"/>
  <c r="AS139"/>
  <c r="AO138"/>
  <c r="AN138"/>
  <c r="AM138"/>
  <c r="AL138"/>
  <c r="AK138"/>
  <c r="AH138"/>
  <c r="AQ138"/>
  <c r="AG138"/>
  <c r="AP138"/>
  <c r="AF138"/>
  <c r="AJ138"/>
  <c r="AE138"/>
  <c r="AO137"/>
  <c r="AN137"/>
  <c r="AM137"/>
  <c r="AF137"/>
  <c r="AE137"/>
  <c r="AO136"/>
  <c r="AN136"/>
  <c r="AM136"/>
  <c r="AL136"/>
  <c r="AK136"/>
  <c r="AH136"/>
  <c r="AQ136"/>
  <c r="AG136"/>
  <c r="AP136"/>
  <c r="AF136"/>
  <c r="AJ136"/>
  <c r="AE136"/>
  <c r="AO135"/>
  <c r="AN135"/>
  <c r="AM135"/>
  <c r="AF135"/>
  <c r="AE135"/>
  <c r="AO134"/>
  <c r="AN134"/>
  <c r="AM134"/>
  <c r="AL134"/>
  <c r="AK134"/>
  <c r="AH134"/>
  <c r="AJ134"/>
  <c r="AG134"/>
  <c r="AP134"/>
  <c r="AF134"/>
  <c r="AE134"/>
  <c r="AQ133"/>
  <c r="AS133"/>
  <c r="AP133"/>
  <c r="AO132"/>
  <c r="AN132"/>
  <c r="AM132"/>
  <c r="AL132"/>
  <c r="AK132"/>
  <c r="AH132"/>
  <c r="AG132"/>
  <c r="AP132"/>
  <c r="AF132"/>
  <c r="AE132"/>
  <c r="AO131"/>
  <c r="AN131"/>
  <c r="AM131"/>
  <c r="AF131"/>
  <c r="AE131"/>
  <c r="AO130"/>
  <c r="AN130"/>
  <c r="AM130"/>
  <c r="AL130"/>
  <c r="AK130"/>
  <c r="AH130"/>
  <c r="AQ130"/>
  <c r="AG130"/>
  <c r="AP130"/>
  <c r="AF130"/>
  <c r="AJ130"/>
  <c r="AE130"/>
  <c r="AO129"/>
  <c r="AN129"/>
  <c r="AM129"/>
  <c r="AF129"/>
  <c r="AE129"/>
  <c r="AO128"/>
  <c r="AN128"/>
  <c r="AM128"/>
  <c r="AL128"/>
  <c r="AK128"/>
  <c r="AH128"/>
  <c r="AG128"/>
  <c r="AP128"/>
  <c r="AF128"/>
  <c r="AE128"/>
  <c r="AQ127"/>
  <c r="AP127"/>
  <c r="AS127"/>
  <c r="AO126"/>
  <c r="AN126"/>
  <c r="AM126"/>
  <c r="AL126"/>
  <c r="AK126"/>
  <c r="AH126"/>
  <c r="AQ126"/>
  <c r="AG126"/>
  <c r="AP126"/>
  <c r="AF126"/>
  <c r="AE126"/>
  <c r="AO125"/>
  <c r="AN125"/>
  <c r="AM125"/>
  <c r="AF125"/>
  <c r="AE125"/>
  <c r="AO124"/>
  <c r="AN124"/>
  <c r="AM124"/>
  <c r="AL124"/>
  <c r="AK124"/>
  <c r="AH124"/>
  <c r="AQ124"/>
  <c r="AG124"/>
  <c r="AP124"/>
  <c r="AS124"/>
  <c r="AF124"/>
  <c r="AE124"/>
  <c r="AO123"/>
  <c r="AN123"/>
  <c r="AM123"/>
  <c r="AF123"/>
  <c r="AE123"/>
  <c r="AO122"/>
  <c r="AN122"/>
  <c r="AM122"/>
  <c r="AL122"/>
  <c r="AK122"/>
  <c r="AH122"/>
  <c r="AQ122"/>
  <c r="AG122"/>
  <c r="AP122"/>
  <c r="AF122"/>
  <c r="AE122"/>
  <c r="AQ121"/>
  <c r="AP121"/>
  <c r="AS121"/>
  <c r="AO120"/>
  <c r="AN120"/>
  <c r="AM120"/>
  <c r="AL120"/>
  <c r="AK120"/>
  <c r="AH120"/>
  <c r="AQ120"/>
  <c r="AG120"/>
  <c r="AP120"/>
  <c r="AF120"/>
  <c r="AE120"/>
  <c r="AO119"/>
  <c r="AN119"/>
  <c r="AM119"/>
  <c r="AF119"/>
  <c r="AE119"/>
  <c r="AO118"/>
  <c r="AN118"/>
  <c r="AM118"/>
  <c r="AL118"/>
  <c r="AK118"/>
  <c r="AH118"/>
  <c r="AQ118"/>
  <c r="AG118"/>
  <c r="AP118"/>
  <c r="AF118"/>
  <c r="AJ118"/>
  <c r="AE118"/>
  <c r="AO117"/>
  <c r="AN117"/>
  <c r="AM117"/>
  <c r="AF117"/>
  <c r="AE117"/>
  <c r="AO116"/>
  <c r="AN116"/>
  <c r="AM116"/>
  <c r="AL116"/>
  <c r="AK116"/>
  <c r="AH116"/>
  <c r="AQ116"/>
  <c r="AG116"/>
  <c r="AP116"/>
  <c r="AF116"/>
  <c r="AE116"/>
  <c r="AO115"/>
  <c r="AN115"/>
  <c r="AM115"/>
  <c r="AF115"/>
  <c r="AE115"/>
  <c r="AO114"/>
  <c r="AN114"/>
  <c r="AM114"/>
  <c r="AL114"/>
  <c r="AK114"/>
  <c r="AH114"/>
  <c r="AQ114"/>
  <c r="AG114"/>
  <c r="AP114"/>
  <c r="AF114"/>
  <c r="AE114"/>
  <c r="AO113"/>
  <c r="AN113"/>
  <c r="AM113"/>
  <c r="AF113"/>
  <c r="AE113"/>
  <c r="AO112"/>
  <c r="AN112"/>
  <c r="AM112"/>
  <c r="AL112"/>
  <c r="AK112"/>
  <c r="AH112"/>
  <c r="AG112"/>
  <c r="AP112"/>
  <c r="AF112"/>
  <c r="AE112"/>
  <c r="AO111"/>
  <c r="AN111"/>
  <c r="AM111"/>
  <c r="AF111"/>
  <c r="AE111"/>
  <c r="AQ110"/>
  <c r="AO110"/>
  <c r="AN110"/>
  <c r="AM110"/>
  <c r="AL110"/>
  <c r="AK110"/>
  <c r="AH110"/>
  <c r="AG110"/>
  <c r="AP110"/>
  <c r="AS110"/>
  <c r="AF110"/>
  <c r="AE110"/>
  <c r="AO109"/>
  <c r="AN109"/>
  <c r="AM109"/>
  <c r="AF109"/>
  <c r="AE109"/>
  <c r="AO108"/>
  <c r="AN108"/>
  <c r="AM108"/>
  <c r="AL108"/>
  <c r="AK108"/>
  <c r="AH108"/>
  <c r="AJ108"/>
  <c r="AG108"/>
  <c r="AP108"/>
  <c r="AF108"/>
  <c r="AE108"/>
  <c r="AO107"/>
  <c r="AN107"/>
  <c r="AM107"/>
  <c r="AF107"/>
  <c r="AE107"/>
  <c r="AO106"/>
  <c r="AN106"/>
  <c r="AM106"/>
  <c r="AL106"/>
  <c r="AK106"/>
  <c r="AH106"/>
  <c r="AG106"/>
  <c r="AP106"/>
  <c r="AF106"/>
  <c r="AE106"/>
  <c r="AO105"/>
  <c r="AN105"/>
  <c r="AM105"/>
  <c r="AF105"/>
  <c r="AE105"/>
  <c r="AO104"/>
  <c r="AN104"/>
  <c r="AM104"/>
  <c r="AL104"/>
  <c r="AK104"/>
  <c r="AH104"/>
  <c r="AQ104"/>
  <c r="AG104"/>
  <c r="AP104"/>
  <c r="AF104"/>
  <c r="AE104"/>
  <c r="AO103"/>
  <c r="AN103"/>
  <c r="AM103"/>
  <c r="AF103"/>
  <c r="AE103"/>
  <c r="AO102"/>
  <c r="AN102"/>
  <c r="AM102"/>
  <c r="AL102"/>
  <c r="AK102"/>
  <c r="AH102"/>
  <c r="AQ102"/>
  <c r="AG102"/>
  <c r="AP102"/>
  <c r="AS102"/>
  <c r="AF102"/>
  <c r="AE102"/>
  <c r="AI102"/>
  <c r="AO101"/>
  <c r="AN101"/>
  <c r="AM101"/>
  <c r="AF101"/>
  <c r="AE101"/>
  <c r="AO100"/>
  <c r="AN100"/>
  <c r="AM100"/>
  <c r="AL100"/>
  <c r="AK100"/>
  <c r="AH100"/>
  <c r="AQ100"/>
  <c r="AG100"/>
  <c r="AP100"/>
  <c r="AF100"/>
  <c r="AE100"/>
  <c r="AO99"/>
  <c r="AN99"/>
  <c r="AM99"/>
  <c r="AF99"/>
  <c r="AE99"/>
  <c r="AO98"/>
  <c r="AN98"/>
  <c r="AM98"/>
  <c r="AL98"/>
  <c r="AK98"/>
  <c r="AH98"/>
  <c r="AQ98"/>
  <c r="AG98"/>
  <c r="AP98"/>
  <c r="AF98"/>
  <c r="AE98"/>
  <c r="AO97"/>
  <c r="AN97"/>
  <c r="AM97"/>
  <c r="AF97"/>
  <c r="AE97"/>
  <c r="AO96"/>
  <c r="AN96"/>
  <c r="AM96"/>
  <c r="AL96"/>
  <c r="AK96"/>
  <c r="AH96"/>
  <c r="AQ96"/>
  <c r="AG96"/>
  <c r="AP96"/>
  <c r="AF96"/>
  <c r="AE96"/>
  <c r="AQ95"/>
  <c r="AP95"/>
  <c r="AS95"/>
  <c r="AO94"/>
  <c r="AN94"/>
  <c r="AM94"/>
  <c r="AL94"/>
  <c r="AK94"/>
  <c r="AH94"/>
  <c r="AQ94"/>
  <c r="AG94"/>
  <c r="AP94"/>
  <c r="AF94"/>
  <c r="AE94"/>
  <c r="AO93"/>
  <c r="AN93"/>
  <c r="AM93"/>
  <c r="AF93"/>
  <c r="AE93"/>
  <c r="AO92"/>
  <c r="AN92"/>
  <c r="AM92"/>
  <c r="AL92"/>
  <c r="AK92"/>
  <c r="AH92"/>
  <c r="AJ92"/>
  <c r="AG92"/>
  <c r="AP92"/>
  <c r="AF92"/>
  <c r="AE92"/>
  <c r="AI92"/>
  <c r="AO91"/>
  <c r="AN91"/>
  <c r="AM91"/>
  <c r="AF91"/>
  <c r="AE91"/>
  <c r="AO90"/>
  <c r="AN90"/>
  <c r="AM90"/>
  <c r="AL90"/>
  <c r="AK90"/>
  <c r="AH90"/>
  <c r="AQ90"/>
  <c r="AG90"/>
  <c r="AP90"/>
  <c r="AF90"/>
  <c r="AE90"/>
  <c r="AO89"/>
  <c r="AN89"/>
  <c r="AM89"/>
  <c r="AF89"/>
  <c r="AE89"/>
  <c r="AO88"/>
  <c r="AN88"/>
  <c r="AM88"/>
  <c r="AL88"/>
  <c r="AK88"/>
  <c r="AH88"/>
  <c r="AQ88"/>
  <c r="AG88"/>
  <c r="AP88"/>
  <c r="AS88"/>
  <c r="AF88"/>
  <c r="AE88"/>
  <c r="AO87"/>
  <c r="AN87"/>
  <c r="AM87"/>
  <c r="AF87"/>
  <c r="AE87"/>
  <c r="AO86"/>
  <c r="AN86"/>
  <c r="AM86"/>
  <c r="AL86"/>
  <c r="AK86"/>
  <c r="AH86"/>
  <c r="AQ86"/>
  <c r="AG86"/>
  <c r="AP86"/>
  <c r="AS86"/>
  <c r="AF86"/>
  <c r="AE86"/>
  <c r="AO85"/>
  <c r="AN85"/>
  <c r="AM85"/>
  <c r="AF85"/>
  <c r="AE85"/>
  <c r="AO84"/>
  <c r="AN84"/>
  <c r="AM84"/>
  <c r="AL84"/>
  <c r="AK84"/>
  <c r="AH84"/>
  <c r="AQ84"/>
  <c r="AG84"/>
  <c r="AI84"/>
  <c r="AF84"/>
  <c r="AE84"/>
  <c r="AN83"/>
  <c r="AM83"/>
  <c r="AE83"/>
  <c r="AP82"/>
  <c r="AS82"/>
  <c r="AO82"/>
  <c r="AN82"/>
  <c r="AM82"/>
  <c r="AL82"/>
  <c r="AK82"/>
  <c r="AH82"/>
  <c r="AQ82"/>
  <c r="AG82"/>
  <c r="AF82"/>
  <c r="AE82"/>
  <c r="AI82"/>
  <c r="AO81"/>
  <c r="AN81"/>
  <c r="AM81"/>
  <c r="AF81"/>
  <c r="AE81"/>
  <c r="AO80"/>
  <c r="AN80"/>
  <c r="AM80"/>
  <c r="AL80"/>
  <c r="AK80"/>
  <c r="AH80"/>
  <c r="AQ80"/>
  <c r="AG80"/>
  <c r="AP80"/>
  <c r="AS80"/>
  <c r="AI80"/>
  <c r="AF80"/>
  <c r="AE80"/>
  <c r="AO79"/>
  <c r="AN79"/>
  <c r="AM79"/>
  <c r="AF79"/>
  <c r="AE79"/>
  <c r="AO78"/>
  <c r="AN78"/>
  <c r="AM78"/>
  <c r="AL78"/>
  <c r="AK78"/>
  <c r="AH78"/>
  <c r="AQ78"/>
  <c r="AG78"/>
  <c r="AI78"/>
  <c r="AF78"/>
  <c r="AE78"/>
  <c r="AO77"/>
  <c r="AN77"/>
  <c r="AM77"/>
  <c r="AF77"/>
  <c r="AE77"/>
  <c r="AO76"/>
  <c r="AN76"/>
  <c r="AM76"/>
  <c r="AL76"/>
  <c r="AK76"/>
  <c r="AH76"/>
  <c r="AQ76"/>
  <c r="AG76"/>
  <c r="AP76"/>
  <c r="AS76"/>
  <c r="AF76"/>
  <c r="AE76"/>
  <c r="AO75"/>
  <c r="AN75"/>
  <c r="AM75"/>
  <c r="AF75"/>
  <c r="AE75"/>
  <c r="AO74"/>
  <c r="AN74"/>
  <c r="AM74"/>
  <c r="AL74"/>
  <c r="AK74"/>
  <c r="AH74"/>
  <c r="AQ74"/>
  <c r="AG74"/>
  <c r="AI74"/>
  <c r="AF74"/>
  <c r="AE74"/>
  <c r="AO73"/>
  <c r="AN73"/>
  <c r="AM73"/>
  <c r="AF73"/>
  <c r="AE73"/>
  <c r="AO72"/>
  <c r="AN72"/>
  <c r="AM72"/>
  <c r="AL72"/>
  <c r="AK72"/>
  <c r="AH72"/>
  <c r="AQ72"/>
  <c r="AG72"/>
  <c r="AP72"/>
  <c r="AS72"/>
  <c r="AF72"/>
  <c r="AE72"/>
  <c r="AO71"/>
  <c r="AN71"/>
  <c r="AM71"/>
  <c r="AF71"/>
  <c r="AE71"/>
  <c r="AO70"/>
  <c r="AN70"/>
  <c r="AM70"/>
  <c r="AL70"/>
  <c r="AK70"/>
  <c r="AH70"/>
  <c r="AQ70"/>
  <c r="AG70"/>
  <c r="AI70"/>
  <c r="AF70"/>
  <c r="AE70"/>
  <c r="AO69"/>
  <c r="AN69"/>
  <c r="AM69"/>
  <c r="AF69"/>
  <c r="AE69"/>
  <c r="AO68"/>
  <c r="AN68"/>
  <c r="AM68"/>
  <c r="AL68"/>
  <c r="AK68"/>
  <c r="AH68"/>
  <c r="AQ68"/>
  <c r="AG68"/>
  <c r="AP68"/>
  <c r="AS68"/>
  <c r="AF68"/>
  <c r="AE68"/>
  <c r="AR67"/>
  <c r="AO66"/>
  <c r="AN66"/>
  <c r="AM66"/>
  <c r="AL66"/>
  <c r="AK66"/>
  <c r="AH66"/>
  <c r="AQ66"/>
  <c r="AG66"/>
  <c r="AI66"/>
  <c r="AF66"/>
  <c r="AJ66"/>
  <c r="AE66"/>
  <c r="AO65"/>
  <c r="AN65"/>
  <c r="AM65"/>
  <c r="AF65"/>
  <c r="AE65"/>
  <c r="AO64"/>
  <c r="AN64"/>
  <c r="AM64"/>
  <c r="AL64"/>
  <c r="AK64"/>
  <c r="AH64"/>
  <c r="AQ64"/>
  <c r="AG64"/>
  <c r="AP64"/>
  <c r="AF64"/>
  <c r="AE64"/>
  <c r="AO63"/>
  <c r="AN63"/>
  <c r="AM63"/>
  <c r="AF63"/>
  <c r="AE63"/>
  <c r="AO62"/>
  <c r="AN62"/>
  <c r="AM62"/>
  <c r="AL62"/>
  <c r="AK62"/>
  <c r="AH62"/>
  <c r="AQ62"/>
  <c r="AG62"/>
  <c r="AP62"/>
  <c r="AS62"/>
  <c r="AF62"/>
  <c r="AJ62"/>
  <c r="AE62"/>
  <c r="AO61"/>
  <c r="AN61"/>
  <c r="AM61"/>
  <c r="AF61"/>
  <c r="AE61"/>
  <c r="AO60"/>
  <c r="AN60"/>
  <c r="AM60"/>
  <c r="AL60"/>
  <c r="AK60"/>
  <c r="AH60"/>
  <c r="AQ60"/>
  <c r="AG60"/>
  <c r="AP60"/>
  <c r="AF60"/>
  <c r="AJ60"/>
  <c r="AE60"/>
  <c r="AN59"/>
  <c r="AM59"/>
  <c r="AE59"/>
  <c r="AO58"/>
  <c r="AN58"/>
  <c r="AM58"/>
  <c r="AL58"/>
  <c r="AK58"/>
  <c r="AH58"/>
  <c r="AJ58"/>
  <c r="AG58"/>
  <c r="AP58"/>
  <c r="AF58"/>
  <c r="AE58"/>
  <c r="AO57"/>
  <c r="AN57"/>
  <c r="AM57"/>
  <c r="AF57"/>
  <c r="AE57"/>
  <c r="AO56"/>
  <c r="AN56"/>
  <c r="AM56"/>
  <c r="AL56"/>
  <c r="AK56"/>
  <c r="AH56"/>
  <c r="AQ56"/>
  <c r="AG56"/>
  <c r="AP56"/>
  <c r="AF56"/>
  <c r="AJ56"/>
  <c r="AE56"/>
  <c r="AO55"/>
  <c r="AN55"/>
  <c r="AM55"/>
  <c r="AF55"/>
  <c r="AE55"/>
  <c r="AO54"/>
  <c r="AN54"/>
  <c r="AM54"/>
  <c r="AL54"/>
  <c r="AK54"/>
  <c r="AH54"/>
  <c r="AQ54"/>
  <c r="AG54"/>
  <c r="AP54"/>
  <c r="AS54"/>
  <c r="AF54"/>
  <c r="AJ54"/>
  <c r="AE54"/>
  <c r="AO53"/>
  <c r="AN53"/>
  <c r="AM53"/>
  <c r="AF53"/>
  <c r="AE53"/>
  <c r="AO52"/>
  <c r="AN52"/>
  <c r="AM52"/>
  <c r="AL52"/>
  <c r="AK52"/>
  <c r="AH52"/>
  <c r="AQ52"/>
  <c r="AG52"/>
  <c r="AP52"/>
  <c r="AF52"/>
  <c r="AJ52"/>
  <c r="AE52"/>
  <c r="AI52"/>
  <c r="AO51"/>
  <c r="AM51"/>
  <c r="AF51"/>
  <c r="AO50"/>
  <c r="AN50"/>
  <c r="AM50"/>
  <c r="AL50"/>
  <c r="AK50"/>
  <c r="AH50"/>
  <c r="AJ50"/>
  <c r="AG50"/>
  <c r="AP50"/>
  <c r="AS50"/>
  <c r="AF50"/>
  <c r="AE50"/>
  <c r="AI50"/>
  <c r="AO49"/>
  <c r="AN49"/>
  <c r="AM49"/>
  <c r="AF49"/>
  <c r="AE49"/>
  <c r="AQ48"/>
  <c r="AO48"/>
  <c r="AN48"/>
  <c r="AM48"/>
  <c r="AL48"/>
  <c r="AK48"/>
  <c r="AH48"/>
  <c r="AG48"/>
  <c r="AP48"/>
  <c r="AS48"/>
  <c r="AF48"/>
  <c r="AJ48"/>
  <c r="AE48"/>
  <c r="AI48"/>
  <c r="AO47"/>
  <c r="AN47"/>
  <c r="AM47"/>
  <c r="AF47"/>
  <c r="AE47"/>
  <c r="AQ46"/>
  <c r="AO46"/>
  <c r="AN46"/>
  <c r="AM46"/>
  <c r="AL46"/>
  <c r="AK46"/>
  <c r="AH46"/>
  <c r="AJ46"/>
  <c r="AG46"/>
  <c r="AI46"/>
  <c r="AP46"/>
  <c r="AS46"/>
  <c r="AF46"/>
  <c r="AE46"/>
  <c r="AO45"/>
  <c r="AN45"/>
  <c r="AM45"/>
  <c r="AF45"/>
  <c r="AE45"/>
  <c r="AO44"/>
  <c r="AN44"/>
  <c r="AM44"/>
  <c r="AL44"/>
  <c r="AK44"/>
  <c r="AH44"/>
  <c r="AQ44"/>
  <c r="AG44"/>
  <c r="AP44"/>
  <c r="AF44"/>
  <c r="AE44"/>
  <c r="AI44"/>
  <c r="AN43"/>
  <c r="AM43"/>
  <c r="AE43"/>
  <c r="AO42"/>
  <c r="AN42"/>
  <c r="AM42"/>
  <c r="AL42"/>
  <c r="AK42"/>
  <c r="AH42"/>
  <c r="AQ42"/>
  <c r="AG42"/>
  <c r="AP42"/>
  <c r="AF42"/>
  <c r="AJ42"/>
  <c r="AE42"/>
  <c r="AI42"/>
  <c r="AO41"/>
  <c r="AN41"/>
  <c r="AM41"/>
  <c r="AF41"/>
  <c r="AE41"/>
  <c r="AO40"/>
  <c r="AN40"/>
  <c r="AM40"/>
  <c r="AL40"/>
  <c r="AK40"/>
  <c r="AH40"/>
  <c r="AQ40"/>
  <c r="AG40"/>
  <c r="AP40"/>
  <c r="AS40"/>
  <c r="AF40"/>
  <c r="AE40"/>
  <c r="AO39"/>
  <c r="AN39"/>
  <c r="AM39"/>
  <c r="AF39"/>
  <c r="AE39"/>
  <c r="AO38"/>
  <c r="AN38"/>
  <c r="AM38"/>
  <c r="AL38"/>
  <c r="AK38"/>
  <c r="AH38"/>
  <c r="AJ38"/>
  <c r="AG38"/>
  <c r="AP38"/>
  <c r="AF38"/>
  <c r="AE38"/>
  <c r="AO37"/>
  <c r="AN37"/>
  <c r="AM37"/>
  <c r="AF37"/>
  <c r="AE37"/>
  <c r="AO36"/>
  <c r="AN36"/>
  <c r="AM36"/>
  <c r="AL36"/>
  <c r="AK36"/>
  <c r="AH36"/>
  <c r="AJ36"/>
  <c r="AG36"/>
  <c r="AP36"/>
  <c r="AS36"/>
  <c r="AF36"/>
  <c r="AE36"/>
  <c r="AO35"/>
  <c r="AN35"/>
  <c r="AM35"/>
  <c r="AF35"/>
  <c r="AE35"/>
  <c r="AO34"/>
  <c r="AN34"/>
  <c r="AM34"/>
  <c r="AL34"/>
  <c r="AK34"/>
  <c r="AH34"/>
  <c r="AJ34"/>
  <c r="AG34"/>
  <c r="AP34"/>
  <c r="AS34"/>
  <c r="AF34"/>
  <c r="AE34"/>
  <c r="AO33"/>
  <c r="AN33"/>
  <c r="AM33"/>
  <c r="AF33"/>
  <c r="AE33"/>
  <c r="AO32"/>
  <c r="AN32"/>
  <c r="AM32"/>
  <c r="AL32"/>
  <c r="AK32"/>
  <c r="AH32"/>
  <c r="AJ32"/>
  <c r="AG32"/>
  <c r="AP32"/>
  <c r="AS32"/>
  <c r="AF32"/>
  <c r="AE32"/>
  <c r="AO31"/>
  <c r="AN31"/>
  <c r="AM31"/>
  <c r="AF31"/>
  <c r="AE31"/>
  <c r="AO30"/>
  <c r="AN30"/>
  <c r="AM30"/>
  <c r="AL30"/>
  <c r="AK30"/>
  <c r="AH30"/>
  <c r="AJ30"/>
  <c r="AG30"/>
  <c r="AP30"/>
  <c r="AF30"/>
  <c r="AE30"/>
  <c r="AO29"/>
  <c r="AN29"/>
  <c r="AM29"/>
  <c r="AF29"/>
  <c r="AE29"/>
  <c r="AO28"/>
  <c r="AN28"/>
  <c r="AM28"/>
  <c r="AL28"/>
  <c r="AK28"/>
  <c r="AH28"/>
  <c r="AJ28"/>
  <c r="AG28"/>
  <c r="AP28"/>
  <c r="AF28"/>
  <c r="AE28"/>
  <c r="AO27"/>
  <c r="AN27"/>
  <c r="AM27"/>
  <c r="AF27"/>
  <c r="AE27"/>
  <c r="AO26"/>
  <c r="AN26"/>
  <c r="AM26"/>
  <c r="AL26"/>
  <c r="AK26"/>
  <c r="AH26"/>
  <c r="AJ26"/>
  <c r="AG26"/>
  <c r="AP26"/>
  <c r="AF26"/>
  <c r="AE26"/>
  <c r="AI26"/>
  <c r="AO25"/>
  <c r="AN25"/>
  <c r="AM25"/>
  <c r="AF25"/>
  <c r="AE25"/>
  <c r="AO24"/>
  <c r="AN24"/>
  <c r="AM24"/>
  <c r="AL24"/>
  <c r="AK24"/>
  <c r="AH24"/>
  <c r="AQ24"/>
  <c r="AG24"/>
  <c r="AP24"/>
  <c r="AS24"/>
  <c r="AF24"/>
  <c r="AJ24"/>
  <c r="AE24"/>
  <c r="AQ23"/>
  <c r="AP23"/>
  <c r="AS23"/>
  <c r="AO22"/>
  <c r="AN22"/>
  <c r="AM22"/>
  <c r="AL22"/>
  <c r="AK22"/>
  <c r="AH22"/>
  <c r="AQ22"/>
  <c r="AG22"/>
  <c r="AP22"/>
  <c r="AF22"/>
  <c r="AE22"/>
  <c r="AO21"/>
  <c r="AN21"/>
  <c r="AM21"/>
  <c r="AL21"/>
  <c r="AK21"/>
  <c r="AO20"/>
  <c r="AN20"/>
  <c r="AM20"/>
  <c r="AL20"/>
  <c r="AK20"/>
  <c r="AH20"/>
  <c r="AQ20"/>
  <c r="AG20"/>
  <c r="AP20"/>
  <c r="AS20"/>
  <c r="AF20"/>
  <c r="AE20"/>
  <c r="AO19"/>
  <c r="AN19"/>
  <c r="AM19"/>
  <c r="AO18"/>
  <c r="AN18"/>
  <c r="AM18"/>
  <c r="AL18"/>
  <c r="AK18"/>
  <c r="AH18"/>
  <c r="AQ18"/>
  <c r="AG18"/>
  <c r="AP18"/>
  <c r="AS18"/>
  <c r="AF18"/>
  <c r="AE18"/>
  <c r="AO17"/>
  <c r="AN17"/>
  <c r="AM17"/>
  <c r="AO16"/>
  <c r="AN16"/>
  <c r="AM16"/>
  <c r="AL16"/>
  <c r="AK16"/>
  <c r="AH16"/>
  <c r="AQ16"/>
  <c r="AG16"/>
  <c r="AP16"/>
  <c r="AS16"/>
  <c r="AF16"/>
  <c r="AE16"/>
  <c r="AO15"/>
  <c r="AN15"/>
  <c r="AM15"/>
  <c r="AR667" i="22"/>
  <c r="AR683"/>
  <c r="AR663"/>
  <c r="AR67"/>
  <c r="AR665"/>
  <c r="AR680"/>
  <c r="AR681"/>
  <c r="DO19" i="27"/>
  <c r="M8"/>
  <c r="V8"/>
  <c r="AE8"/>
  <c r="AN8"/>
  <c r="AW8"/>
  <c r="BF8"/>
  <c r="BO8"/>
  <c r="BX8"/>
  <c r="CG8"/>
  <c r="CP8"/>
  <c r="CY8"/>
  <c r="DH8"/>
  <c r="M9"/>
  <c r="V9"/>
  <c r="AE9"/>
  <c r="AN9"/>
  <c r="AW9"/>
  <c r="BF9"/>
  <c r="BO9"/>
  <c r="BX9"/>
  <c r="CG9"/>
  <c r="CP9"/>
  <c r="CY9"/>
  <c r="DH9"/>
  <c r="M10"/>
  <c r="V10"/>
  <c r="AE10"/>
  <c r="AN10"/>
  <c r="AW10"/>
  <c r="BF10"/>
  <c r="BO10"/>
  <c r="BX10"/>
  <c r="CG10"/>
  <c r="CP10"/>
  <c r="CY10"/>
  <c r="DH10"/>
  <c r="M11"/>
  <c r="V11"/>
  <c r="AE11"/>
  <c r="AN11"/>
  <c r="AW11"/>
  <c r="BF11"/>
  <c r="BO11"/>
  <c r="BX11"/>
  <c r="CG11"/>
  <c r="CP11"/>
  <c r="CY11"/>
  <c r="DH11"/>
  <c r="M12"/>
  <c r="V12"/>
  <c r="AE12"/>
  <c r="AN12"/>
  <c r="AW12"/>
  <c r="BF12"/>
  <c r="BO12"/>
  <c r="BX12"/>
  <c r="CG12"/>
  <c r="CP12"/>
  <c r="CY12"/>
  <c r="DH12"/>
  <c r="M13"/>
  <c r="V13"/>
  <c r="AE13"/>
  <c r="AN13"/>
  <c r="AW13"/>
  <c r="BF13"/>
  <c r="BO13"/>
  <c r="BX13"/>
  <c r="CG13"/>
  <c r="CP13"/>
  <c r="CY13"/>
  <c r="DH13"/>
  <c r="M14"/>
  <c r="V14"/>
  <c r="AE14"/>
  <c r="AN14"/>
  <c r="AW14"/>
  <c r="BF14"/>
  <c r="BO14"/>
  <c r="BX14"/>
  <c r="CG14"/>
  <c r="CP14"/>
  <c r="CY14"/>
  <c r="DH14"/>
  <c r="M15"/>
  <c r="V15"/>
  <c r="AE15"/>
  <c r="AN15"/>
  <c r="AW15"/>
  <c r="BF15"/>
  <c r="BO15"/>
  <c r="BX15"/>
  <c r="CG15"/>
  <c r="CP15"/>
  <c r="CY15"/>
  <c r="DH15"/>
  <c r="M16"/>
  <c r="V16"/>
  <c r="AE16"/>
  <c r="AN16"/>
  <c r="AW16"/>
  <c r="BF16"/>
  <c r="BO16"/>
  <c r="BX16"/>
  <c r="CG16"/>
  <c r="CP16"/>
  <c r="CY16"/>
  <c r="DH16"/>
  <c r="M17"/>
  <c r="V17"/>
  <c r="AE17"/>
  <c r="AN17"/>
  <c r="AW17"/>
  <c r="BF17"/>
  <c r="BO17"/>
  <c r="BX17"/>
  <c r="CG17"/>
  <c r="CP17"/>
  <c r="CY17"/>
  <c r="DH17"/>
  <c r="M18"/>
  <c r="V18"/>
  <c r="AE18"/>
  <c r="AN18"/>
  <c r="AW18"/>
  <c r="BF18"/>
  <c r="BO18"/>
  <c r="BX18"/>
  <c r="CG18"/>
  <c r="CP18"/>
  <c r="CY18"/>
  <c r="DH18"/>
  <c r="M6"/>
  <c r="V6"/>
  <c r="AE6"/>
  <c r="AN6"/>
  <c r="AW6"/>
  <c r="BF6"/>
  <c r="BO6"/>
  <c r="BX6"/>
  <c r="CG6"/>
  <c r="CP6"/>
  <c r="CY6"/>
  <c r="DH6"/>
  <c r="F44"/>
  <c r="G44"/>
  <c r="B13"/>
  <c r="B18"/>
  <c r="B17"/>
  <c r="B15"/>
  <c r="B12"/>
  <c r="B10"/>
  <c r="B9"/>
  <c r="E45"/>
  <c r="E46"/>
  <c r="D45"/>
  <c r="D46"/>
  <c r="C45"/>
  <c r="B45"/>
  <c r="G43"/>
  <c r="G42"/>
  <c r="G41"/>
  <c r="G40"/>
  <c r="G39"/>
  <c r="G38"/>
  <c r="G37"/>
  <c r="G36"/>
  <c r="G35"/>
  <c r="G34"/>
  <c r="DO66"/>
  <c r="B61"/>
  <c r="B57"/>
  <c r="B7"/>
  <c r="B6"/>
  <c r="E6"/>
  <c r="AA21" i="22"/>
  <c r="CC15" i="27"/>
  <c r="R55"/>
  <c r="AA55"/>
  <c r="R57"/>
  <c r="AA57"/>
  <c r="R58"/>
  <c r="AA58"/>
  <c r="R60"/>
  <c r="AA60"/>
  <c r="R61"/>
  <c r="AA61"/>
  <c r="R63"/>
  <c r="AA63"/>
  <c r="R65"/>
  <c r="AA65"/>
  <c r="R7"/>
  <c r="AA7"/>
  <c r="R9"/>
  <c r="AA9"/>
  <c r="R10"/>
  <c r="AA10"/>
  <c r="R12"/>
  <c r="AA12"/>
  <c r="R13"/>
  <c r="AA13"/>
  <c r="R15"/>
  <c r="AA15"/>
  <c r="R17"/>
  <c r="AA17"/>
  <c r="R18"/>
  <c r="AA18"/>
  <c r="R6"/>
  <c r="AI309" i="21"/>
  <c r="AS528"/>
  <c r="AJ506"/>
  <c r="AS502"/>
  <c r="AJ502"/>
  <c r="AJ498"/>
  <c r="AJ472"/>
  <c r="AR685"/>
  <c r="BF59" i="23"/>
  <c r="BG59"/>
  <c r="BH59"/>
  <c r="AO59"/>
  <c r="AP59"/>
  <c r="AQ59"/>
  <c r="AW59"/>
  <c r="BN59"/>
  <c r="AS22" i="21"/>
  <c r="AS52"/>
  <c r="AS60"/>
  <c r="AS42"/>
  <c r="AS56"/>
  <c r="AL670"/>
  <c r="AR665"/>
  <c r="AR664"/>
  <c r="AR682"/>
  <c r="AR663"/>
  <c r="AR676"/>
  <c r="AJ16"/>
  <c r="AJ18"/>
  <c r="AJ20"/>
  <c r="AJ22"/>
  <c r="AI24"/>
  <c r="AI28"/>
  <c r="AI30"/>
  <c r="AQ30"/>
  <c r="AI32"/>
  <c r="AQ32"/>
  <c r="AI34"/>
  <c r="AQ34"/>
  <c r="AI36"/>
  <c r="AQ36"/>
  <c r="AI38"/>
  <c r="AQ50"/>
  <c r="AI54"/>
  <c r="AI56"/>
  <c r="AI58"/>
  <c r="AI60"/>
  <c r="AI62"/>
  <c r="AS114"/>
  <c r="AS118"/>
  <c r="AS130"/>
  <c r="AK670"/>
  <c r="AO670"/>
  <c r="AI16"/>
  <c r="AI18"/>
  <c r="AI20"/>
  <c r="AI22"/>
  <c r="AJ68"/>
  <c r="AJ70"/>
  <c r="AJ72"/>
  <c r="AJ74"/>
  <c r="AJ76"/>
  <c r="AJ78"/>
  <c r="AJ80"/>
  <c r="AJ82"/>
  <c r="AJ84"/>
  <c r="AJ86"/>
  <c r="AS90"/>
  <c r="AS122"/>
  <c r="AS126"/>
  <c r="AS136"/>
  <c r="AS170"/>
  <c r="AS245"/>
  <c r="AS251"/>
  <c r="AS259"/>
  <c r="AS267"/>
  <c r="AN670"/>
  <c r="AS116"/>
  <c r="AS120"/>
  <c r="AS138"/>
  <c r="AS150"/>
  <c r="AS154"/>
  <c r="AS183"/>
  <c r="AS199"/>
  <c r="AS221"/>
  <c r="AS231"/>
  <c r="AS235"/>
  <c r="AS253"/>
  <c r="AS261"/>
  <c r="AS269"/>
  <c r="AM665"/>
  <c r="AJ96"/>
  <c r="AJ98"/>
  <c r="AJ100"/>
  <c r="AJ114"/>
  <c r="AJ116"/>
  <c r="AJ120"/>
  <c r="AI134"/>
  <c r="AQ134"/>
  <c r="AS134"/>
  <c r="AI136"/>
  <c r="AI138"/>
  <c r="AP156"/>
  <c r="AS156"/>
  <c r="AP158"/>
  <c r="AS158"/>
  <c r="AJ170"/>
  <c r="AP171"/>
  <c r="AS171"/>
  <c r="AJ181"/>
  <c r="AI185"/>
  <c r="AQ185"/>
  <c r="AS185"/>
  <c r="AP192"/>
  <c r="AS192"/>
  <c r="AO667"/>
  <c r="AI199"/>
  <c r="AI201"/>
  <c r="AP225"/>
  <c r="AS225"/>
  <c r="AJ229"/>
  <c r="AJ231"/>
  <c r="AJ245"/>
  <c r="AI249"/>
  <c r="AI251"/>
  <c r="AI259"/>
  <c r="AI261"/>
  <c r="AI263"/>
  <c r="AI265"/>
  <c r="AI267"/>
  <c r="AS307"/>
  <c r="AS323"/>
  <c r="AS327"/>
  <c r="AS367"/>
  <c r="AS374"/>
  <c r="AS408"/>
  <c r="AS412"/>
  <c r="AS416"/>
  <c r="AS420"/>
  <c r="AS430"/>
  <c r="AS438"/>
  <c r="AS444"/>
  <c r="AJ88"/>
  <c r="AJ90"/>
  <c r="AJ94"/>
  <c r="AI96"/>
  <c r="AI98"/>
  <c r="AI100"/>
  <c r="AI104"/>
  <c r="AI106"/>
  <c r="AI108"/>
  <c r="AI110"/>
  <c r="AI112"/>
  <c r="AI114"/>
  <c r="AI116"/>
  <c r="AI118"/>
  <c r="AI120"/>
  <c r="AJ122"/>
  <c r="AJ124"/>
  <c r="AJ126"/>
  <c r="AI128"/>
  <c r="AI130"/>
  <c r="AI132"/>
  <c r="AJ160"/>
  <c r="AJ164"/>
  <c r="AJ166"/>
  <c r="AJ168"/>
  <c r="AI170"/>
  <c r="AJ177"/>
  <c r="AJ179"/>
  <c r="AI181"/>
  <c r="AI183"/>
  <c r="AJ194"/>
  <c r="AF667"/>
  <c r="AI229"/>
  <c r="AI231"/>
  <c r="AI235"/>
  <c r="AI241"/>
  <c r="AI243"/>
  <c r="AI245"/>
  <c r="AI247"/>
  <c r="AS311"/>
  <c r="AS390"/>
  <c r="AS396"/>
  <c r="AI88"/>
  <c r="AI90"/>
  <c r="AI94"/>
  <c r="AI122"/>
  <c r="AI124"/>
  <c r="AI126"/>
  <c r="AJ150"/>
  <c r="AJ152"/>
  <c r="AJ154"/>
  <c r="AJ156"/>
  <c r="AJ158"/>
  <c r="AI160"/>
  <c r="AI179"/>
  <c r="AJ192"/>
  <c r="AI194"/>
  <c r="AJ223"/>
  <c r="AJ225"/>
  <c r="AS289"/>
  <c r="AS309"/>
  <c r="AS319"/>
  <c r="AS321"/>
  <c r="AS325"/>
  <c r="AS347"/>
  <c r="AS351"/>
  <c r="AS355"/>
  <c r="AS361"/>
  <c r="AS376"/>
  <c r="AS392"/>
  <c r="AS394"/>
  <c r="AS402"/>
  <c r="AS406"/>
  <c r="AS410"/>
  <c r="AS414"/>
  <c r="AS418"/>
  <c r="AS440"/>
  <c r="AS470"/>
  <c r="AS476"/>
  <c r="AS404"/>
  <c r="AI285"/>
  <c r="AP297"/>
  <c r="AS297"/>
  <c r="AP299"/>
  <c r="AS299"/>
  <c r="AP305"/>
  <c r="AS305"/>
  <c r="AJ333"/>
  <c r="AJ335"/>
  <c r="AJ337"/>
  <c r="AJ339"/>
  <c r="AJ341"/>
  <c r="AJ343"/>
  <c r="AI345"/>
  <c r="AQ345"/>
  <c r="AS345"/>
  <c r="AI347"/>
  <c r="AI359"/>
  <c r="AQ359"/>
  <c r="AS359"/>
  <c r="AP363"/>
  <c r="AS363"/>
  <c r="AP365"/>
  <c r="AS365"/>
  <c r="AP369"/>
  <c r="AS369"/>
  <c r="AQ372"/>
  <c r="AS372"/>
  <c r="AI374"/>
  <c r="AI376"/>
  <c r="AI378"/>
  <c r="AQ378"/>
  <c r="AS378"/>
  <c r="AP380"/>
  <c r="AS380"/>
  <c r="AP382"/>
  <c r="AS382"/>
  <c r="AP384"/>
  <c r="AS384"/>
  <c r="AP388"/>
  <c r="AS388"/>
  <c r="AJ406"/>
  <c r="AJ408"/>
  <c r="AJ410"/>
  <c r="AJ412"/>
  <c r="AJ414"/>
  <c r="AJ416"/>
  <c r="AJ418"/>
  <c r="AJ420"/>
  <c r="AI422"/>
  <c r="AQ422"/>
  <c r="AS422"/>
  <c r="AQ424"/>
  <c r="AS424"/>
  <c r="AK668"/>
  <c r="AI440"/>
  <c r="AI444"/>
  <c r="AJ482"/>
  <c r="AP498"/>
  <c r="AS498"/>
  <c r="AI498"/>
  <c r="AJ315"/>
  <c r="AJ317"/>
  <c r="AJ319"/>
  <c r="AJ321"/>
  <c r="AJ323"/>
  <c r="AJ325"/>
  <c r="AJ327"/>
  <c r="AI329"/>
  <c r="AI331"/>
  <c r="AI333"/>
  <c r="AI335"/>
  <c r="AI337"/>
  <c r="AI339"/>
  <c r="AI341"/>
  <c r="AI343"/>
  <c r="AJ371"/>
  <c r="AJ390"/>
  <c r="AJ392"/>
  <c r="AJ394"/>
  <c r="AJ396"/>
  <c r="AJ398"/>
  <c r="AJ402"/>
  <c r="AJ404"/>
  <c r="AI406"/>
  <c r="AI408"/>
  <c r="AI410"/>
  <c r="AI412"/>
  <c r="AI414"/>
  <c r="AI416"/>
  <c r="AI418"/>
  <c r="AI420"/>
  <c r="AJ428"/>
  <c r="AJ430"/>
  <c r="AJ432"/>
  <c r="AF668"/>
  <c r="AJ435"/>
  <c r="AI482"/>
  <c r="AI484"/>
  <c r="AI486"/>
  <c r="AI488"/>
  <c r="AI490"/>
  <c r="AI492"/>
  <c r="AI494"/>
  <c r="AS504"/>
  <c r="AS556"/>
  <c r="AS559"/>
  <c r="AS563"/>
  <c r="AS567"/>
  <c r="AS605"/>
  <c r="AS609"/>
  <c r="AR686"/>
  <c r="AJ297"/>
  <c r="AJ299"/>
  <c r="AJ301"/>
  <c r="AJ303"/>
  <c r="AJ305"/>
  <c r="AJ307"/>
  <c r="AJ309"/>
  <c r="AJ311"/>
  <c r="AJ313"/>
  <c r="AI315"/>
  <c r="AI317"/>
  <c r="AI321"/>
  <c r="AI323"/>
  <c r="AI327"/>
  <c r="AJ361"/>
  <c r="AJ363"/>
  <c r="AJ365"/>
  <c r="AJ367"/>
  <c r="AJ369"/>
  <c r="AI371"/>
  <c r="AJ380"/>
  <c r="AJ382"/>
  <c r="AJ384"/>
  <c r="AI428"/>
  <c r="AI430"/>
  <c r="AI432"/>
  <c r="AE668"/>
  <c r="AI435"/>
  <c r="AJ464"/>
  <c r="AJ468"/>
  <c r="AJ470"/>
  <c r="AJ476"/>
  <c r="AS530"/>
  <c r="AS534"/>
  <c r="AS543"/>
  <c r="AS547"/>
  <c r="AS558"/>
  <c r="AS554"/>
  <c r="AL668"/>
  <c r="AP435"/>
  <c r="AS607"/>
  <c r="AS611"/>
  <c r="AS617"/>
  <c r="AJ504"/>
  <c r="AI508"/>
  <c r="AI510"/>
  <c r="AQ510"/>
  <c r="AS510"/>
  <c r="AQ514"/>
  <c r="AS514"/>
  <c r="AQ518"/>
  <c r="AS518"/>
  <c r="AI520"/>
  <c r="AP522"/>
  <c r="AS522"/>
  <c r="AJ523"/>
  <c r="AJ536"/>
  <c r="AJ558"/>
  <c r="AP569"/>
  <c r="AS569"/>
  <c r="AP571"/>
  <c r="AP575"/>
  <c r="AP581"/>
  <c r="AS581"/>
  <c r="AP583"/>
  <c r="AS583"/>
  <c r="AP585"/>
  <c r="AS585"/>
  <c r="AP587"/>
  <c r="AS587"/>
  <c r="AP589"/>
  <c r="AS589"/>
  <c r="AP595"/>
  <c r="AS595"/>
  <c r="AP601"/>
  <c r="AS601"/>
  <c r="AJ605"/>
  <c r="AJ607"/>
  <c r="AJ621"/>
  <c r="AJ623"/>
  <c r="AJ625"/>
  <c r="AJ627"/>
  <c r="AJ629"/>
  <c r="AJ631"/>
  <c r="AJ633"/>
  <c r="AJ635"/>
  <c r="AJ637"/>
  <c r="AJ639"/>
  <c r="AI500"/>
  <c r="AI502"/>
  <c r="AI504"/>
  <c r="AI506"/>
  <c r="AI523"/>
  <c r="AJ526"/>
  <c r="AJ528"/>
  <c r="AJ530"/>
  <c r="AJ532"/>
  <c r="AJ534"/>
  <c r="AI536"/>
  <c r="AJ541"/>
  <c r="AJ543"/>
  <c r="AJ545"/>
  <c r="AJ547"/>
  <c r="AJ549"/>
  <c r="AJ551"/>
  <c r="AJ554"/>
  <c r="AJ556"/>
  <c r="AI558"/>
  <c r="AI605"/>
  <c r="AI607"/>
  <c r="AI609"/>
  <c r="AI611"/>
  <c r="AI613"/>
  <c r="AI617"/>
  <c r="AI619"/>
  <c r="AI621"/>
  <c r="AI623"/>
  <c r="AI625"/>
  <c r="AI627"/>
  <c r="AI629"/>
  <c r="AI631"/>
  <c r="AI633"/>
  <c r="AI635"/>
  <c r="AI637"/>
  <c r="AJ522"/>
  <c r="AI528"/>
  <c r="AI530"/>
  <c r="AI532"/>
  <c r="AI534"/>
  <c r="AJ537"/>
  <c r="AJ539"/>
  <c r="AI541"/>
  <c r="AI543"/>
  <c r="AI545"/>
  <c r="AI547"/>
  <c r="AI549"/>
  <c r="AI554"/>
  <c r="AI556"/>
  <c r="AJ559"/>
  <c r="AJ561"/>
  <c r="AJ563"/>
  <c r="AJ565"/>
  <c r="AJ567"/>
  <c r="AJ569"/>
  <c r="AJ573"/>
  <c r="AJ579"/>
  <c r="AJ581"/>
  <c r="AJ583"/>
  <c r="AJ585"/>
  <c r="AJ587"/>
  <c r="AJ593"/>
  <c r="G45" i="27"/>
  <c r="Q85"/>
  <c r="P85"/>
  <c r="O85"/>
  <c r="N85"/>
  <c r="Q84"/>
  <c r="P84"/>
  <c r="O84"/>
  <c r="N84"/>
  <c r="F81"/>
  <c r="F82"/>
  <c r="E81"/>
  <c r="E82"/>
  <c r="D81"/>
  <c r="D82"/>
  <c r="C81"/>
  <c r="B81"/>
  <c r="G80"/>
  <c r="G79"/>
  <c r="G78"/>
  <c r="G77"/>
  <c r="G76"/>
  <c r="G75"/>
  <c r="G74"/>
  <c r="G73"/>
  <c r="G72"/>
  <c r="G71"/>
  <c r="G70"/>
  <c r="DH65"/>
  <c r="DI65"/>
  <c r="CY65"/>
  <c r="CZ65"/>
  <c r="CP65"/>
  <c r="CQ65"/>
  <c r="CM65"/>
  <c r="CO65"/>
  <c r="CR65"/>
  <c r="CS65"/>
  <c r="CG65"/>
  <c r="CH65"/>
  <c r="BX65"/>
  <c r="BY65"/>
  <c r="BO65"/>
  <c r="BP65"/>
  <c r="BF65"/>
  <c r="BG65"/>
  <c r="AW65"/>
  <c r="AX65"/>
  <c r="AN65"/>
  <c r="AO65"/>
  <c r="AE65"/>
  <c r="AF65"/>
  <c r="V65"/>
  <c r="W65"/>
  <c r="M65"/>
  <c r="N65"/>
  <c r="J65"/>
  <c r="L65"/>
  <c r="O65"/>
  <c r="E65"/>
  <c r="B65"/>
  <c r="DH64"/>
  <c r="CY64"/>
  <c r="CP64"/>
  <c r="CG64"/>
  <c r="BX64"/>
  <c r="BO64"/>
  <c r="BF64"/>
  <c r="AW64"/>
  <c r="AN64"/>
  <c r="AE64"/>
  <c r="V64"/>
  <c r="M64"/>
  <c r="F64"/>
  <c r="I64"/>
  <c r="DH63"/>
  <c r="DI63"/>
  <c r="CY63"/>
  <c r="CZ63"/>
  <c r="CP63"/>
  <c r="CQ63"/>
  <c r="CU63"/>
  <c r="CG63"/>
  <c r="CH63"/>
  <c r="BX63"/>
  <c r="BY63"/>
  <c r="DM63"/>
  <c r="BO63"/>
  <c r="BP63"/>
  <c r="BF63"/>
  <c r="BG63"/>
  <c r="AW63"/>
  <c r="AX63"/>
  <c r="AN63"/>
  <c r="AO63"/>
  <c r="AE63"/>
  <c r="AF63"/>
  <c r="V63"/>
  <c r="W63"/>
  <c r="S63"/>
  <c r="U63"/>
  <c r="X63"/>
  <c r="Y63"/>
  <c r="M63"/>
  <c r="N63"/>
  <c r="J63"/>
  <c r="L63"/>
  <c r="O63"/>
  <c r="P63"/>
  <c r="E63"/>
  <c r="B63"/>
  <c r="DH62"/>
  <c r="CY62"/>
  <c r="CP62"/>
  <c r="CG62"/>
  <c r="BX62"/>
  <c r="BO62"/>
  <c r="BF62"/>
  <c r="AW62"/>
  <c r="AN62"/>
  <c r="AE62"/>
  <c r="V62"/>
  <c r="M62"/>
  <c r="F62"/>
  <c r="I62"/>
  <c r="R62"/>
  <c r="AA62"/>
  <c r="AJ62"/>
  <c r="AS62"/>
  <c r="BB62"/>
  <c r="BK62"/>
  <c r="BT62"/>
  <c r="DH61"/>
  <c r="DI61"/>
  <c r="CY61"/>
  <c r="CZ61"/>
  <c r="CP61"/>
  <c r="CQ61"/>
  <c r="CM61"/>
  <c r="CO61"/>
  <c r="CR61"/>
  <c r="CG61"/>
  <c r="CH61"/>
  <c r="BX61"/>
  <c r="BY61"/>
  <c r="BO61"/>
  <c r="BP61"/>
  <c r="BF61"/>
  <c r="BG61"/>
  <c r="AW61"/>
  <c r="AX61"/>
  <c r="AN61"/>
  <c r="AO61"/>
  <c r="AE61"/>
  <c r="AF61"/>
  <c r="V61"/>
  <c r="W61"/>
  <c r="M61"/>
  <c r="N61"/>
  <c r="J61"/>
  <c r="L61"/>
  <c r="O61"/>
  <c r="P61"/>
  <c r="E61"/>
  <c r="DH60"/>
  <c r="DI60"/>
  <c r="CY60"/>
  <c r="CZ60"/>
  <c r="CU60"/>
  <c r="DD60"/>
  <c r="DE60"/>
  <c r="DG60"/>
  <c r="DJ60"/>
  <c r="DK60"/>
  <c r="CP60"/>
  <c r="CQ60"/>
  <c r="CS60"/>
  <c r="CM60"/>
  <c r="CO60"/>
  <c r="CR60"/>
  <c r="CG60"/>
  <c r="CH60"/>
  <c r="BX60"/>
  <c r="BY60"/>
  <c r="BO60"/>
  <c r="BP60"/>
  <c r="BF60"/>
  <c r="BG60"/>
  <c r="AW60"/>
  <c r="AX60"/>
  <c r="AN60"/>
  <c r="AO60"/>
  <c r="AE60"/>
  <c r="AF60"/>
  <c r="V60"/>
  <c r="W60"/>
  <c r="AB60"/>
  <c r="AD60"/>
  <c r="AG60"/>
  <c r="M60"/>
  <c r="N60"/>
  <c r="J60"/>
  <c r="L60"/>
  <c r="O60"/>
  <c r="E60"/>
  <c r="B60"/>
  <c r="DH59"/>
  <c r="CY59"/>
  <c r="CP59"/>
  <c r="CG59"/>
  <c r="BX59"/>
  <c r="BO59"/>
  <c r="BF59"/>
  <c r="AW59"/>
  <c r="AN59"/>
  <c r="AE59"/>
  <c r="V59"/>
  <c r="M59"/>
  <c r="F59"/>
  <c r="I59"/>
  <c r="DH58"/>
  <c r="DI58"/>
  <c r="CY58"/>
  <c r="CZ58"/>
  <c r="CP58"/>
  <c r="CQ58"/>
  <c r="CM58"/>
  <c r="CO58"/>
  <c r="CR58"/>
  <c r="CS58"/>
  <c r="CG58"/>
  <c r="CH58"/>
  <c r="BX58"/>
  <c r="BY58"/>
  <c r="BO58"/>
  <c r="BP58"/>
  <c r="BF58"/>
  <c r="BG58"/>
  <c r="AW58"/>
  <c r="AX58"/>
  <c r="AN58"/>
  <c r="AO58"/>
  <c r="AE58"/>
  <c r="AF58"/>
  <c r="V58"/>
  <c r="W58"/>
  <c r="AJ58"/>
  <c r="M58"/>
  <c r="N58"/>
  <c r="J58"/>
  <c r="L58"/>
  <c r="O58"/>
  <c r="P58"/>
  <c r="E58"/>
  <c r="B58"/>
  <c r="DH57"/>
  <c r="DI57"/>
  <c r="CY57"/>
  <c r="CZ57"/>
  <c r="CP57"/>
  <c r="CQ57"/>
  <c r="CM57"/>
  <c r="CO57"/>
  <c r="CR57"/>
  <c r="CG57"/>
  <c r="CH57"/>
  <c r="BX57"/>
  <c r="BY57"/>
  <c r="BO57"/>
  <c r="BP57"/>
  <c r="BF57"/>
  <c r="BG57"/>
  <c r="AW57"/>
  <c r="AX57"/>
  <c r="AN57"/>
  <c r="AO57"/>
  <c r="AE57"/>
  <c r="AF57"/>
  <c r="V57"/>
  <c r="W57"/>
  <c r="M57"/>
  <c r="N57"/>
  <c r="J57"/>
  <c r="L57"/>
  <c r="O57"/>
  <c r="P57"/>
  <c r="B87"/>
  <c r="C40" i="20"/>
  <c r="E57" i="27"/>
  <c r="DH56"/>
  <c r="CY56"/>
  <c r="CP56"/>
  <c r="CG56"/>
  <c r="BX56"/>
  <c r="BO56"/>
  <c r="BF56"/>
  <c r="AW56"/>
  <c r="AN56"/>
  <c r="AE56"/>
  <c r="V56"/>
  <c r="M56"/>
  <c r="F56"/>
  <c r="I56"/>
  <c r="CU55"/>
  <c r="S55"/>
  <c r="U55"/>
  <c r="X55"/>
  <c r="J55"/>
  <c r="L55"/>
  <c r="O55"/>
  <c r="D55"/>
  <c r="CY55"/>
  <c r="CZ55"/>
  <c r="B55"/>
  <c r="DH54"/>
  <c r="DI54"/>
  <c r="CY54"/>
  <c r="CZ54"/>
  <c r="CP54"/>
  <c r="CQ54"/>
  <c r="CM54"/>
  <c r="CO54"/>
  <c r="CR54"/>
  <c r="CG54"/>
  <c r="CH54"/>
  <c r="BX54"/>
  <c r="BY54"/>
  <c r="BO54"/>
  <c r="BP54"/>
  <c r="BF54"/>
  <c r="BG54"/>
  <c r="AW54"/>
  <c r="AX54"/>
  <c r="AN54"/>
  <c r="AO54"/>
  <c r="AE54"/>
  <c r="AF54"/>
  <c r="V54"/>
  <c r="W54"/>
  <c r="R54"/>
  <c r="AA54"/>
  <c r="AJ54"/>
  <c r="M54"/>
  <c r="N54"/>
  <c r="J54"/>
  <c r="L54"/>
  <c r="O54"/>
  <c r="P54"/>
  <c r="E54"/>
  <c r="B54"/>
  <c r="DN52"/>
  <c r="Q24"/>
  <c r="P24"/>
  <c r="O24"/>
  <c r="N24"/>
  <c r="Q23"/>
  <c r="P23"/>
  <c r="O23"/>
  <c r="N23"/>
  <c r="R23"/>
  <c r="DI18"/>
  <c r="CZ18"/>
  <c r="CQ18"/>
  <c r="CM18"/>
  <c r="CO18"/>
  <c r="CR18"/>
  <c r="CS18"/>
  <c r="CH18"/>
  <c r="BY18"/>
  <c r="BP18"/>
  <c r="BG18"/>
  <c r="AX18"/>
  <c r="AS18"/>
  <c r="AT18"/>
  <c r="AV18"/>
  <c r="AY18"/>
  <c r="AZ18"/>
  <c r="AO18"/>
  <c r="AF18"/>
  <c r="W18"/>
  <c r="AB18"/>
  <c r="AD18"/>
  <c r="AG18"/>
  <c r="AH18"/>
  <c r="N18"/>
  <c r="DM18"/>
  <c r="J18"/>
  <c r="L18"/>
  <c r="O18"/>
  <c r="P18"/>
  <c r="E18"/>
  <c r="DI17"/>
  <c r="CZ17"/>
  <c r="CQ17"/>
  <c r="CM17"/>
  <c r="CO17"/>
  <c r="CR17"/>
  <c r="CS17"/>
  <c r="CU17"/>
  <c r="CV17"/>
  <c r="CX17"/>
  <c r="DA17"/>
  <c r="DB17"/>
  <c r="CH17"/>
  <c r="BY17"/>
  <c r="BP17"/>
  <c r="BG17"/>
  <c r="AX17"/>
  <c r="AS17"/>
  <c r="AT17"/>
  <c r="AV17"/>
  <c r="AY17"/>
  <c r="AZ17"/>
  <c r="AO17"/>
  <c r="AF17"/>
  <c r="W17"/>
  <c r="S17"/>
  <c r="U17"/>
  <c r="X17"/>
  <c r="Y17"/>
  <c r="N17"/>
  <c r="J17"/>
  <c r="L17"/>
  <c r="O17"/>
  <c r="E17"/>
  <c r="DN16"/>
  <c r="I16"/>
  <c r="DI15"/>
  <c r="CZ15"/>
  <c r="CQ15"/>
  <c r="CM15"/>
  <c r="CO15"/>
  <c r="CR15"/>
  <c r="CS15"/>
  <c r="K28"/>
  <c r="L50" i="20"/>
  <c r="M50"/>
  <c r="N50"/>
  <c r="R50"/>
  <c r="CH15" i="27"/>
  <c r="CD15"/>
  <c r="CF15"/>
  <c r="CI15"/>
  <c r="CJ15"/>
  <c r="BY15"/>
  <c r="BU15"/>
  <c r="BW15"/>
  <c r="BZ15"/>
  <c r="BP15"/>
  <c r="BG15"/>
  <c r="AX15"/>
  <c r="AS15"/>
  <c r="BB15"/>
  <c r="AO15"/>
  <c r="AQ15"/>
  <c r="AF15"/>
  <c r="W15"/>
  <c r="S15"/>
  <c r="U15"/>
  <c r="X15"/>
  <c r="N15"/>
  <c r="J15"/>
  <c r="L15"/>
  <c r="O15"/>
  <c r="P15"/>
  <c r="E15"/>
  <c r="DN14"/>
  <c r="I14"/>
  <c r="DI13"/>
  <c r="CZ13"/>
  <c r="CQ13"/>
  <c r="CM13"/>
  <c r="CO13"/>
  <c r="CR13"/>
  <c r="CS13"/>
  <c r="CU13"/>
  <c r="CV13"/>
  <c r="CX13"/>
  <c r="DA13"/>
  <c r="CH13"/>
  <c r="BY13"/>
  <c r="BP13"/>
  <c r="BG13"/>
  <c r="AX13"/>
  <c r="AS13"/>
  <c r="BB13"/>
  <c r="AO13"/>
  <c r="AF13"/>
  <c r="W13"/>
  <c r="S13"/>
  <c r="U13"/>
  <c r="X13"/>
  <c r="N13"/>
  <c r="P13"/>
  <c r="J13"/>
  <c r="L13"/>
  <c r="O13"/>
  <c r="E13"/>
  <c r="DI12"/>
  <c r="CZ12"/>
  <c r="CQ12"/>
  <c r="CM12"/>
  <c r="CO12"/>
  <c r="CR12"/>
  <c r="CS12"/>
  <c r="K27"/>
  <c r="CH12"/>
  <c r="BY12"/>
  <c r="BP12"/>
  <c r="BG12"/>
  <c r="AX12"/>
  <c r="AS12"/>
  <c r="BB12"/>
  <c r="AO12"/>
  <c r="AF12"/>
  <c r="W12"/>
  <c r="N12"/>
  <c r="J12"/>
  <c r="L12"/>
  <c r="O12"/>
  <c r="P12"/>
  <c r="E12"/>
  <c r="DN11"/>
  <c r="I11"/>
  <c r="R11"/>
  <c r="AA11"/>
  <c r="AJ11"/>
  <c r="DI10"/>
  <c r="CZ10"/>
  <c r="CQ10"/>
  <c r="CS10"/>
  <c r="CM10"/>
  <c r="CO10"/>
  <c r="CR10"/>
  <c r="CH10"/>
  <c r="BY10"/>
  <c r="BP10"/>
  <c r="BG10"/>
  <c r="AX10"/>
  <c r="AZ10"/>
  <c r="AS10"/>
  <c r="AT10"/>
  <c r="AV10"/>
  <c r="AY10"/>
  <c r="AO10"/>
  <c r="AF10"/>
  <c r="AH10"/>
  <c r="W10"/>
  <c r="S10"/>
  <c r="U10"/>
  <c r="X10"/>
  <c r="Y10"/>
  <c r="N10"/>
  <c r="J10"/>
  <c r="L10"/>
  <c r="O10"/>
  <c r="P10"/>
  <c r="E10"/>
  <c r="DI9"/>
  <c r="CZ9"/>
  <c r="CQ9"/>
  <c r="CM9"/>
  <c r="CO9"/>
  <c r="CR9"/>
  <c r="CS9"/>
  <c r="K26"/>
  <c r="L48" i="20"/>
  <c r="CH9" i="27"/>
  <c r="BY9"/>
  <c r="BP9"/>
  <c r="BG9"/>
  <c r="AX9"/>
  <c r="AS9"/>
  <c r="AT9"/>
  <c r="AV9"/>
  <c r="AY9"/>
  <c r="AO9"/>
  <c r="AF9"/>
  <c r="DM9"/>
  <c r="W9"/>
  <c r="S9"/>
  <c r="U9"/>
  <c r="X9"/>
  <c r="Y9"/>
  <c r="N9"/>
  <c r="J9"/>
  <c r="L9"/>
  <c r="O9"/>
  <c r="P9"/>
  <c r="E9"/>
  <c r="DN8"/>
  <c r="I8"/>
  <c r="CM7"/>
  <c r="CO7"/>
  <c r="CR7"/>
  <c r="CU7"/>
  <c r="AS7"/>
  <c r="AT7"/>
  <c r="AV7"/>
  <c r="AY7"/>
  <c r="S7"/>
  <c r="U7"/>
  <c r="X7"/>
  <c r="J7"/>
  <c r="L7"/>
  <c r="O7"/>
  <c r="D7"/>
  <c r="M7"/>
  <c r="DI6"/>
  <c r="CZ6"/>
  <c r="CU6"/>
  <c r="CV6"/>
  <c r="CX6"/>
  <c r="DA6"/>
  <c r="DB6"/>
  <c r="CQ6"/>
  <c r="CM6"/>
  <c r="CO6"/>
  <c r="CR6"/>
  <c r="CS6"/>
  <c r="CH6"/>
  <c r="BY6"/>
  <c r="BP6"/>
  <c r="BG6"/>
  <c r="AX6"/>
  <c r="AS6"/>
  <c r="BB6"/>
  <c r="BK6"/>
  <c r="AO6"/>
  <c r="AF6"/>
  <c r="DM6"/>
  <c r="W6"/>
  <c r="S6"/>
  <c r="U6"/>
  <c r="X6"/>
  <c r="Y6"/>
  <c r="N6"/>
  <c r="J6"/>
  <c r="L6"/>
  <c r="O6"/>
  <c r="P6"/>
  <c r="DN4"/>
  <c r="AX59" i="23"/>
  <c r="BI59"/>
  <c r="BJ59"/>
  <c r="BK59"/>
  <c r="BL59"/>
  <c r="BM59"/>
  <c r="BO59"/>
  <c r="AR59"/>
  <c r="AS59"/>
  <c r="AS30" i="21"/>
  <c r="AS435"/>
  <c r="C82" i="27"/>
  <c r="DM10"/>
  <c r="AT6"/>
  <c r="AV6"/>
  <c r="AY6"/>
  <c r="R64"/>
  <c r="AA64"/>
  <c r="AJ64"/>
  <c r="AS64"/>
  <c r="BB64"/>
  <c r="BK64"/>
  <c r="BT64"/>
  <c r="BC6"/>
  <c r="BE6"/>
  <c r="BH6"/>
  <c r="BI6"/>
  <c r="AS16"/>
  <c r="BB16"/>
  <c r="BK16"/>
  <c r="BT16"/>
  <c r="R16"/>
  <c r="AA16"/>
  <c r="AJ16"/>
  <c r="R84"/>
  <c r="R85"/>
  <c r="AS8"/>
  <c r="BB8"/>
  <c r="BK8"/>
  <c r="BT8"/>
  <c r="R8"/>
  <c r="AA8"/>
  <c r="AJ8"/>
  <c r="AS14"/>
  <c r="BB14"/>
  <c r="BK14"/>
  <c r="BT14"/>
  <c r="R14"/>
  <c r="AA14"/>
  <c r="AJ14"/>
  <c r="R56"/>
  <c r="AA56"/>
  <c r="AJ56"/>
  <c r="AS56"/>
  <c r="BB56"/>
  <c r="BK56"/>
  <c r="BT56"/>
  <c r="R59"/>
  <c r="AA59"/>
  <c r="AJ59"/>
  <c r="AS59"/>
  <c r="BB59"/>
  <c r="BK59"/>
  <c r="BT59"/>
  <c r="G81"/>
  <c r="R24"/>
  <c r="S58"/>
  <c r="U58"/>
  <c r="X58"/>
  <c r="AT13"/>
  <c r="AV13"/>
  <c r="AY13"/>
  <c r="AZ13"/>
  <c r="AB10"/>
  <c r="AD10"/>
  <c r="AG10"/>
  <c r="BB9"/>
  <c r="CV7"/>
  <c r="CX7"/>
  <c r="DA7"/>
  <c r="DD7"/>
  <c r="DE7"/>
  <c r="DG7"/>
  <c r="DJ7"/>
  <c r="CU12"/>
  <c r="CV12"/>
  <c r="CX12"/>
  <c r="DA12"/>
  <c r="AB15"/>
  <c r="AD15"/>
  <c r="AG15"/>
  <c r="AH15"/>
  <c r="DM17"/>
  <c r="BB17"/>
  <c r="CU58"/>
  <c r="CV58"/>
  <c r="CX58"/>
  <c r="DA58"/>
  <c r="DB58"/>
  <c r="S60"/>
  <c r="U60"/>
  <c r="X60"/>
  <c r="CU9"/>
  <c r="CV9"/>
  <c r="CX9"/>
  <c r="DA9"/>
  <c r="DB9"/>
  <c r="AE55"/>
  <c r="AF55"/>
  <c r="S18"/>
  <c r="U18"/>
  <c r="X18"/>
  <c r="Y18"/>
  <c r="S12"/>
  <c r="U12"/>
  <c r="X12"/>
  <c r="AJ57"/>
  <c r="AB57"/>
  <c r="AD57"/>
  <c r="AG57"/>
  <c r="AH57"/>
  <c r="AB54"/>
  <c r="AD54"/>
  <c r="AG54"/>
  <c r="DD63"/>
  <c r="DE63"/>
  <c r="DG63"/>
  <c r="DJ63"/>
  <c r="CV63"/>
  <c r="CX63"/>
  <c r="DA63"/>
  <c r="DB63"/>
  <c r="AJ65"/>
  <c r="AB65"/>
  <c r="AD65"/>
  <c r="AG65"/>
  <c r="AH65"/>
  <c r="DD55"/>
  <c r="DE55"/>
  <c r="DG55"/>
  <c r="DJ55"/>
  <c r="CV55"/>
  <c r="CX55"/>
  <c r="DA55"/>
  <c r="AS58"/>
  <c r="AK58"/>
  <c r="AM58"/>
  <c r="AP58"/>
  <c r="AJ61"/>
  <c r="AB61"/>
  <c r="AD61"/>
  <c r="AG61"/>
  <c r="AH61"/>
  <c r="DM65"/>
  <c r="P65"/>
  <c r="S54"/>
  <c r="U54"/>
  <c r="X54"/>
  <c r="Y54"/>
  <c r="CU54"/>
  <c r="BF55"/>
  <c r="BG55"/>
  <c r="CM55"/>
  <c r="CO55"/>
  <c r="CR55"/>
  <c r="S57"/>
  <c r="U57"/>
  <c r="X57"/>
  <c r="Y57"/>
  <c r="CU57"/>
  <c r="AB58"/>
  <c r="AD58"/>
  <c r="AG58"/>
  <c r="AJ60"/>
  <c r="CV60"/>
  <c r="CX60"/>
  <c r="DA60"/>
  <c r="DB60"/>
  <c r="S61"/>
  <c r="U61"/>
  <c r="X61"/>
  <c r="Y61"/>
  <c r="CU61"/>
  <c r="CM63"/>
  <c r="CO63"/>
  <c r="CR63"/>
  <c r="CS63"/>
  <c r="K89"/>
  <c r="L42" i="20"/>
  <c r="S65" i="27"/>
  <c r="U65"/>
  <c r="X65"/>
  <c r="Y65"/>
  <c r="CU65"/>
  <c r="D66"/>
  <c r="E55"/>
  <c r="E66"/>
  <c r="AN55"/>
  <c r="AO55"/>
  <c r="AO66"/>
  <c r="BO55"/>
  <c r="BP55"/>
  <c r="CP55"/>
  <c r="CQ55"/>
  <c r="CS55"/>
  <c r="M55"/>
  <c r="N55"/>
  <c r="AW55"/>
  <c r="AX55"/>
  <c r="BX55"/>
  <c r="BY55"/>
  <c r="AB12"/>
  <c r="AD12"/>
  <c r="AG12"/>
  <c r="AH12"/>
  <c r="AJ12"/>
  <c r="AK12"/>
  <c r="AM12"/>
  <c r="AP12"/>
  <c r="AS11"/>
  <c r="BB11"/>
  <c r="DM12"/>
  <c r="D19"/>
  <c r="G46"/>
  <c r="AA6"/>
  <c r="DD6"/>
  <c r="DE6"/>
  <c r="DG6"/>
  <c r="DJ6"/>
  <c r="DD13"/>
  <c r="DE13"/>
  <c r="DG13"/>
  <c r="DJ13"/>
  <c r="DK13"/>
  <c r="AJ15"/>
  <c r="AK15"/>
  <c r="AM15"/>
  <c r="AP15"/>
  <c r="CU15"/>
  <c r="DM15"/>
  <c r="DD17"/>
  <c r="DE17"/>
  <c r="DG17"/>
  <c r="DJ17"/>
  <c r="DK17"/>
  <c r="BB10"/>
  <c r="CU10"/>
  <c r="AT15"/>
  <c r="AV15"/>
  <c r="AY15"/>
  <c r="AJ18"/>
  <c r="AK18"/>
  <c r="AM18"/>
  <c r="AP18"/>
  <c r="AQ18"/>
  <c r="BB18"/>
  <c r="CU18"/>
  <c r="H20" i="22"/>
  <c r="H18"/>
  <c r="H16"/>
  <c r="H11"/>
  <c r="N11"/>
  <c r="X11"/>
  <c r="H11" i="21"/>
  <c r="AC660" i="22"/>
  <c r="AC658"/>
  <c r="AC656"/>
  <c r="AC654"/>
  <c r="AC652"/>
  <c r="AC650"/>
  <c r="AC648"/>
  <c r="AC646"/>
  <c r="AC644"/>
  <c r="AC642"/>
  <c r="AC640"/>
  <c r="AC638"/>
  <c r="AC636"/>
  <c r="AC634"/>
  <c r="AC632"/>
  <c r="AC630"/>
  <c r="AC628"/>
  <c r="AC624"/>
  <c r="AC622"/>
  <c r="AC620"/>
  <c r="AC618"/>
  <c r="AC616"/>
  <c r="AC614"/>
  <c r="AC612"/>
  <c r="AC610"/>
  <c r="AC608"/>
  <c r="AC606"/>
  <c r="AC604"/>
  <c r="AC600"/>
  <c r="AC594"/>
  <c r="AC592"/>
  <c r="AC590"/>
  <c r="AC588"/>
  <c r="AC586"/>
  <c r="AC584"/>
  <c r="AC582"/>
  <c r="AC580"/>
  <c r="AC578"/>
  <c r="AC576"/>
  <c r="AC574"/>
  <c r="AC572"/>
  <c r="AC570"/>
  <c r="AC568"/>
  <c r="AC566"/>
  <c r="AC564"/>
  <c r="AC562"/>
  <c r="AC560"/>
  <c r="AC555"/>
  <c r="AC550"/>
  <c r="AC548"/>
  <c r="AC546"/>
  <c r="AC544"/>
  <c r="AC542"/>
  <c r="AC538"/>
  <c r="AC533"/>
  <c r="AC531"/>
  <c r="AC529"/>
  <c r="AC527"/>
  <c r="AC523"/>
  <c r="AC519"/>
  <c r="AC517"/>
  <c r="AC515"/>
  <c r="AC513"/>
  <c r="AC511"/>
  <c r="AC509"/>
  <c r="AC505"/>
  <c r="AC503"/>
  <c r="AC501"/>
  <c r="AC499"/>
  <c r="AC497"/>
  <c r="AC493"/>
  <c r="AC491"/>
  <c r="AC489"/>
  <c r="AC487"/>
  <c r="AC485"/>
  <c r="AC483"/>
  <c r="AC479"/>
  <c r="AC477"/>
  <c r="AC475"/>
  <c r="AC473"/>
  <c r="AC471"/>
  <c r="AC467"/>
  <c r="AC465"/>
  <c r="AC463"/>
  <c r="AC461"/>
  <c r="AC459"/>
  <c r="AC457"/>
  <c r="AC455"/>
  <c r="AC453"/>
  <c r="AC451"/>
  <c r="AC449"/>
  <c r="AC447"/>
  <c r="AC443"/>
  <c r="AC441"/>
  <c r="AC439"/>
  <c r="AC437"/>
  <c r="AC431"/>
  <c r="AC429"/>
  <c r="AC427"/>
  <c r="AC423"/>
  <c r="AC419"/>
  <c r="AC417"/>
  <c r="AC415"/>
  <c r="AC413"/>
  <c r="AC411"/>
  <c r="AC409"/>
  <c r="AC407"/>
  <c r="AC403"/>
  <c r="AC401"/>
  <c r="AC399"/>
  <c r="AC397"/>
  <c r="AC395"/>
  <c r="AC393"/>
  <c r="AC391"/>
  <c r="AC387"/>
  <c r="AC385"/>
  <c r="AC383"/>
  <c r="AC381"/>
  <c r="AC377"/>
  <c r="AC375"/>
  <c r="AC373"/>
  <c r="AC368"/>
  <c r="AC366"/>
  <c r="AC364"/>
  <c r="AC362"/>
  <c r="AC358"/>
  <c r="AC356"/>
  <c r="AC354"/>
  <c r="AC352"/>
  <c r="AC350"/>
  <c r="AC348"/>
  <c r="AC346"/>
  <c r="AC342"/>
  <c r="AC340"/>
  <c r="AC338"/>
  <c r="AC336"/>
  <c r="AC332"/>
  <c r="AC330"/>
  <c r="AC326"/>
  <c r="AC324"/>
  <c r="AC322"/>
  <c r="AC318"/>
  <c r="AC316"/>
  <c r="AC312"/>
  <c r="AC310"/>
  <c r="AC308"/>
  <c r="AC306"/>
  <c r="AC304"/>
  <c r="AC302"/>
  <c r="AC300"/>
  <c r="AC298"/>
  <c r="AC294"/>
  <c r="AC292"/>
  <c r="AC290"/>
  <c r="AC288"/>
  <c r="AC286"/>
  <c r="AC284"/>
  <c r="AC282"/>
  <c r="AC278"/>
  <c r="AC276"/>
  <c r="AC274"/>
  <c r="AC272"/>
  <c r="AC270"/>
  <c r="AC268"/>
  <c r="AC266"/>
  <c r="AC264"/>
  <c r="AC262"/>
  <c r="AC260"/>
  <c r="AC258"/>
  <c r="AC256"/>
  <c r="AC254"/>
  <c r="AC252"/>
  <c r="AC250"/>
  <c r="AC246"/>
  <c r="AC244"/>
  <c r="AC242"/>
  <c r="AC240"/>
  <c r="AC238"/>
  <c r="AC236"/>
  <c r="AC234"/>
  <c r="AC232"/>
  <c r="AC230"/>
  <c r="AC228"/>
  <c r="AC224"/>
  <c r="AC222"/>
  <c r="AC220"/>
  <c r="AC218"/>
  <c r="AC216"/>
  <c r="AC214"/>
  <c r="AC212"/>
  <c r="AC210"/>
  <c r="AC208"/>
  <c r="AC206"/>
  <c r="AC204"/>
  <c r="AC200"/>
  <c r="AC198"/>
  <c r="AC196"/>
  <c r="AC191"/>
  <c r="AC182"/>
  <c r="AC178"/>
  <c r="AC174"/>
  <c r="AC172"/>
  <c r="AC167"/>
  <c r="AC165"/>
  <c r="AC163"/>
  <c r="AC161"/>
  <c r="AC157"/>
  <c r="AC155"/>
  <c r="AC153"/>
  <c r="AC151"/>
  <c r="AC149"/>
  <c r="AC147"/>
  <c r="AC145"/>
  <c r="AC141"/>
  <c r="AC137"/>
  <c r="AC135"/>
  <c r="AC131"/>
  <c r="AC129"/>
  <c r="AC125"/>
  <c r="AC123"/>
  <c r="AC119"/>
  <c r="AC117"/>
  <c r="AC115"/>
  <c r="AC113"/>
  <c r="AC111"/>
  <c r="AC109"/>
  <c r="AC107"/>
  <c r="AC105"/>
  <c r="AC103"/>
  <c r="AC101"/>
  <c r="AC99"/>
  <c r="AC97"/>
  <c r="AC93"/>
  <c r="AC91"/>
  <c r="AC89"/>
  <c r="AC87"/>
  <c r="AC85"/>
  <c r="AC81"/>
  <c r="AC79"/>
  <c r="AC77"/>
  <c r="AC75"/>
  <c r="AC73"/>
  <c r="AC71"/>
  <c r="AC69"/>
  <c r="AC65"/>
  <c r="AC63"/>
  <c r="AC61"/>
  <c r="AC57"/>
  <c r="AC55"/>
  <c r="AC53"/>
  <c r="AC49"/>
  <c r="AC47"/>
  <c r="AC45"/>
  <c r="AC41"/>
  <c r="AC39"/>
  <c r="AC37"/>
  <c r="AC35"/>
  <c r="AC33"/>
  <c r="AC31"/>
  <c r="AC29"/>
  <c r="AC27"/>
  <c r="AC25"/>
  <c r="AC21"/>
  <c r="AC19"/>
  <c r="AC17"/>
  <c r="AC15"/>
  <c r="AC13"/>
  <c r="P681"/>
  <c r="O681"/>
  <c r="P680"/>
  <c r="O680"/>
  <c r="AR671"/>
  <c r="AR670"/>
  <c r="AR685"/>
  <c r="AR669"/>
  <c r="AR666"/>
  <c r="P666"/>
  <c r="AS662"/>
  <c r="Y662"/>
  <c r="Y671"/>
  <c r="P662"/>
  <c r="P671"/>
  <c r="G662"/>
  <c r="AO661"/>
  <c r="AN661"/>
  <c r="AM661"/>
  <c r="AL661"/>
  <c r="AK661"/>
  <c r="AH661"/>
  <c r="AQ661"/>
  <c r="AG661"/>
  <c r="AP661"/>
  <c r="AF661"/>
  <c r="AE661"/>
  <c r="AO660"/>
  <c r="AN660"/>
  <c r="AL660"/>
  <c r="AK660"/>
  <c r="AF660"/>
  <c r="AE660"/>
  <c r="N660"/>
  <c r="AH660"/>
  <c r="AO659"/>
  <c r="AN659"/>
  <c r="AM659"/>
  <c r="AL659"/>
  <c r="AK659"/>
  <c r="AH659"/>
  <c r="AQ659"/>
  <c r="AG659"/>
  <c r="AP659"/>
  <c r="AF659"/>
  <c r="AE659"/>
  <c r="AO658"/>
  <c r="AN658"/>
  <c r="AL658"/>
  <c r="AK658"/>
  <c r="AF658"/>
  <c r="AE658"/>
  <c r="N658"/>
  <c r="AH658"/>
  <c r="AO657"/>
  <c r="AN657"/>
  <c r="AM657"/>
  <c r="AL657"/>
  <c r="AK657"/>
  <c r="AH657"/>
  <c r="AQ657"/>
  <c r="AG657"/>
  <c r="AP657"/>
  <c r="AF657"/>
  <c r="AE657"/>
  <c r="AO656"/>
  <c r="AN656"/>
  <c r="AL656"/>
  <c r="AK656"/>
  <c r="AF656"/>
  <c r="AE656"/>
  <c r="N656"/>
  <c r="AH656"/>
  <c r="AO655"/>
  <c r="AN655"/>
  <c r="AM655"/>
  <c r="AL655"/>
  <c r="AK655"/>
  <c r="AH655"/>
  <c r="AQ655"/>
  <c r="AG655"/>
  <c r="AP655"/>
  <c r="AF655"/>
  <c r="AE655"/>
  <c r="AO654"/>
  <c r="AN654"/>
  <c r="AL654"/>
  <c r="AK654"/>
  <c r="AF654"/>
  <c r="AE654"/>
  <c r="N654"/>
  <c r="AH654"/>
  <c r="AO653"/>
  <c r="AN653"/>
  <c r="AM653"/>
  <c r="AL653"/>
  <c r="AK653"/>
  <c r="AH653"/>
  <c r="AQ653"/>
  <c r="AG653"/>
  <c r="AP653"/>
  <c r="AF653"/>
  <c r="AE653"/>
  <c r="AO652"/>
  <c r="AN652"/>
  <c r="AL652"/>
  <c r="AK652"/>
  <c r="AF652"/>
  <c r="AE652"/>
  <c r="N652"/>
  <c r="AH652"/>
  <c r="AO651"/>
  <c r="AN651"/>
  <c r="AM651"/>
  <c r="AL651"/>
  <c r="AK651"/>
  <c r="AH651"/>
  <c r="AQ651"/>
  <c r="AG651"/>
  <c r="AP651"/>
  <c r="AF651"/>
  <c r="AE651"/>
  <c r="AO650"/>
  <c r="AN650"/>
  <c r="AL650"/>
  <c r="AK650"/>
  <c r="AF650"/>
  <c r="AE650"/>
  <c r="N650"/>
  <c r="AH650"/>
  <c r="AO649"/>
  <c r="AN649"/>
  <c r="AM649"/>
  <c r="AL649"/>
  <c r="AK649"/>
  <c r="AH649"/>
  <c r="AG649"/>
  <c r="AP649"/>
  <c r="AF649"/>
  <c r="AE649"/>
  <c r="AO648"/>
  <c r="AN648"/>
  <c r="AL648"/>
  <c r="AK648"/>
  <c r="AF648"/>
  <c r="AE648"/>
  <c r="N648"/>
  <c r="AH648"/>
  <c r="AO647"/>
  <c r="AN647"/>
  <c r="AM647"/>
  <c r="AL647"/>
  <c r="AK647"/>
  <c r="AH647"/>
  <c r="AG647"/>
  <c r="AP647"/>
  <c r="AF647"/>
  <c r="AE647"/>
  <c r="AO646"/>
  <c r="AN646"/>
  <c r="AL646"/>
  <c r="AK646"/>
  <c r="AF646"/>
  <c r="AE646"/>
  <c r="N646"/>
  <c r="AH646"/>
  <c r="AO645"/>
  <c r="AN645"/>
  <c r="AM645"/>
  <c r="AL645"/>
  <c r="AK645"/>
  <c r="AH645"/>
  <c r="AG645"/>
  <c r="AP645"/>
  <c r="AF645"/>
  <c r="AE645"/>
  <c r="AO644"/>
  <c r="AN644"/>
  <c r="AL644"/>
  <c r="AK644"/>
  <c r="AF644"/>
  <c r="AE644"/>
  <c r="N644"/>
  <c r="AH644"/>
  <c r="AO643"/>
  <c r="AN643"/>
  <c r="AM643"/>
  <c r="AL643"/>
  <c r="AK643"/>
  <c r="AH643"/>
  <c r="AG643"/>
  <c r="AP643"/>
  <c r="AF643"/>
  <c r="AE643"/>
  <c r="AO642"/>
  <c r="AN642"/>
  <c r="AL642"/>
  <c r="AK642"/>
  <c r="AF642"/>
  <c r="AE642"/>
  <c r="N642"/>
  <c r="AH642"/>
  <c r="AO641"/>
  <c r="AN641"/>
  <c r="AM641"/>
  <c r="AL641"/>
  <c r="AK641"/>
  <c r="AH641"/>
  <c r="AG641"/>
  <c r="AP641"/>
  <c r="AF641"/>
  <c r="AE641"/>
  <c r="AO640"/>
  <c r="AN640"/>
  <c r="AL640"/>
  <c r="AK640"/>
  <c r="AF640"/>
  <c r="AE640"/>
  <c r="N640"/>
  <c r="AH640"/>
  <c r="AO639"/>
  <c r="AN639"/>
  <c r="AM639"/>
  <c r="AL639"/>
  <c r="AK639"/>
  <c r="AH639"/>
  <c r="AG639"/>
  <c r="AP639"/>
  <c r="AF639"/>
  <c r="AE639"/>
  <c r="AL638"/>
  <c r="AK638"/>
  <c r="AF638"/>
  <c r="AE638"/>
  <c r="N638"/>
  <c r="AH638"/>
  <c r="AO637"/>
  <c r="AN637"/>
  <c r="AM637"/>
  <c r="AL637"/>
  <c r="AK637"/>
  <c r="AH637"/>
  <c r="AQ637"/>
  <c r="AG637"/>
  <c r="AP637"/>
  <c r="AF637"/>
  <c r="AE637"/>
  <c r="AL636"/>
  <c r="AK636"/>
  <c r="AF636"/>
  <c r="AE636"/>
  <c r="N636"/>
  <c r="AH636"/>
  <c r="AO635"/>
  <c r="AN635"/>
  <c r="AM635"/>
  <c r="AL635"/>
  <c r="AK635"/>
  <c r="AH635"/>
  <c r="AQ635"/>
  <c r="AG635"/>
  <c r="AP635"/>
  <c r="AF635"/>
  <c r="AE635"/>
  <c r="AL634"/>
  <c r="AK634"/>
  <c r="AF634"/>
  <c r="AE634"/>
  <c r="N634"/>
  <c r="AH634"/>
  <c r="AO633"/>
  <c r="AN633"/>
  <c r="AM633"/>
  <c r="AL633"/>
  <c r="AK633"/>
  <c r="AH633"/>
  <c r="AQ633"/>
  <c r="AG633"/>
  <c r="AF633"/>
  <c r="AE633"/>
  <c r="AL632"/>
  <c r="AK632"/>
  <c r="AF632"/>
  <c r="AE632"/>
  <c r="N632"/>
  <c r="AG632"/>
  <c r="AO631"/>
  <c r="AN631"/>
  <c r="AM631"/>
  <c r="AL631"/>
  <c r="AK631"/>
  <c r="AH631"/>
  <c r="AG631"/>
  <c r="AP631"/>
  <c r="AF631"/>
  <c r="AE631"/>
  <c r="AO630"/>
  <c r="AN630"/>
  <c r="AL630"/>
  <c r="AK630"/>
  <c r="AF630"/>
  <c r="AE630"/>
  <c r="N630"/>
  <c r="AH630"/>
  <c r="AO629"/>
  <c r="AN629"/>
  <c r="AM629"/>
  <c r="AL629"/>
  <c r="AK629"/>
  <c r="AH629"/>
  <c r="AG629"/>
  <c r="AP629"/>
  <c r="AF629"/>
  <c r="AE629"/>
  <c r="AO628"/>
  <c r="AN628"/>
  <c r="AL628"/>
  <c r="AK628"/>
  <c r="AF628"/>
  <c r="AE628"/>
  <c r="N628"/>
  <c r="AH628"/>
  <c r="AO627"/>
  <c r="AN627"/>
  <c r="AM627"/>
  <c r="AL627"/>
  <c r="AK627"/>
  <c r="AH627"/>
  <c r="AG627"/>
  <c r="AP627"/>
  <c r="AF627"/>
  <c r="AE627"/>
  <c r="AO626"/>
  <c r="AL626"/>
  <c r="AF626"/>
  <c r="O626"/>
  <c r="AC626"/>
  <c r="AE626"/>
  <c r="N626"/>
  <c r="AH626"/>
  <c r="AO625"/>
  <c r="AN625"/>
  <c r="AM625"/>
  <c r="AL625"/>
  <c r="AK625"/>
  <c r="AH625"/>
  <c r="AQ625"/>
  <c r="AG625"/>
  <c r="AP625"/>
  <c r="AF625"/>
  <c r="AE625"/>
  <c r="AO624"/>
  <c r="AN624"/>
  <c r="AL624"/>
  <c r="AK624"/>
  <c r="AF624"/>
  <c r="AE624"/>
  <c r="N624"/>
  <c r="AH624"/>
  <c r="AO623"/>
  <c r="AN623"/>
  <c r="AM623"/>
  <c r="AL623"/>
  <c r="AK623"/>
  <c r="AH623"/>
  <c r="AQ623"/>
  <c r="AG623"/>
  <c r="AP623"/>
  <c r="AF623"/>
  <c r="AE623"/>
  <c r="AO622"/>
  <c r="AN622"/>
  <c r="AL622"/>
  <c r="AK622"/>
  <c r="AF622"/>
  <c r="AE622"/>
  <c r="N622"/>
  <c r="AH622"/>
  <c r="AO621"/>
  <c r="AN621"/>
  <c r="AM621"/>
  <c r="AL621"/>
  <c r="AK621"/>
  <c r="AH621"/>
  <c r="AQ621"/>
  <c r="AG621"/>
  <c r="AP621"/>
  <c r="AF621"/>
  <c r="AE621"/>
  <c r="AL620"/>
  <c r="AK620"/>
  <c r="AF620"/>
  <c r="AE620"/>
  <c r="N620"/>
  <c r="AH620"/>
  <c r="AO619"/>
  <c r="AN619"/>
  <c r="AM619"/>
  <c r="AL619"/>
  <c r="AK619"/>
  <c r="AH619"/>
  <c r="AQ619"/>
  <c r="AG619"/>
  <c r="AP619"/>
  <c r="AF619"/>
  <c r="AE619"/>
  <c r="AL618"/>
  <c r="AK618"/>
  <c r="AF618"/>
  <c r="AE618"/>
  <c r="N618"/>
  <c r="AG618"/>
  <c r="AO617"/>
  <c r="AN617"/>
  <c r="AM617"/>
  <c r="AL617"/>
  <c r="AK617"/>
  <c r="AH617"/>
  <c r="AQ617"/>
  <c r="AG617"/>
  <c r="AF617"/>
  <c r="AE617"/>
  <c r="AO616"/>
  <c r="AN616"/>
  <c r="AL616"/>
  <c r="AK616"/>
  <c r="AF616"/>
  <c r="AE616"/>
  <c r="N616"/>
  <c r="AG616"/>
  <c r="AO615"/>
  <c r="AN615"/>
  <c r="AM615"/>
  <c r="AL615"/>
  <c r="AK615"/>
  <c r="AH615"/>
  <c r="AQ615"/>
  <c r="AG615"/>
  <c r="AF615"/>
  <c r="AE615"/>
  <c r="H615"/>
  <c r="AO614"/>
  <c r="AN614"/>
  <c r="AL614"/>
  <c r="AK614"/>
  <c r="AF614"/>
  <c r="AE614"/>
  <c r="N614"/>
  <c r="AH614"/>
  <c r="AO613"/>
  <c r="AN613"/>
  <c r="AM613"/>
  <c r="AL613"/>
  <c r="AK613"/>
  <c r="AH613"/>
  <c r="AG613"/>
  <c r="AP613"/>
  <c r="AF613"/>
  <c r="AE613"/>
  <c r="H613"/>
  <c r="N612"/>
  <c r="AO612"/>
  <c r="AN612"/>
  <c r="AL612"/>
  <c r="AK612"/>
  <c r="AF612"/>
  <c r="AE612"/>
  <c r="AO611"/>
  <c r="AN611"/>
  <c r="AM611"/>
  <c r="AL611"/>
  <c r="AK611"/>
  <c r="AH611"/>
  <c r="AQ611"/>
  <c r="AG611"/>
  <c r="AP611"/>
  <c r="AF611"/>
  <c r="AE611"/>
  <c r="H611"/>
  <c r="N610"/>
  <c r="AO610"/>
  <c r="AN610"/>
  <c r="AL610"/>
  <c r="AK610"/>
  <c r="AF610"/>
  <c r="AE610"/>
  <c r="AO609"/>
  <c r="AN609"/>
  <c r="AM609"/>
  <c r="AL609"/>
  <c r="AK609"/>
  <c r="AH609"/>
  <c r="AQ609"/>
  <c r="AG609"/>
  <c r="AP609"/>
  <c r="AF609"/>
  <c r="AE609"/>
  <c r="H609"/>
  <c r="N608"/>
  <c r="AO608"/>
  <c r="AN608"/>
  <c r="AL608"/>
  <c r="AK608"/>
  <c r="AF608"/>
  <c r="AE608"/>
  <c r="AO607"/>
  <c r="AN607"/>
  <c r="AM607"/>
  <c r="AL607"/>
  <c r="AK607"/>
  <c r="AH607"/>
  <c r="AQ607"/>
  <c r="AG607"/>
  <c r="AF607"/>
  <c r="AE607"/>
  <c r="H607"/>
  <c r="N606"/>
  <c r="AO606"/>
  <c r="AN606"/>
  <c r="AL606"/>
  <c r="AK606"/>
  <c r="AF606"/>
  <c r="AE606"/>
  <c r="AO605"/>
  <c r="AN605"/>
  <c r="AM605"/>
  <c r="AL605"/>
  <c r="AK605"/>
  <c r="AH605"/>
  <c r="AG605"/>
  <c r="AF605"/>
  <c r="AE605"/>
  <c r="H605"/>
  <c r="N604"/>
  <c r="AG604"/>
  <c r="AO604"/>
  <c r="AN604"/>
  <c r="AL604"/>
  <c r="AK604"/>
  <c r="AF604"/>
  <c r="AE604"/>
  <c r="AQ603"/>
  <c r="AP603"/>
  <c r="AQ602"/>
  <c r="AP602"/>
  <c r="Y602"/>
  <c r="Y670"/>
  <c r="P602"/>
  <c r="P670"/>
  <c r="O602"/>
  <c r="O670"/>
  <c r="AO601"/>
  <c r="AN601"/>
  <c r="AM601"/>
  <c r="AL601"/>
  <c r="AK601"/>
  <c r="AH601"/>
  <c r="AQ601"/>
  <c r="AG601"/>
  <c r="AF601"/>
  <c r="AE601"/>
  <c r="AO600"/>
  <c r="AN600"/>
  <c r="AL600"/>
  <c r="AK600"/>
  <c r="AF600"/>
  <c r="AE600"/>
  <c r="N600"/>
  <c r="AG600"/>
  <c r="AO595"/>
  <c r="AN595"/>
  <c r="AM595"/>
  <c r="AL595"/>
  <c r="AK595"/>
  <c r="AH595"/>
  <c r="AQ595"/>
  <c r="AG595"/>
  <c r="AP595"/>
  <c r="AF595"/>
  <c r="AE595"/>
  <c r="AO594"/>
  <c r="AN594"/>
  <c r="AL594"/>
  <c r="AK594"/>
  <c r="AF594"/>
  <c r="AE594"/>
  <c r="N594"/>
  <c r="AG594"/>
  <c r="AO593"/>
  <c r="AN593"/>
  <c r="AM593"/>
  <c r="AL593"/>
  <c r="AK593"/>
  <c r="AH593"/>
  <c r="AQ593"/>
  <c r="AG593"/>
  <c r="AP593"/>
  <c r="AF593"/>
  <c r="AE593"/>
  <c r="AO592"/>
  <c r="AN592"/>
  <c r="AL592"/>
  <c r="AK592"/>
  <c r="AF592"/>
  <c r="AE592"/>
  <c r="N592"/>
  <c r="AG592"/>
  <c r="AO591"/>
  <c r="AN591"/>
  <c r="AM591"/>
  <c r="AL591"/>
  <c r="AK591"/>
  <c r="AH591"/>
  <c r="AQ591"/>
  <c r="AG591"/>
  <c r="AP591"/>
  <c r="AF591"/>
  <c r="AE591"/>
  <c r="AO590"/>
  <c r="AN590"/>
  <c r="AL590"/>
  <c r="AK590"/>
  <c r="AF590"/>
  <c r="AE590"/>
  <c r="N590"/>
  <c r="AG590"/>
  <c r="AO589"/>
  <c r="AN589"/>
  <c r="AM589"/>
  <c r="AL589"/>
  <c r="AK589"/>
  <c r="AH589"/>
  <c r="AQ589"/>
  <c r="AG589"/>
  <c r="AP589"/>
  <c r="AF589"/>
  <c r="AE589"/>
  <c r="AO588"/>
  <c r="AN588"/>
  <c r="AL588"/>
  <c r="AK588"/>
  <c r="AF588"/>
  <c r="AE588"/>
  <c r="N588"/>
  <c r="AG588"/>
  <c r="AO587"/>
  <c r="AN587"/>
  <c r="AM587"/>
  <c r="AL587"/>
  <c r="AK587"/>
  <c r="AH587"/>
  <c r="AQ587"/>
  <c r="AG587"/>
  <c r="AP587"/>
  <c r="AF587"/>
  <c r="AE587"/>
  <c r="AO586"/>
  <c r="AN586"/>
  <c r="AL586"/>
  <c r="AK586"/>
  <c r="AF586"/>
  <c r="AE586"/>
  <c r="N586"/>
  <c r="AG586"/>
  <c r="AO585"/>
  <c r="AN585"/>
  <c r="AM585"/>
  <c r="AL585"/>
  <c r="AK585"/>
  <c r="AH585"/>
  <c r="AQ585"/>
  <c r="AG585"/>
  <c r="AP585"/>
  <c r="AF585"/>
  <c r="AE585"/>
  <c r="AO584"/>
  <c r="AN584"/>
  <c r="AL584"/>
  <c r="AK584"/>
  <c r="AF584"/>
  <c r="AE584"/>
  <c r="N584"/>
  <c r="AG584"/>
  <c r="AO583"/>
  <c r="AN583"/>
  <c r="AM583"/>
  <c r="AL583"/>
  <c r="AK583"/>
  <c r="AH583"/>
  <c r="AQ583"/>
  <c r="AG583"/>
  <c r="AP583"/>
  <c r="AF583"/>
  <c r="AE583"/>
  <c r="AO582"/>
  <c r="AN582"/>
  <c r="AL582"/>
  <c r="AK582"/>
  <c r="AF582"/>
  <c r="AE582"/>
  <c r="N582"/>
  <c r="AG582"/>
  <c r="AO581"/>
  <c r="AN581"/>
  <c r="AM581"/>
  <c r="AL581"/>
  <c r="AK581"/>
  <c r="AH581"/>
  <c r="AQ581"/>
  <c r="AG581"/>
  <c r="AP581"/>
  <c r="AS581"/>
  <c r="AF581"/>
  <c r="AE581"/>
  <c r="AO580"/>
  <c r="AN580"/>
  <c r="AL580"/>
  <c r="AK580"/>
  <c r="AF580"/>
  <c r="AE580"/>
  <c r="N580"/>
  <c r="AG580"/>
  <c r="AO579"/>
  <c r="AN579"/>
  <c r="AM579"/>
  <c r="AL579"/>
  <c r="AK579"/>
  <c r="AH579"/>
  <c r="AQ579"/>
  <c r="AG579"/>
  <c r="AP579"/>
  <c r="AF579"/>
  <c r="AE579"/>
  <c r="AO578"/>
  <c r="AN578"/>
  <c r="AL578"/>
  <c r="AK578"/>
  <c r="AF578"/>
  <c r="AE578"/>
  <c r="N578"/>
  <c r="AG578"/>
  <c r="AP578"/>
  <c r="AO577"/>
  <c r="AN577"/>
  <c r="AM577"/>
  <c r="AL577"/>
  <c r="AK577"/>
  <c r="AH577"/>
  <c r="AQ577"/>
  <c r="AG577"/>
  <c r="AP577"/>
  <c r="AF577"/>
  <c r="AE577"/>
  <c r="AO576"/>
  <c r="AN576"/>
  <c r="AL576"/>
  <c r="AK576"/>
  <c r="AF576"/>
  <c r="AE576"/>
  <c r="N576"/>
  <c r="AH576"/>
  <c r="AO575"/>
  <c r="AN575"/>
  <c r="AM575"/>
  <c r="AL575"/>
  <c r="AK575"/>
  <c r="AH575"/>
  <c r="AQ575"/>
  <c r="AG575"/>
  <c r="AP575"/>
  <c r="AF575"/>
  <c r="AE575"/>
  <c r="AO574"/>
  <c r="AN574"/>
  <c r="AL574"/>
  <c r="AK574"/>
  <c r="AF574"/>
  <c r="AE574"/>
  <c r="N574"/>
  <c r="AH574"/>
  <c r="AO573"/>
  <c r="AN573"/>
  <c r="AM573"/>
  <c r="AL573"/>
  <c r="AK573"/>
  <c r="AH573"/>
  <c r="AQ573"/>
  <c r="AG573"/>
  <c r="AP573"/>
  <c r="AF573"/>
  <c r="AE573"/>
  <c r="AO572"/>
  <c r="AN572"/>
  <c r="AL572"/>
  <c r="AK572"/>
  <c r="AF572"/>
  <c r="AE572"/>
  <c r="N572"/>
  <c r="AH572"/>
  <c r="AO571"/>
  <c r="AN571"/>
  <c r="AM571"/>
  <c r="AL571"/>
  <c r="AK571"/>
  <c r="AH571"/>
  <c r="AQ571"/>
  <c r="AG571"/>
  <c r="AP571"/>
  <c r="AF571"/>
  <c r="AE571"/>
  <c r="AO570"/>
  <c r="AN570"/>
  <c r="AL570"/>
  <c r="AK570"/>
  <c r="AF570"/>
  <c r="AE570"/>
  <c r="N570"/>
  <c r="AH570"/>
  <c r="AO569"/>
  <c r="AN569"/>
  <c r="AM569"/>
  <c r="AL569"/>
  <c r="AK569"/>
  <c r="AH569"/>
  <c r="AQ569"/>
  <c r="AG569"/>
  <c r="AP569"/>
  <c r="AF569"/>
  <c r="AE569"/>
  <c r="AO568"/>
  <c r="AN568"/>
  <c r="AL568"/>
  <c r="AK568"/>
  <c r="AF568"/>
  <c r="AE568"/>
  <c r="N568"/>
  <c r="AH568"/>
  <c r="AO567"/>
  <c r="AN567"/>
  <c r="AM567"/>
  <c r="AL567"/>
  <c r="AK567"/>
  <c r="AH567"/>
  <c r="AQ567"/>
  <c r="AG567"/>
  <c r="AP567"/>
  <c r="AF567"/>
  <c r="AE567"/>
  <c r="AO566"/>
  <c r="AN566"/>
  <c r="AL566"/>
  <c r="AK566"/>
  <c r="AF566"/>
  <c r="AE566"/>
  <c r="N566"/>
  <c r="AH566"/>
  <c r="AO565"/>
  <c r="AN565"/>
  <c r="AM565"/>
  <c r="AL565"/>
  <c r="AK565"/>
  <c r="AH565"/>
  <c r="AQ565"/>
  <c r="AG565"/>
  <c r="AP565"/>
  <c r="AF565"/>
  <c r="AE565"/>
  <c r="AO564"/>
  <c r="AN564"/>
  <c r="AL564"/>
  <c r="AK564"/>
  <c r="AF564"/>
  <c r="AE564"/>
  <c r="N564"/>
  <c r="AH564"/>
  <c r="AO563"/>
  <c r="AN563"/>
  <c r="AM563"/>
  <c r="AL563"/>
  <c r="AK563"/>
  <c r="AH563"/>
  <c r="AQ563"/>
  <c r="AG563"/>
  <c r="AP563"/>
  <c r="AF563"/>
  <c r="AE563"/>
  <c r="AO562"/>
  <c r="AN562"/>
  <c r="AM562"/>
  <c r="AL562"/>
  <c r="AK562"/>
  <c r="AO561"/>
  <c r="AN561"/>
  <c r="AM561"/>
  <c r="AL561"/>
  <c r="AK561"/>
  <c r="AH561"/>
  <c r="AQ561"/>
  <c r="AG561"/>
  <c r="AP561"/>
  <c r="AF561"/>
  <c r="AE561"/>
  <c r="AO560"/>
  <c r="AN560"/>
  <c r="AM560"/>
  <c r="AL560"/>
  <c r="AK560"/>
  <c r="AO559"/>
  <c r="AN559"/>
  <c r="AM559"/>
  <c r="AL559"/>
  <c r="AK559"/>
  <c r="AH559"/>
  <c r="AG559"/>
  <c r="AP559"/>
  <c r="AF559"/>
  <c r="AE559"/>
  <c r="AO558"/>
  <c r="AN558"/>
  <c r="AM558"/>
  <c r="AL558"/>
  <c r="AK558"/>
  <c r="AH558"/>
  <c r="AQ558"/>
  <c r="AG558"/>
  <c r="AF558"/>
  <c r="AE558"/>
  <c r="AQ557"/>
  <c r="AP557"/>
  <c r="S557"/>
  <c r="P557"/>
  <c r="P669"/>
  <c r="P685"/>
  <c r="O557"/>
  <c r="O669"/>
  <c r="G557"/>
  <c r="AO556"/>
  <c r="AN556"/>
  <c r="AM556"/>
  <c r="AL556"/>
  <c r="AK556"/>
  <c r="AH556"/>
  <c r="AG556"/>
  <c r="AP556"/>
  <c r="AS556"/>
  <c r="AF556"/>
  <c r="AE556"/>
  <c r="AO555"/>
  <c r="AN555"/>
  <c r="AL555"/>
  <c r="AK555"/>
  <c r="AF555"/>
  <c r="AE555"/>
  <c r="AC557"/>
  <c r="AC669"/>
  <c r="AA557"/>
  <c r="AA669"/>
  <c r="N555"/>
  <c r="AH555"/>
  <c r="AO554"/>
  <c r="AN554"/>
  <c r="AM554"/>
  <c r="AL554"/>
  <c r="AK554"/>
  <c r="AH554"/>
  <c r="AQ554"/>
  <c r="AG554"/>
  <c r="AP554"/>
  <c r="AF554"/>
  <c r="AE554"/>
  <c r="AQ553"/>
  <c r="AP553"/>
  <c r="AQ552"/>
  <c r="AP552"/>
  <c r="Y552"/>
  <c r="P552"/>
  <c r="O552"/>
  <c r="G552"/>
  <c r="AO551"/>
  <c r="AN551"/>
  <c r="AM551"/>
  <c r="AL551"/>
  <c r="AK551"/>
  <c r="AH551"/>
  <c r="AG551"/>
  <c r="AP551"/>
  <c r="AF551"/>
  <c r="AE551"/>
  <c r="AL550"/>
  <c r="AK550"/>
  <c r="AF550"/>
  <c r="AE550"/>
  <c r="N550"/>
  <c r="AH550"/>
  <c r="AO549"/>
  <c r="AN549"/>
  <c r="AM549"/>
  <c r="AL549"/>
  <c r="AK549"/>
  <c r="AH549"/>
  <c r="AQ549"/>
  <c r="AG549"/>
  <c r="AP549"/>
  <c r="AS549"/>
  <c r="AF549"/>
  <c r="AE549"/>
  <c r="AL548"/>
  <c r="AK548"/>
  <c r="AF548"/>
  <c r="AE548"/>
  <c r="N548"/>
  <c r="AG548"/>
  <c r="AO547"/>
  <c r="AN547"/>
  <c r="AM547"/>
  <c r="AL547"/>
  <c r="AK547"/>
  <c r="AH547"/>
  <c r="AQ547"/>
  <c r="AG547"/>
  <c r="AF547"/>
  <c r="AE547"/>
  <c r="AL546"/>
  <c r="AK546"/>
  <c r="AF546"/>
  <c r="AE546"/>
  <c r="N546"/>
  <c r="AG546"/>
  <c r="AO545"/>
  <c r="AN545"/>
  <c r="AM545"/>
  <c r="AL545"/>
  <c r="AK545"/>
  <c r="AH545"/>
  <c r="AG545"/>
  <c r="AF545"/>
  <c r="AE545"/>
  <c r="AL544"/>
  <c r="AK544"/>
  <c r="AF544"/>
  <c r="AE544"/>
  <c r="N544"/>
  <c r="AH544"/>
  <c r="AO543"/>
  <c r="AN543"/>
  <c r="AM543"/>
  <c r="AL543"/>
  <c r="AK543"/>
  <c r="AH543"/>
  <c r="AG543"/>
  <c r="AP543"/>
  <c r="AF543"/>
  <c r="AE543"/>
  <c r="AL542"/>
  <c r="AK542"/>
  <c r="AF542"/>
  <c r="AE542"/>
  <c r="N542"/>
  <c r="AH542"/>
  <c r="AO541"/>
  <c r="AN541"/>
  <c r="AM541"/>
  <c r="AL541"/>
  <c r="AK541"/>
  <c r="AH541"/>
  <c r="AQ541"/>
  <c r="AG541"/>
  <c r="AP541"/>
  <c r="AF541"/>
  <c r="AE541"/>
  <c r="AQ540"/>
  <c r="AP540"/>
  <c r="Y540"/>
  <c r="P540"/>
  <c r="O540"/>
  <c r="G540"/>
  <c r="AO539"/>
  <c r="AN539"/>
  <c r="AM539"/>
  <c r="AL539"/>
  <c r="AK539"/>
  <c r="AH539"/>
  <c r="AG539"/>
  <c r="AP539"/>
  <c r="AF539"/>
  <c r="AE539"/>
  <c r="AL538"/>
  <c r="AK538"/>
  <c r="AF538"/>
  <c r="AE538"/>
  <c r="AC540"/>
  <c r="N538"/>
  <c r="AH538"/>
  <c r="AO537"/>
  <c r="AN537"/>
  <c r="AM537"/>
  <c r="AL537"/>
  <c r="AK537"/>
  <c r="AH537"/>
  <c r="AQ537"/>
  <c r="AG537"/>
  <c r="AP537"/>
  <c r="AF537"/>
  <c r="AE537"/>
  <c r="AO536"/>
  <c r="AN536"/>
  <c r="AM536"/>
  <c r="AL536"/>
  <c r="AK536"/>
  <c r="AH536"/>
  <c r="AQ536"/>
  <c r="AG536"/>
  <c r="AF536"/>
  <c r="AE536"/>
  <c r="AQ535"/>
  <c r="AP535"/>
  <c r="Y535"/>
  <c r="P535"/>
  <c r="O535"/>
  <c r="G535"/>
  <c r="AO534"/>
  <c r="AN534"/>
  <c r="AM534"/>
  <c r="AL534"/>
  <c r="AK534"/>
  <c r="AH534"/>
  <c r="AG534"/>
  <c r="AP534"/>
  <c r="AF534"/>
  <c r="AE534"/>
  <c r="AL533"/>
  <c r="AK533"/>
  <c r="AF533"/>
  <c r="AE533"/>
  <c r="N533"/>
  <c r="AH533"/>
  <c r="AO532"/>
  <c r="AN532"/>
  <c r="AM532"/>
  <c r="AL532"/>
  <c r="AK532"/>
  <c r="AH532"/>
  <c r="AQ532"/>
  <c r="AG532"/>
  <c r="AP532"/>
  <c r="AF532"/>
  <c r="AE532"/>
  <c r="AL531"/>
  <c r="AK531"/>
  <c r="AF531"/>
  <c r="AE531"/>
  <c r="N531"/>
  <c r="AG531"/>
  <c r="AO530"/>
  <c r="AN530"/>
  <c r="AM530"/>
  <c r="AL530"/>
  <c r="AK530"/>
  <c r="AH530"/>
  <c r="AQ530"/>
  <c r="AG530"/>
  <c r="AF530"/>
  <c r="AE530"/>
  <c r="AL529"/>
  <c r="AK529"/>
  <c r="AF529"/>
  <c r="AE529"/>
  <c r="N529"/>
  <c r="AG529"/>
  <c r="AO528"/>
  <c r="AN528"/>
  <c r="AM528"/>
  <c r="AL528"/>
  <c r="AK528"/>
  <c r="AH528"/>
  <c r="AG528"/>
  <c r="AF528"/>
  <c r="AE528"/>
  <c r="AL527"/>
  <c r="AK527"/>
  <c r="AF527"/>
  <c r="AE527"/>
  <c r="N527"/>
  <c r="AH527"/>
  <c r="AO526"/>
  <c r="AN526"/>
  <c r="AM526"/>
  <c r="AL526"/>
  <c r="AK526"/>
  <c r="AH526"/>
  <c r="AG526"/>
  <c r="AP526"/>
  <c r="AF526"/>
  <c r="AE526"/>
  <c r="AQ525"/>
  <c r="AP525"/>
  <c r="Y525"/>
  <c r="X525"/>
  <c r="W525"/>
  <c r="S525"/>
  <c r="P525"/>
  <c r="O525"/>
  <c r="N525"/>
  <c r="L525"/>
  <c r="G525"/>
  <c r="AO524"/>
  <c r="AN524"/>
  <c r="AM524"/>
  <c r="AL524"/>
  <c r="AK524"/>
  <c r="AH524"/>
  <c r="AG524"/>
  <c r="AF524"/>
  <c r="AE524"/>
  <c r="AO523"/>
  <c r="AN523"/>
  <c r="AM523"/>
  <c r="AL523"/>
  <c r="AK523"/>
  <c r="AH523"/>
  <c r="AQ523"/>
  <c r="AG523"/>
  <c r="AP523"/>
  <c r="AF523"/>
  <c r="AE523"/>
  <c r="AD523"/>
  <c r="AD525"/>
  <c r="Z523"/>
  <c r="Z525"/>
  <c r="AO522"/>
  <c r="AN522"/>
  <c r="AM522"/>
  <c r="AL522"/>
  <c r="AK522"/>
  <c r="AH522"/>
  <c r="AG522"/>
  <c r="AP522"/>
  <c r="AF522"/>
  <c r="AE522"/>
  <c r="AQ521"/>
  <c r="AP521"/>
  <c r="Y521"/>
  <c r="P521"/>
  <c r="O521"/>
  <c r="G521"/>
  <c r="AO520"/>
  <c r="AN520"/>
  <c r="AM520"/>
  <c r="AL520"/>
  <c r="AK520"/>
  <c r="AH520"/>
  <c r="AQ520"/>
  <c r="AG520"/>
  <c r="AF520"/>
  <c r="AE520"/>
  <c r="AL519"/>
  <c r="AK519"/>
  <c r="AF519"/>
  <c r="AE519"/>
  <c r="N519"/>
  <c r="AG519"/>
  <c r="AO518"/>
  <c r="AN518"/>
  <c r="AM518"/>
  <c r="AL518"/>
  <c r="AK518"/>
  <c r="AH518"/>
  <c r="AG518"/>
  <c r="AF518"/>
  <c r="AE518"/>
  <c r="AL517"/>
  <c r="AK517"/>
  <c r="AF517"/>
  <c r="AE517"/>
  <c r="N517"/>
  <c r="AH517"/>
  <c r="AO516"/>
  <c r="AN516"/>
  <c r="AM516"/>
  <c r="AL516"/>
  <c r="AK516"/>
  <c r="AH516"/>
  <c r="AG516"/>
  <c r="AP516"/>
  <c r="AF516"/>
  <c r="AE516"/>
  <c r="AL515"/>
  <c r="AK515"/>
  <c r="AF515"/>
  <c r="AE515"/>
  <c r="N515"/>
  <c r="AH515"/>
  <c r="AO514"/>
  <c r="AN514"/>
  <c r="AM514"/>
  <c r="AL514"/>
  <c r="AK514"/>
  <c r="AH514"/>
  <c r="AQ514"/>
  <c r="AG514"/>
  <c r="AP514"/>
  <c r="AF514"/>
  <c r="AE514"/>
  <c r="AL513"/>
  <c r="AK513"/>
  <c r="AF513"/>
  <c r="AE513"/>
  <c r="N513"/>
  <c r="AG513"/>
  <c r="AO512"/>
  <c r="AN512"/>
  <c r="AM512"/>
  <c r="AL512"/>
  <c r="AK512"/>
  <c r="AH512"/>
  <c r="AQ512"/>
  <c r="AG512"/>
  <c r="AF512"/>
  <c r="AE512"/>
  <c r="AL511"/>
  <c r="AK511"/>
  <c r="AF511"/>
  <c r="AE511"/>
  <c r="N511"/>
  <c r="AG511"/>
  <c r="AO510"/>
  <c r="AN510"/>
  <c r="AM510"/>
  <c r="AL510"/>
  <c r="AK510"/>
  <c r="AH510"/>
  <c r="AG510"/>
  <c r="AF510"/>
  <c r="AE510"/>
  <c r="AL509"/>
  <c r="AK509"/>
  <c r="AF509"/>
  <c r="AE509"/>
  <c r="N509"/>
  <c r="AH509"/>
  <c r="AO508"/>
  <c r="AN508"/>
  <c r="AM508"/>
  <c r="AL508"/>
  <c r="AK508"/>
  <c r="AH508"/>
  <c r="AG508"/>
  <c r="AP508"/>
  <c r="AF508"/>
  <c r="AE508"/>
  <c r="AQ507"/>
  <c r="AP507"/>
  <c r="Y507"/>
  <c r="P507"/>
  <c r="O507"/>
  <c r="G507"/>
  <c r="AO506"/>
  <c r="AN506"/>
  <c r="AM506"/>
  <c r="AL506"/>
  <c r="AK506"/>
  <c r="AH506"/>
  <c r="AQ506"/>
  <c r="AG506"/>
  <c r="AF506"/>
  <c r="AE506"/>
  <c r="AL505"/>
  <c r="AK505"/>
  <c r="AF505"/>
  <c r="AE505"/>
  <c r="AG505"/>
  <c r="AO504"/>
  <c r="AN504"/>
  <c r="AM504"/>
  <c r="AL504"/>
  <c r="AK504"/>
  <c r="AH504"/>
  <c r="AG504"/>
  <c r="AP504"/>
  <c r="AF504"/>
  <c r="AE504"/>
  <c r="AL503"/>
  <c r="AK503"/>
  <c r="AF503"/>
  <c r="AE503"/>
  <c r="N503"/>
  <c r="AH503"/>
  <c r="AO502"/>
  <c r="AN502"/>
  <c r="AM502"/>
  <c r="AL502"/>
  <c r="AK502"/>
  <c r="AH502"/>
  <c r="AG502"/>
  <c r="AP502"/>
  <c r="AF502"/>
  <c r="AE502"/>
  <c r="AL501"/>
  <c r="AK501"/>
  <c r="AF501"/>
  <c r="AE501"/>
  <c r="AH501"/>
  <c r="AO500"/>
  <c r="AN500"/>
  <c r="AM500"/>
  <c r="AL500"/>
  <c r="AK500"/>
  <c r="AH500"/>
  <c r="AQ500"/>
  <c r="AG500"/>
  <c r="AP500"/>
  <c r="AF500"/>
  <c r="AE500"/>
  <c r="AL499"/>
  <c r="AK499"/>
  <c r="AF499"/>
  <c r="AE499"/>
  <c r="N499"/>
  <c r="AG499"/>
  <c r="AO498"/>
  <c r="AN498"/>
  <c r="AM498"/>
  <c r="AL498"/>
  <c r="AK498"/>
  <c r="AH498"/>
  <c r="AQ498"/>
  <c r="AG498"/>
  <c r="AF498"/>
  <c r="AE498"/>
  <c r="AL497"/>
  <c r="AK497"/>
  <c r="AF497"/>
  <c r="AE497"/>
  <c r="AG497"/>
  <c r="AO496"/>
  <c r="AN496"/>
  <c r="AM496"/>
  <c r="AL496"/>
  <c r="AK496"/>
  <c r="AH496"/>
  <c r="AG496"/>
  <c r="AF496"/>
  <c r="AE496"/>
  <c r="AQ495"/>
  <c r="AP495"/>
  <c r="Y495"/>
  <c r="P495"/>
  <c r="O495"/>
  <c r="G495"/>
  <c r="AO494"/>
  <c r="AN494"/>
  <c r="AM494"/>
  <c r="AL494"/>
  <c r="AK494"/>
  <c r="AH494"/>
  <c r="AQ494"/>
  <c r="AG494"/>
  <c r="AP494"/>
  <c r="AF494"/>
  <c r="AE494"/>
  <c r="AL493"/>
  <c r="AK493"/>
  <c r="AF493"/>
  <c r="AE493"/>
  <c r="N493"/>
  <c r="AH493"/>
  <c r="AO492"/>
  <c r="AN492"/>
  <c r="AM492"/>
  <c r="AL492"/>
  <c r="AK492"/>
  <c r="AH492"/>
  <c r="AQ492"/>
  <c r="AG492"/>
  <c r="AF492"/>
  <c r="AE492"/>
  <c r="AL491"/>
  <c r="AK491"/>
  <c r="AF491"/>
  <c r="AE491"/>
  <c r="N491"/>
  <c r="AG491"/>
  <c r="AP491"/>
  <c r="AO490"/>
  <c r="AN490"/>
  <c r="AM490"/>
  <c r="AL490"/>
  <c r="AK490"/>
  <c r="AH490"/>
  <c r="AG490"/>
  <c r="AF490"/>
  <c r="AE490"/>
  <c r="AL489"/>
  <c r="AK489"/>
  <c r="AF489"/>
  <c r="AE489"/>
  <c r="N489"/>
  <c r="AH489"/>
  <c r="AQ489"/>
  <c r="AO488"/>
  <c r="AN488"/>
  <c r="AM488"/>
  <c r="AL488"/>
  <c r="AK488"/>
  <c r="AH488"/>
  <c r="AG488"/>
  <c r="AP488"/>
  <c r="AF488"/>
  <c r="AE488"/>
  <c r="AL487"/>
  <c r="AK487"/>
  <c r="AF487"/>
  <c r="AE487"/>
  <c r="N487"/>
  <c r="AH487"/>
  <c r="AO486"/>
  <c r="AN486"/>
  <c r="AM486"/>
  <c r="AL486"/>
  <c r="AK486"/>
  <c r="AH486"/>
  <c r="AQ486"/>
  <c r="AG486"/>
  <c r="AP486"/>
  <c r="AF486"/>
  <c r="AE486"/>
  <c r="AL485"/>
  <c r="AK485"/>
  <c r="AF485"/>
  <c r="AE485"/>
  <c r="N485"/>
  <c r="S485"/>
  <c r="AN485"/>
  <c r="AO484"/>
  <c r="AN484"/>
  <c r="AM484"/>
  <c r="AL484"/>
  <c r="AK484"/>
  <c r="AH484"/>
  <c r="AQ484"/>
  <c r="AG484"/>
  <c r="AF484"/>
  <c r="AE484"/>
  <c r="AL483"/>
  <c r="AK483"/>
  <c r="AF483"/>
  <c r="AE483"/>
  <c r="N483"/>
  <c r="S483"/>
  <c r="AO482"/>
  <c r="AN482"/>
  <c r="AM482"/>
  <c r="AL482"/>
  <c r="AK482"/>
  <c r="AH482"/>
  <c r="AG482"/>
  <c r="AF482"/>
  <c r="AE482"/>
  <c r="Y481"/>
  <c r="P481"/>
  <c r="O481"/>
  <c r="G481"/>
  <c r="AO480"/>
  <c r="AN480"/>
  <c r="AM480"/>
  <c r="AL480"/>
  <c r="AK480"/>
  <c r="AH480"/>
  <c r="AQ480"/>
  <c r="AG480"/>
  <c r="AP480"/>
  <c r="AF480"/>
  <c r="AE480"/>
  <c r="AL479"/>
  <c r="AK479"/>
  <c r="AF479"/>
  <c r="AE479"/>
  <c r="N479"/>
  <c r="S479"/>
  <c r="AN479"/>
  <c r="AO478"/>
  <c r="AN478"/>
  <c r="AM478"/>
  <c r="AL478"/>
  <c r="AK478"/>
  <c r="AH478"/>
  <c r="AQ478"/>
  <c r="AG478"/>
  <c r="AF478"/>
  <c r="AE478"/>
  <c r="AL477"/>
  <c r="AK477"/>
  <c r="AF477"/>
  <c r="AE477"/>
  <c r="N477"/>
  <c r="S477"/>
  <c r="AO476"/>
  <c r="AN476"/>
  <c r="AM476"/>
  <c r="AL476"/>
  <c r="AK476"/>
  <c r="AH476"/>
  <c r="AG476"/>
  <c r="AF476"/>
  <c r="AE476"/>
  <c r="AL475"/>
  <c r="AK475"/>
  <c r="AF475"/>
  <c r="AE475"/>
  <c r="N475"/>
  <c r="S475"/>
  <c r="AO474"/>
  <c r="AN474"/>
  <c r="AM474"/>
  <c r="AL474"/>
  <c r="AK474"/>
  <c r="AH474"/>
  <c r="AG474"/>
  <c r="AF474"/>
  <c r="AE474"/>
  <c r="AL473"/>
  <c r="AK473"/>
  <c r="AF473"/>
  <c r="AE473"/>
  <c r="N473"/>
  <c r="AH473"/>
  <c r="AO472"/>
  <c r="AN472"/>
  <c r="AM472"/>
  <c r="AL472"/>
  <c r="AK472"/>
  <c r="AH472"/>
  <c r="AG472"/>
  <c r="AP472"/>
  <c r="AF472"/>
  <c r="AE472"/>
  <c r="AL471"/>
  <c r="AK471"/>
  <c r="AF471"/>
  <c r="AE471"/>
  <c r="AH471"/>
  <c r="AO470"/>
  <c r="AN470"/>
  <c r="AM470"/>
  <c r="AL470"/>
  <c r="AK470"/>
  <c r="AH470"/>
  <c r="AQ470"/>
  <c r="AG470"/>
  <c r="AP470"/>
  <c r="AF470"/>
  <c r="AE470"/>
  <c r="AR668"/>
  <c r="AR684"/>
  <c r="Y469"/>
  <c r="V469"/>
  <c r="R469"/>
  <c r="Q469"/>
  <c r="P469"/>
  <c r="O469"/>
  <c r="G469"/>
  <c r="AO468"/>
  <c r="AN468"/>
  <c r="AM468"/>
  <c r="AL468"/>
  <c r="AK468"/>
  <c r="AH468"/>
  <c r="AG468"/>
  <c r="AP468"/>
  <c r="AF468"/>
  <c r="AE468"/>
  <c r="L468"/>
  <c r="N467"/>
  <c r="AL467"/>
  <c r="AK467"/>
  <c r="AF467"/>
  <c r="AE467"/>
  <c r="AO466"/>
  <c r="AN466"/>
  <c r="AM466"/>
  <c r="AL466"/>
  <c r="AK466"/>
  <c r="AH466"/>
  <c r="AQ466"/>
  <c r="AG466"/>
  <c r="AP466"/>
  <c r="AF466"/>
  <c r="AE466"/>
  <c r="L466"/>
  <c r="N465"/>
  <c r="AD465"/>
  <c r="AL465"/>
  <c r="AK465"/>
  <c r="AF465"/>
  <c r="AE465"/>
  <c r="AO464"/>
  <c r="AN464"/>
  <c r="AM464"/>
  <c r="AL464"/>
  <c r="AK464"/>
  <c r="AH464"/>
  <c r="AG464"/>
  <c r="AP464"/>
  <c r="AF464"/>
  <c r="AE464"/>
  <c r="L464"/>
  <c r="N463"/>
  <c r="S463"/>
  <c r="AN463"/>
  <c r="AL463"/>
  <c r="AK463"/>
  <c r="AF463"/>
  <c r="AE463"/>
  <c r="AO462"/>
  <c r="AN462"/>
  <c r="AM462"/>
  <c r="AL462"/>
  <c r="AK462"/>
  <c r="AH462"/>
  <c r="AQ462"/>
  <c r="AG462"/>
  <c r="AP462"/>
  <c r="AF462"/>
  <c r="AE462"/>
  <c r="L462"/>
  <c r="N461"/>
  <c r="AL461"/>
  <c r="AK461"/>
  <c r="AF461"/>
  <c r="AE461"/>
  <c r="AO460"/>
  <c r="AN460"/>
  <c r="AM460"/>
  <c r="AL460"/>
  <c r="AK460"/>
  <c r="AH460"/>
  <c r="AG460"/>
  <c r="AF460"/>
  <c r="AE460"/>
  <c r="L460"/>
  <c r="N459"/>
  <c r="S459"/>
  <c r="AN459"/>
  <c r="AL459"/>
  <c r="AK459"/>
  <c r="AF459"/>
  <c r="AE459"/>
  <c r="AO458"/>
  <c r="AN458"/>
  <c r="AM458"/>
  <c r="AL458"/>
  <c r="AK458"/>
  <c r="AH458"/>
  <c r="AQ458"/>
  <c r="AG458"/>
  <c r="AP458"/>
  <c r="AF458"/>
  <c r="AE458"/>
  <c r="L458"/>
  <c r="N457"/>
  <c r="AL457"/>
  <c r="AK457"/>
  <c r="AF457"/>
  <c r="AE457"/>
  <c r="AO456"/>
  <c r="AN456"/>
  <c r="AM456"/>
  <c r="AL456"/>
  <c r="AK456"/>
  <c r="AH456"/>
  <c r="AG456"/>
  <c r="AP456"/>
  <c r="AF456"/>
  <c r="AE456"/>
  <c r="L456"/>
  <c r="N455"/>
  <c r="AL455"/>
  <c r="AK455"/>
  <c r="AF455"/>
  <c r="AE455"/>
  <c r="AO454"/>
  <c r="AN454"/>
  <c r="AM454"/>
  <c r="AL454"/>
  <c r="AK454"/>
  <c r="AH454"/>
  <c r="AQ454"/>
  <c r="AG454"/>
  <c r="AP454"/>
  <c r="AF454"/>
  <c r="AE454"/>
  <c r="L454"/>
  <c r="N453"/>
  <c r="S453"/>
  <c r="AL453"/>
  <c r="AK453"/>
  <c r="AF453"/>
  <c r="AE453"/>
  <c r="AO452"/>
  <c r="AN452"/>
  <c r="AM452"/>
  <c r="AL452"/>
  <c r="AK452"/>
  <c r="AH452"/>
  <c r="AG452"/>
  <c r="AP452"/>
  <c r="AF452"/>
  <c r="AE452"/>
  <c r="L452"/>
  <c r="N451"/>
  <c r="AL451"/>
  <c r="AK451"/>
  <c r="AF451"/>
  <c r="AE451"/>
  <c r="AO450"/>
  <c r="AN450"/>
  <c r="AM450"/>
  <c r="AL450"/>
  <c r="AK450"/>
  <c r="AH450"/>
  <c r="AQ450"/>
  <c r="AG450"/>
  <c r="AP450"/>
  <c r="AF450"/>
  <c r="AE450"/>
  <c r="L450"/>
  <c r="N449"/>
  <c r="AL449"/>
  <c r="AK449"/>
  <c r="AF449"/>
  <c r="AE449"/>
  <c r="AO448"/>
  <c r="AN448"/>
  <c r="AM448"/>
  <c r="AL448"/>
  <c r="AK448"/>
  <c r="AH448"/>
  <c r="AG448"/>
  <c r="AP448"/>
  <c r="AF448"/>
  <c r="AE448"/>
  <c r="L448"/>
  <c r="AL447"/>
  <c r="AK447"/>
  <c r="AF447"/>
  <c r="AE447"/>
  <c r="AO446"/>
  <c r="AN446"/>
  <c r="AM446"/>
  <c r="AL446"/>
  <c r="AK446"/>
  <c r="AH446"/>
  <c r="AQ446"/>
  <c r="AG446"/>
  <c r="AP446"/>
  <c r="AF446"/>
  <c r="AE446"/>
  <c r="AQ445"/>
  <c r="AP445"/>
  <c r="Y445"/>
  <c r="P445"/>
  <c r="P553"/>
  <c r="P668"/>
  <c r="P684"/>
  <c r="O445"/>
  <c r="G445"/>
  <c r="AO444"/>
  <c r="AN444"/>
  <c r="AM444"/>
  <c r="AL444"/>
  <c r="AK444"/>
  <c r="AH444"/>
  <c r="AG444"/>
  <c r="AP444"/>
  <c r="AF444"/>
  <c r="AE444"/>
  <c r="AL443"/>
  <c r="AK443"/>
  <c r="AF443"/>
  <c r="AE443"/>
  <c r="N443"/>
  <c r="AH443"/>
  <c r="AQ443"/>
  <c r="AO442"/>
  <c r="AN442"/>
  <c r="AM442"/>
  <c r="AL442"/>
  <c r="AK442"/>
  <c r="AH442"/>
  <c r="AG442"/>
  <c r="AP442"/>
  <c r="AF442"/>
  <c r="AE442"/>
  <c r="AL441"/>
  <c r="AK441"/>
  <c r="AF441"/>
  <c r="AE441"/>
  <c r="N441"/>
  <c r="S441"/>
  <c r="AO441"/>
  <c r="AO440"/>
  <c r="AN440"/>
  <c r="AM440"/>
  <c r="AL440"/>
  <c r="AK440"/>
  <c r="AH440"/>
  <c r="AQ440"/>
  <c r="AG440"/>
  <c r="AP440"/>
  <c r="AF440"/>
  <c r="AE440"/>
  <c r="AL439"/>
  <c r="AK439"/>
  <c r="AF439"/>
  <c r="AE439"/>
  <c r="N439"/>
  <c r="AH439"/>
  <c r="AO438"/>
  <c r="AN438"/>
  <c r="AM438"/>
  <c r="AL438"/>
  <c r="AK438"/>
  <c r="AH438"/>
  <c r="AQ438"/>
  <c r="AG438"/>
  <c r="AF438"/>
  <c r="AE438"/>
  <c r="AL437"/>
  <c r="AK437"/>
  <c r="AF437"/>
  <c r="AE437"/>
  <c r="N437"/>
  <c r="AH437"/>
  <c r="AO436"/>
  <c r="AN436"/>
  <c r="AM436"/>
  <c r="AL436"/>
  <c r="AK436"/>
  <c r="AH436"/>
  <c r="AQ436"/>
  <c r="AG436"/>
  <c r="AF436"/>
  <c r="AE436"/>
  <c r="AO435"/>
  <c r="AN435"/>
  <c r="AM435"/>
  <c r="AL435"/>
  <c r="AK435"/>
  <c r="AH435"/>
  <c r="AQ435"/>
  <c r="AG435"/>
  <c r="AP435"/>
  <c r="AF435"/>
  <c r="AE435"/>
  <c r="AQ434"/>
  <c r="AP434"/>
  <c r="AQ433"/>
  <c r="AP433"/>
  <c r="P433"/>
  <c r="O433"/>
  <c r="G433"/>
  <c r="AO432"/>
  <c r="AN432"/>
  <c r="AM432"/>
  <c r="AL432"/>
  <c r="AK432"/>
  <c r="AH432"/>
  <c r="AQ432"/>
  <c r="AG432"/>
  <c r="AP432"/>
  <c r="AF432"/>
  <c r="AE432"/>
  <c r="AO431"/>
  <c r="AN431"/>
  <c r="AF431"/>
  <c r="AE431"/>
  <c r="AD431"/>
  <c r="W431"/>
  <c r="AM431"/>
  <c r="AA431"/>
  <c r="N431"/>
  <c r="AG431"/>
  <c r="AO430"/>
  <c r="AN430"/>
  <c r="AM430"/>
  <c r="AL430"/>
  <c r="AK430"/>
  <c r="AH430"/>
  <c r="AG430"/>
  <c r="AF430"/>
  <c r="AE430"/>
  <c r="AO429"/>
  <c r="AN429"/>
  <c r="AF429"/>
  <c r="AE429"/>
  <c r="AA429"/>
  <c r="N429"/>
  <c r="AG429"/>
  <c r="AO428"/>
  <c r="AN428"/>
  <c r="AM428"/>
  <c r="AL428"/>
  <c r="AK428"/>
  <c r="AH428"/>
  <c r="AQ428"/>
  <c r="AG428"/>
  <c r="AP428"/>
  <c r="AF428"/>
  <c r="AE428"/>
  <c r="AO427"/>
  <c r="AN427"/>
  <c r="AF427"/>
  <c r="AE427"/>
  <c r="AC433"/>
  <c r="AA427"/>
  <c r="N427"/>
  <c r="N433"/>
  <c r="AQ426"/>
  <c r="AP426"/>
  <c r="AQ425"/>
  <c r="AP425"/>
  <c r="AD425"/>
  <c r="W425"/>
  <c r="P425"/>
  <c r="O425"/>
  <c r="G425"/>
  <c r="AO424"/>
  <c r="AN424"/>
  <c r="AM424"/>
  <c r="AL424"/>
  <c r="AK424"/>
  <c r="AH424"/>
  <c r="AQ424"/>
  <c r="AG424"/>
  <c r="AF424"/>
  <c r="AE424"/>
  <c r="AO423"/>
  <c r="AN423"/>
  <c r="AM423"/>
  <c r="AF423"/>
  <c r="AE423"/>
  <c r="AC425"/>
  <c r="AA423"/>
  <c r="AA425"/>
  <c r="N423"/>
  <c r="AG423"/>
  <c r="AO422"/>
  <c r="AN422"/>
  <c r="AM422"/>
  <c r="AL422"/>
  <c r="AK422"/>
  <c r="AH422"/>
  <c r="AQ422"/>
  <c r="AG422"/>
  <c r="AF422"/>
  <c r="AE422"/>
  <c r="AQ421"/>
  <c r="AP421"/>
  <c r="P421"/>
  <c r="O421"/>
  <c r="G421"/>
  <c r="AO420"/>
  <c r="AN420"/>
  <c r="AM420"/>
  <c r="AL420"/>
  <c r="AK420"/>
  <c r="AH420"/>
  <c r="AQ420"/>
  <c r="AG420"/>
  <c r="AP420"/>
  <c r="AF420"/>
  <c r="AE420"/>
  <c r="AO419"/>
  <c r="AN419"/>
  <c r="AM419"/>
  <c r="AF419"/>
  <c r="AE419"/>
  <c r="AA419"/>
  <c r="N419"/>
  <c r="AG419"/>
  <c r="AO418"/>
  <c r="AN418"/>
  <c r="AM418"/>
  <c r="AL418"/>
  <c r="AK418"/>
  <c r="AH418"/>
  <c r="AQ418"/>
  <c r="AG418"/>
  <c r="AP418"/>
  <c r="AF418"/>
  <c r="AE418"/>
  <c r="AO417"/>
  <c r="AN417"/>
  <c r="AM417"/>
  <c r="AF417"/>
  <c r="AE417"/>
  <c r="AA417"/>
  <c r="N417"/>
  <c r="V417"/>
  <c r="AO416"/>
  <c r="AN416"/>
  <c r="AM416"/>
  <c r="AL416"/>
  <c r="AK416"/>
  <c r="AH416"/>
  <c r="AQ416"/>
  <c r="AG416"/>
  <c r="AP416"/>
  <c r="AF416"/>
  <c r="AE416"/>
  <c r="AO415"/>
  <c r="AN415"/>
  <c r="AF415"/>
  <c r="AE415"/>
  <c r="AA415"/>
  <c r="N415"/>
  <c r="AG415"/>
  <c r="AO414"/>
  <c r="AN414"/>
  <c r="AM414"/>
  <c r="AL414"/>
  <c r="AK414"/>
  <c r="AH414"/>
  <c r="AG414"/>
  <c r="AP414"/>
  <c r="AF414"/>
  <c r="AE414"/>
  <c r="AO413"/>
  <c r="AN413"/>
  <c r="AF413"/>
  <c r="AE413"/>
  <c r="AA413"/>
  <c r="N413"/>
  <c r="AG413"/>
  <c r="AO412"/>
  <c r="AN412"/>
  <c r="AM412"/>
  <c r="AL412"/>
  <c r="AK412"/>
  <c r="AH412"/>
  <c r="AQ412"/>
  <c r="AG412"/>
  <c r="AP412"/>
  <c r="AF412"/>
  <c r="AE412"/>
  <c r="AO411"/>
  <c r="AN411"/>
  <c r="AM411"/>
  <c r="AF411"/>
  <c r="AE411"/>
  <c r="AA411"/>
  <c r="N411"/>
  <c r="AG411"/>
  <c r="AO410"/>
  <c r="AN410"/>
  <c r="AM410"/>
  <c r="AL410"/>
  <c r="AK410"/>
  <c r="AH410"/>
  <c r="AQ410"/>
  <c r="AG410"/>
  <c r="AP410"/>
  <c r="AF410"/>
  <c r="AE410"/>
  <c r="AO409"/>
  <c r="AN409"/>
  <c r="AM409"/>
  <c r="AF409"/>
  <c r="AE409"/>
  <c r="AA409"/>
  <c r="N409"/>
  <c r="V409"/>
  <c r="AO408"/>
  <c r="AN408"/>
  <c r="AM408"/>
  <c r="AL408"/>
  <c r="AK408"/>
  <c r="AH408"/>
  <c r="AQ408"/>
  <c r="AG408"/>
  <c r="AP408"/>
  <c r="AF408"/>
  <c r="AE408"/>
  <c r="H408"/>
  <c r="H421"/>
  <c r="AO407"/>
  <c r="AN407"/>
  <c r="AM407"/>
  <c r="AF407"/>
  <c r="AE407"/>
  <c r="AA407"/>
  <c r="AO406"/>
  <c r="AN406"/>
  <c r="AM406"/>
  <c r="AL406"/>
  <c r="AK406"/>
  <c r="AH406"/>
  <c r="AQ406"/>
  <c r="AG406"/>
  <c r="AF406"/>
  <c r="AE406"/>
  <c r="AQ405"/>
  <c r="AP405"/>
  <c r="P405"/>
  <c r="O405"/>
  <c r="G405"/>
  <c r="AO404"/>
  <c r="AN404"/>
  <c r="AM404"/>
  <c r="AL404"/>
  <c r="AK404"/>
  <c r="AH404"/>
  <c r="AQ404"/>
  <c r="AG404"/>
  <c r="AP404"/>
  <c r="AF404"/>
  <c r="AE404"/>
  <c r="AO403"/>
  <c r="AN403"/>
  <c r="AM403"/>
  <c r="AF403"/>
  <c r="AE403"/>
  <c r="AA403"/>
  <c r="N403"/>
  <c r="AG403"/>
  <c r="AO402"/>
  <c r="AN402"/>
  <c r="AM402"/>
  <c r="AL402"/>
  <c r="AK402"/>
  <c r="AH402"/>
  <c r="AQ402"/>
  <c r="AG402"/>
  <c r="AP402"/>
  <c r="AF402"/>
  <c r="AE402"/>
  <c r="AO401"/>
  <c r="AN401"/>
  <c r="AF401"/>
  <c r="AE401"/>
  <c r="AA401"/>
  <c r="N401"/>
  <c r="AG401"/>
  <c r="AO400"/>
  <c r="AN400"/>
  <c r="AM400"/>
  <c r="AL400"/>
  <c r="AK400"/>
  <c r="AH400"/>
  <c r="AG400"/>
  <c r="AF400"/>
  <c r="AE400"/>
  <c r="AO399"/>
  <c r="AN399"/>
  <c r="AM399"/>
  <c r="AF399"/>
  <c r="AE399"/>
  <c r="AA399"/>
  <c r="N399"/>
  <c r="AG399"/>
  <c r="AO398"/>
  <c r="AN398"/>
  <c r="AM398"/>
  <c r="AL398"/>
  <c r="AK398"/>
  <c r="AH398"/>
  <c r="AG398"/>
  <c r="AF398"/>
  <c r="AE398"/>
  <c r="L398"/>
  <c r="N397"/>
  <c r="AO397"/>
  <c r="AN397"/>
  <c r="AM397"/>
  <c r="AF397"/>
  <c r="AE397"/>
  <c r="AA397"/>
  <c r="AO396"/>
  <c r="AN396"/>
  <c r="AM396"/>
  <c r="AL396"/>
  <c r="AK396"/>
  <c r="AH396"/>
  <c r="AG396"/>
  <c r="AP396"/>
  <c r="AF396"/>
  <c r="AE396"/>
  <c r="L396"/>
  <c r="N395"/>
  <c r="AO395"/>
  <c r="AN395"/>
  <c r="AM395"/>
  <c r="AF395"/>
  <c r="AE395"/>
  <c r="AA395"/>
  <c r="AO394"/>
  <c r="AN394"/>
  <c r="AM394"/>
  <c r="AL394"/>
  <c r="AK394"/>
  <c r="AH394"/>
  <c r="AQ394"/>
  <c r="AG394"/>
  <c r="AP394"/>
  <c r="AF394"/>
  <c r="AE394"/>
  <c r="L394"/>
  <c r="N393"/>
  <c r="AG393"/>
  <c r="AO393"/>
  <c r="AN393"/>
  <c r="AM393"/>
  <c r="AF393"/>
  <c r="AE393"/>
  <c r="AA393"/>
  <c r="AO392"/>
  <c r="AN392"/>
  <c r="AM392"/>
  <c r="AL392"/>
  <c r="AK392"/>
  <c r="AH392"/>
  <c r="AQ392"/>
  <c r="AG392"/>
  <c r="AF392"/>
  <c r="AE392"/>
  <c r="H392"/>
  <c r="AO391"/>
  <c r="AN391"/>
  <c r="AM391"/>
  <c r="AF391"/>
  <c r="AE391"/>
  <c r="AA391"/>
  <c r="AO390"/>
  <c r="AN390"/>
  <c r="AM390"/>
  <c r="AL390"/>
  <c r="AK390"/>
  <c r="AH390"/>
  <c r="AG390"/>
  <c r="AP390"/>
  <c r="AF390"/>
  <c r="AE390"/>
  <c r="AQ389"/>
  <c r="AP389"/>
  <c r="P389"/>
  <c r="O389"/>
  <c r="G389"/>
  <c r="AO388"/>
  <c r="AN388"/>
  <c r="AM388"/>
  <c r="AL388"/>
  <c r="AK388"/>
  <c r="AH388"/>
  <c r="AG388"/>
  <c r="AF388"/>
  <c r="AE388"/>
  <c r="L388"/>
  <c r="N387"/>
  <c r="AO387"/>
  <c r="AN387"/>
  <c r="AM387"/>
  <c r="AF387"/>
  <c r="AE387"/>
  <c r="AA387"/>
  <c r="AO386"/>
  <c r="AN386"/>
  <c r="AM386"/>
  <c r="AL386"/>
  <c r="AK386"/>
  <c r="AH386"/>
  <c r="AG386"/>
  <c r="AP386"/>
  <c r="AF386"/>
  <c r="AE386"/>
  <c r="L386"/>
  <c r="N385"/>
  <c r="AO385"/>
  <c r="AN385"/>
  <c r="AM385"/>
  <c r="AF385"/>
  <c r="AE385"/>
  <c r="AA385"/>
  <c r="AO384"/>
  <c r="AN384"/>
  <c r="AM384"/>
  <c r="AL384"/>
  <c r="AK384"/>
  <c r="AH384"/>
  <c r="AQ384"/>
  <c r="AG384"/>
  <c r="AP384"/>
  <c r="AF384"/>
  <c r="AE384"/>
  <c r="L384"/>
  <c r="AO383"/>
  <c r="AN383"/>
  <c r="AM383"/>
  <c r="AF383"/>
  <c r="AE383"/>
  <c r="AA383"/>
  <c r="N383"/>
  <c r="AG383"/>
  <c r="AO382"/>
  <c r="AN382"/>
  <c r="AM382"/>
  <c r="AL382"/>
  <c r="AK382"/>
  <c r="AH382"/>
  <c r="AQ382"/>
  <c r="AG382"/>
  <c r="AF382"/>
  <c r="AE382"/>
  <c r="L382"/>
  <c r="N381"/>
  <c r="AO381"/>
  <c r="AN381"/>
  <c r="AF381"/>
  <c r="AE381"/>
  <c r="AA381"/>
  <c r="AO380"/>
  <c r="AN380"/>
  <c r="AM380"/>
  <c r="AL380"/>
  <c r="AK380"/>
  <c r="AH380"/>
  <c r="AQ380"/>
  <c r="AG380"/>
  <c r="AP380"/>
  <c r="AF380"/>
  <c r="AE380"/>
  <c r="AQ379"/>
  <c r="AP379"/>
  <c r="P379"/>
  <c r="O379"/>
  <c r="G379"/>
  <c r="AO378"/>
  <c r="AN378"/>
  <c r="AM378"/>
  <c r="AL378"/>
  <c r="AK378"/>
  <c r="AH378"/>
  <c r="AQ378"/>
  <c r="AG378"/>
  <c r="AP378"/>
  <c r="AF378"/>
  <c r="AE378"/>
  <c r="L378"/>
  <c r="N377"/>
  <c r="AO377"/>
  <c r="AN377"/>
  <c r="AF377"/>
  <c r="AE377"/>
  <c r="AA377"/>
  <c r="AO376"/>
  <c r="AN376"/>
  <c r="AM376"/>
  <c r="AL376"/>
  <c r="AK376"/>
  <c r="AH376"/>
  <c r="AG376"/>
  <c r="AP376"/>
  <c r="AF376"/>
  <c r="AE376"/>
  <c r="L376"/>
  <c r="N375"/>
  <c r="AO375"/>
  <c r="AN375"/>
  <c r="AM375"/>
  <c r="AG375"/>
  <c r="AF375"/>
  <c r="AE375"/>
  <c r="AA375"/>
  <c r="AO374"/>
  <c r="AN374"/>
  <c r="AM374"/>
  <c r="AL374"/>
  <c r="AK374"/>
  <c r="AH374"/>
  <c r="AG374"/>
  <c r="AP374"/>
  <c r="AF374"/>
  <c r="AE374"/>
  <c r="L374"/>
  <c r="AO373"/>
  <c r="AN373"/>
  <c r="AM373"/>
  <c r="AF373"/>
  <c r="AE373"/>
  <c r="AA373"/>
  <c r="AO372"/>
  <c r="AN372"/>
  <c r="AM372"/>
  <c r="AL372"/>
  <c r="AK372"/>
  <c r="AH372"/>
  <c r="AQ372"/>
  <c r="AG372"/>
  <c r="AP372"/>
  <c r="AF372"/>
  <c r="AE372"/>
  <c r="AO371"/>
  <c r="AN371"/>
  <c r="AM371"/>
  <c r="AL371"/>
  <c r="AK371"/>
  <c r="AH371"/>
  <c r="AQ371"/>
  <c r="AG371"/>
  <c r="AF371"/>
  <c r="AE371"/>
  <c r="AQ370"/>
  <c r="AP370"/>
  <c r="P370"/>
  <c r="O370"/>
  <c r="G370"/>
  <c r="AO369"/>
  <c r="AN369"/>
  <c r="AM369"/>
  <c r="AL369"/>
  <c r="AK369"/>
  <c r="AH369"/>
  <c r="AQ369"/>
  <c r="AG369"/>
  <c r="AP369"/>
  <c r="AF369"/>
  <c r="AE369"/>
  <c r="AO368"/>
  <c r="AN368"/>
  <c r="AM368"/>
  <c r="AF368"/>
  <c r="AE368"/>
  <c r="AA368"/>
  <c r="N368"/>
  <c r="AG368"/>
  <c r="AO367"/>
  <c r="AN367"/>
  <c r="AM367"/>
  <c r="AL367"/>
  <c r="AK367"/>
  <c r="AH367"/>
  <c r="AQ367"/>
  <c r="AG367"/>
  <c r="AP367"/>
  <c r="AF367"/>
  <c r="AE367"/>
  <c r="AO366"/>
  <c r="AN366"/>
  <c r="AM366"/>
  <c r="AF366"/>
  <c r="AE366"/>
  <c r="AA366"/>
  <c r="N366"/>
  <c r="AG366"/>
  <c r="AO365"/>
  <c r="AN365"/>
  <c r="AM365"/>
  <c r="AL365"/>
  <c r="AK365"/>
  <c r="AH365"/>
  <c r="AQ365"/>
  <c r="AG365"/>
  <c r="AP365"/>
  <c r="AF365"/>
  <c r="AE365"/>
  <c r="AO364"/>
  <c r="AN364"/>
  <c r="AM364"/>
  <c r="AF364"/>
  <c r="AE364"/>
  <c r="AA364"/>
  <c r="N364"/>
  <c r="V364"/>
  <c r="AO363"/>
  <c r="AN363"/>
  <c r="AM363"/>
  <c r="AL363"/>
  <c r="AK363"/>
  <c r="AH363"/>
  <c r="AQ363"/>
  <c r="AG363"/>
  <c r="AP363"/>
  <c r="AF363"/>
  <c r="AE363"/>
  <c r="AO362"/>
  <c r="AN362"/>
  <c r="AF362"/>
  <c r="AE362"/>
  <c r="AA362"/>
  <c r="N362"/>
  <c r="AG362"/>
  <c r="AO361"/>
  <c r="AN361"/>
  <c r="AM361"/>
  <c r="AL361"/>
  <c r="AK361"/>
  <c r="AH361"/>
  <c r="AQ361"/>
  <c r="AG361"/>
  <c r="AF361"/>
  <c r="AE361"/>
  <c r="AQ360"/>
  <c r="AP360"/>
  <c r="AD360"/>
  <c r="W360"/>
  <c r="P360"/>
  <c r="O360"/>
  <c r="G360"/>
  <c r="AO359"/>
  <c r="AN359"/>
  <c r="AM359"/>
  <c r="AL359"/>
  <c r="AK359"/>
  <c r="AH359"/>
  <c r="AQ359"/>
  <c r="AG359"/>
  <c r="AP359"/>
  <c r="AF359"/>
  <c r="AE359"/>
  <c r="L359"/>
  <c r="N358"/>
  <c r="V358"/>
  <c r="AO358"/>
  <c r="AN358"/>
  <c r="AM358"/>
  <c r="AF358"/>
  <c r="AE358"/>
  <c r="AA358"/>
  <c r="AO357"/>
  <c r="AN357"/>
  <c r="AM357"/>
  <c r="AL357"/>
  <c r="AK357"/>
  <c r="AH357"/>
  <c r="AQ357"/>
  <c r="AG357"/>
  <c r="AF357"/>
  <c r="AE357"/>
  <c r="L357"/>
  <c r="N356"/>
  <c r="AO356"/>
  <c r="AN356"/>
  <c r="AM356"/>
  <c r="AF356"/>
  <c r="AE356"/>
  <c r="AA356"/>
  <c r="AO355"/>
  <c r="AN355"/>
  <c r="AM355"/>
  <c r="AL355"/>
  <c r="AK355"/>
  <c r="AH355"/>
  <c r="AG355"/>
  <c r="AF355"/>
  <c r="AE355"/>
  <c r="L355"/>
  <c r="N354"/>
  <c r="AG354"/>
  <c r="AI354"/>
  <c r="AO354"/>
  <c r="AN354"/>
  <c r="AM354"/>
  <c r="AF354"/>
  <c r="AE354"/>
  <c r="AA354"/>
  <c r="AO353"/>
  <c r="AN353"/>
  <c r="AM353"/>
  <c r="AL353"/>
  <c r="AK353"/>
  <c r="AH353"/>
  <c r="AG353"/>
  <c r="AP353"/>
  <c r="AF353"/>
  <c r="AE353"/>
  <c r="L353"/>
  <c r="N352"/>
  <c r="AO352"/>
  <c r="AN352"/>
  <c r="AM352"/>
  <c r="AF352"/>
  <c r="AE352"/>
  <c r="AA352"/>
  <c r="AO351"/>
  <c r="AN351"/>
  <c r="AM351"/>
  <c r="AL351"/>
  <c r="AK351"/>
  <c r="AH351"/>
  <c r="AQ351"/>
  <c r="AG351"/>
  <c r="AP351"/>
  <c r="AF351"/>
  <c r="AE351"/>
  <c r="L351"/>
  <c r="N350"/>
  <c r="V350"/>
  <c r="AK350"/>
  <c r="AO350"/>
  <c r="AN350"/>
  <c r="AM350"/>
  <c r="AF350"/>
  <c r="AE350"/>
  <c r="AA350"/>
  <c r="AO349"/>
  <c r="AN349"/>
  <c r="AM349"/>
  <c r="AL349"/>
  <c r="AK349"/>
  <c r="AH349"/>
  <c r="AQ349"/>
  <c r="AG349"/>
  <c r="AF349"/>
  <c r="AE349"/>
  <c r="L349"/>
  <c r="N348"/>
  <c r="AO348"/>
  <c r="AN348"/>
  <c r="AM348"/>
  <c r="AF348"/>
  <c r="AE348"/>
  <c r="AA348"/>
  <c r="AO347"/>
  <c r="AN347"/>
  <c r="AM347"/>
  <c r="AL347"/>
  <c r="AK347"/>
  <c r="AH347"/>
  <c r="AG347"/>
  <c r="AF347"/>
  <c r="AE347"/>
  <c r="L347"/>
  <c r="AO346"/>
  <c r="AN346"/>
  <c r="AM346"/>
  <c r="AF346"/>
  <c r="AE346"/>
  <c r="AA346"/>
  <c r="AO345"/>
  <c r="AN345"/>
  <c r="AM345"/>
  <c r="AL345"/>
  <c r="AK345"/>
  <c r="AH345"/>
  <c r="AG345"/>
  <c r="AP345"/>
  <c r="AF345"/>
  <c r="AE345"/>
  <c r="AQ344"/>
  <c r="AP344"/>
  <c r="AD344"/>
  <c r="W344"/>
  <c r="P344"/>
  <c r="G344"/>
  <c r="AO343"/>
  <c r="AN343"/>
  <c r="AM343"/>
  <c r="AL343"/>
  <c r="AK343"/>
  <c r="AH343"/>
  <c r="AG343"/>
  <c r="AP343"/>
  <c r="AF343"/>
  <c r="AE343"/>
  <c r="AO342"/>
  <c r="AN342"/>
  <c r="AM342"/>
  <c r="AF342"/>
  <c r="AE342"/>
  <c r="AA342"/>
  <c r="N342"/>
  <c r="AH342"/>
  <c r="AQ342"/>
  <c r="AO341"/>
  <c r="AN341"/>
  <c r="AM341"/>
  <c r="AL341"/>
  <c r="AK341"/>
  <c r="AH341"/>
  <c r="AG341"/>
  <c r="AP341"/>
  <c r="AF341"/>
  <c r="AE341"/>
  <c r="AO340"/>
  <c r="AN340"/>
  <c r="AM340"/>
  <c r="AF340"/>
  <c r="AE340"/>
  <c r="AA340"/>
  <c r="N340"/>
  <c r="AH340"/>
  <c r="AQ340"/>
  <c r="AO339"/>
  <c r="AN339"/>
  <c r="AM339"/>
  <c r="AL339"/>
  <c r="AK339"/>
  <c r="AH339"/>
  <c r="AG339"/>
  <c r="AP339"/>
  <c r="AF339"/>
  <c r="AE339"/>
  <c r="AO338"/>
  <c r="AN338"/>
  <c r="AM338"/>
  <c r="AF338"/>
  <c r="AE338"/>
  <c r="AA338"/>
  <c r="N338"/>
  <c r="AH338"/>
  <c r="AQ338"/>
  <c r="AO337"/>
  <c r="AN337"/>
  <c r="AM337"/>
  <c r="AL337"/>
  <c r="AK337"/>
  <c r="AH337"/>
  <c r="AG337"/>
  <c r="AP337"/>
  <c r="AF337"/>
  <c r="AE337"/>
  <c r="AO336"/>
  <c r="AN336"/>
  <c r="AM336"/>
  <c r="AF336"/>
  <c r="AE336"/>
  <c r="AA336"/>
  <c r="N336"/>
  <c r="AH336"/>
  <c r="AQ336"/>
  <c r="AO335"/>
  <c r="AN335"/>
  <c r="AM335"/>
  <c r="AL335"/>
  <c r="AK335"/>
  <c r="AH335"/>
  <c r="AG335"/>
  <c r="AP335"/>
  <c r="AF335"/>
  <c r="AE335"/>
  <c r="AO334"/>
  <c r="AM334"/>
  <c r="AF334"/>
  <c r="AE334"/>
  <c r="O334"/>
  <c r="AC334"/>
  <c r="AN334"/>
  <c r="N334"/>
  <c r="AH334"/>
  <c r="AQ334"/>
  <c r="AO333"/>
  <c r="AN333"/>
  <c r="AM333"/>
  <c r="AL333"/>
  <c r="AK333"/>
  <c r="AH333"/>
  <c r="AQ333"/>
  <c r="AG333"/>
  <c r="AP333"/>
  <c r="AF333"/>
  <c r="AE333"/>
  <c r="AO332"/>
  <c r="AN332"/>
  <c r="AM332"/>
  <c r="AF332"/>
  <c r="AE332"/>
  <c r="AA332"/>
  <c r="N332"/>
  <c r="AG332"/>
  <c r="AO331"/>
  <c r="AN331"/>
  <c r="AM331"/>
  <c r="AL331"/>
  <c r="AK331"/>
  <c r="AH331"/>
  <c r="AQ331"/>
  <c r="AG331"/>
  <c r="AP331"/>
  <c r="AS331"/>
  <c r="AF331"/>
  <c r="AE331"/>
  <c r="H331"/>
  <c r="N330"/>
  <c r="AO330"/>
  <c r="AN330"/>
  <c r="AM330"/>
  <c r="AF330"/>
  <c r="AE330"/>
  <c r="AA330"/>
  <c r="AO329"/>
  <c r="AN329"/>
  <c r="AM329"/>
  <c r="AL329"/>
  <c r="AK329"/>
  <c r="AH329"/>
  <c r="AQ329"/>
  <c r="AG329"/>
  <c r="AP329"/>
  <c r="AF329"/>
  <c r="AE329"/>
  <c r="AQ328"/>
  <c r="AP328"/>
  <c r="P328"/>
  <c r="G328"/>
  <c r="AO327"/>
  <c r="AN327"/>
  <c r="AM327"/>
  <c r="AL327"/>
  <c r="AK327"/>
  <c r="AH327"/>
  <c r="AG327"/>
  <c r="AP327"/>
  <c r="AF327"/>
  <c r="AE327"/>
  <c r="AO326"/>
  <c r="AN326"/>
  <c r="AM326"/>
  <c r="AF326"/>
  <c r="AE326"/>
  <c r="AA326"/>
  <c r="N326"/>
  <c r="AH326"/>
  <c r="AQ326"/>
  <c r="AO325"/>
  <c r="AN325"/>
  <c r="AM325"/>
  <c r="AL325"/>
  <c r="AK325"/>
  <c r="AH325"/>
  <c r="AG325"/>
  <c r="AP325"/>
  <c r="AF325"/>
  <c r="AE325"/>
  <c r="AO324"/>
  <c r="AN324"/>
  <c r="AF324"/>
  <c r="AE324"/>
  <c r="AA324"/>
  <c r="N324"/>
  <c r="AO323"/>
  <c r="AN323"/>
  <c r="AM323"/>
  <c r="AL323"/>
  <c r="AK323"/>
  <c r="AH323"/>
  <c r="AQ323"/>
  <c r="AG323"/>
  <c r="AF323"/>
  <c r="AE323"/>
  <c r="AO322"/>
  <c r="AN322"/>
  <c r="AF322"/>
  <c r="AE322"/>
  <c r="AA322"/>
  <c r="N322"/>
  <c r="AG322"/>
  <c r="AO321"/>
  <c r="AN321"/>
  <c r="AM321"/>
  <c r="AL321"/>
  <c r="AK321"/>
  <c r="AH321"/>
  <c r="AG321"/>
  <c r="AP321"/>
  <c r="AF321"/>
  <c r="AE321"/>
  <c r="AO320"/>
  <c r="AM320"/>
  <c r="AF320"/>
  <c r="O320"/>
  <c r="O328"/>
  <c r="N320"/>
  <c r="AH320"/>
  <c r="AO319"/>
  <c r="AN319"/>
  <c r="AM319"/>
  <c r="AL319"/>
  <c r="AK319"/>
  <c r="AH319"/>
  <c r="AG319"/>
  <c r="AF319"/>
  <c r="AE319"/>
  <c r="AO318"/>
  <c r="AN318"/>
  <c r="AM318"/>
  <c r="AF318"/>
  <c r="AE318"/>
  <c r="AA318"/>
  <c r="N318"/>
  <c r="AG318"/>
  <c r="AO317"/>
  <c r="AN317"/>
  <c r="AM317"/>
  <c r="AL317"/>
  <c r="AK317"/>
  <c r="AH317"/>
  <c r="AG317"/>
  <c r="AF317"/>
  <c r="AE317"/>
  <c r="H317"/>
  <c r="N316"/>
  <c r="AO316"/>
  <c r="AN316"/>
  <c r="AM316"/>
  <c r="AF316"/>
  <c r="AE316"/>
  <c r="AA316"/>
  <c r="AO315"/>
  <c r="AN315"/>
  <c r="AM315"/>
  <c r="AL315"/>
  <c r="AK315"/>
  <c r="AH315"/>
  <c r="AQ315"/>
  <c r="AG315"/>
  <c r="AP315"/>
  <c r="AF315"/>
  <c r="AE315"/>
  <c r="AQ314"/>
  <c r="AP314"/>
  <c r="P314"/>
  <c r="O314"/>
  <c r="G314"/>
  <c r="AO313"/>
  <c r="AN313"/>
  <c r="AM313"/>
  <c r="AL313"/>
  <c r="AK313"/>
  <c r="AH313"/>
  <c r="AG313"/>
  <c r="AF313"/>
  <c r="AE313"/>
  <c r="AO312"/>
  <c r="AN312"/>
  <c r="AM312"/>
  <c r="AF312"/>
  <c r="AE312"/>
  <c r="AA312"/>
  <c r="N312"/>
  <c r="AG312"/>
  <c r="AO311"/>
  <c r="AN311"/>
  <c r="AM311"/>
  <c r="AL311"/>
  <c r="AK311"/>
  <c r="AH311"/>
  <c r="AG311"/>
  <c r="AF311"/>
  <c r="AE311"/>
  <c r="AO310"/>
  <c r="AN310"/>
  <c r="AM310"/>
  <c r="AF310"/>
  <c r="AE310"/>
  <c r="AA310"/>
  <c r="N310"/>
  <c r="AG310"/>
  <c r="AO309"/>
  <c r="AN309"/>
  <c r="AM309"/>
  <c r="AL309"/>
  <c r="AK309"/>
  <c r="AH309"/>
  <c r="AG309"/>
  <c r="AF309"/>
  <c r="AE309"/>
  <c r="AO308"/>
  <c r="AN308"/>
  <c r="AM308"/>
  <c r="AF308"/>
  <c r="AE308"/>
  <c r="AA308"/>
  <c r="N308"/>
  <c r="AG308"/>
  <c r="AO307"/>
  <c r="AN307"/>
  <c r="AM307"/>
  <c r="AL307"/>
  <c r="AK307"/>
  <c r="AH307"/>
  <c r="AG307"/>
  <c r="AF307"/>
  <c r="AE307"/>
  <c r="AO306"/>
  <c r="AN306"/>
  <c r="AM306"/>
  <c r="AF306"/>
  <c r="AE306"/>
  <c r="AA306"/>
  <c r="N306"/>
  <c r="AG306"/>
  <c r="AO305"/>
  <c r="AN305"/>
  <c r="AM305"/>
  <c r="AL305"/>
  <c r="AK305"/>
  <c r="AH305"/>
  <c r="AG305"/>
  <c r="AF305"/>
  <c r="AE305"/>
  <c r="AO304"/>
  <c r="AN304"/>
  <c r="AM304"/>
  <c r="AF304"/>
  <c r="AE304"/>
  <c r="AA304"/>
  <c r="N304"/>
  <c r="AG304"/>
  <c r="AO303"/>
  <c r="AN303"/>
  <c r="AM303"/>
  <c r="AL303"/>
  <c r="AK303"/>
  <c r="AH303"/>
  <c r="AG303"/>
  <c r="AF303"/>
  <c r="AE303"/>
  <c r="AO302"/>
  <c r="AN302"/>
  <c r="AM302"/>
  <c r="AF302"/>
  <c r="AE302"/>
  <c r="AA302"/>
  <c r="N302"/>
  <c r="AG302"/>
  <c r="AO301"/>
  <c r="AN301"/>
  <c r="AM301"/>
  <c r="AL301"/>
  <c r="AK301"/>
  <c r="AH301"/>
  <c r="AG301"/>
  <c r="AF301"/>
  <c r="AE301"/>
  <c r="AO300"/>
  <c r="AN300"/>
  <c r="AF300"/>
  <c r="AE300"/>
  <c r="AA300"/>
  <c r="N300"/>
  <c r="AG300"/>
  <c r="AO299"/>
  <c r="AN299"/>
  <c r="AM299"/>
  <c r="AL299"/>
  <c r="AK299"/>
  <c r="AH299"/>
  <c r="AQ299"/>
  <c r="AG299"/>
  <c r="AP299"/>
  <c r="AF299"/>
  <c r="AE299"/>
  <c r="H299"/>
  <c r="H314"/>
  <c r="AO298"/>
  <c r="AN298"/>
  <c r="AM298"/>
  <c r="AF298"/>
  <c r="AE298"/>
  <c r="AA298"/>
  <c r="AO297"/>
  <c r="AN297"/>
  <c r="AM297"/>
  <c r="AL297"/>
  <c r="AK297"/>
  <c r="AH297"/>
  <c r="AQ297"/>
  <c r="AG297"/>
  <c r="AF297"/>
  <c r="AE297"/>
  <c r="AQ296"/>
  <c r="AP296"/>
  <c r="P296"/>
  <c r="O296"/>
  <c r="G296"/>
  <c r="AO295"/>
  <c r="AN295"/>
  <c r="AM295"/>
  <c r="AL295"/>
  <c r="AK295"/>
  <c r="AH295"/>
  <c r="AQ295"/>
  <c r="AG295"/>
  <c r="AP295"/>
  <c r="AF295"/>
  <c r="AE295"/>
  <c r="AO294"/>
  <c r="AN294"/>
  <c r="AM294"/>
  <c r="AF294"/>
  <c r="AE294"/>
  <c r="AA294"/>
  <c r="N294"/>
  <c r="AH294"/>
  <c r="AO293"/>
  <c r="AN293"/>
  <c r="AM293"/>
  <c r="AL293"/>
  <c r="AK293"/>
  <c r="AH293"/>
  <c r="AQ293"/>
  <c r="AG293"/>
  <c r="AP293"/>
  <c r="AF293"/>
  <c r="AE293"/>
  <c r="AO292"/>
  <c r="AN292"/>
  <c r="AM292"/>
  <c r="AF292"/>
  <c r="AE292"/>
  <c r="AA292"/>
  <c r="N292"/>
  <c r="AG292"/>
  <c r="AO291"/>
  <c r="AN291"/>
  <c r="AM291"/>
  <c r="AL291"/>
  <c r="AK291"/>
  <c r="AH291"/>
  <c r="AQ291"/>
  <c r="AG291"/>
  <c r="AP291"/>
  <c r="AF291"/>
  <c r="AE291"/>
  <c r="AO290"/>
  <c r="AN290"/>
  <c r="AF290"/>
  <c r="AE290"/>
  <c r="AA290"/>
  <c r="N290"/>
  <c r="AG290"/>
  <c r="AO289"/>
  <c r="AN289"/>
  <c r="AM289"/>
  <c r="AL289"/>
  <c r="AK289"/>
  <c r="AH289"/>
  <c r="AG289"/>
  <c r="AF289"/>
  <c r="AE289"/>
  <c r="AO288"/>
  <c r="AN288"/>
  <c r="AF288"/>
  <c r="AE288"/>
  <c r="AA288"/>
  <c r="N288"/>
  <c r="AG288"/>
  <c r="AO287"/>
  <c r="AN287"/>
  <c r="AM287"/>
  <c r="AL287"/>
  <c r="AK287"/>
  <c r="AH287"/>
  <c r="AQ287"/>
  <c r="AG287"/>
  <c r="AP287"/>
  <c r="AF287"/>
  <c r="AE287"/>
  <c r="AO286"/>
  <c r="AN286"/>
  <c r="AF286"/>
  <c r="AE286"/>
  <c r="AA286"/>
  <c r="N286"/>
  <c r="AG286"/>
  <c r="AO285"/>
  <c r="AN285"/>
  <c r="AM285"/>
  <c r="AL285"/>
  <c r="AK285"/>
  <c r="AH285"/>
  <c r="AG285"/>
  <c r="AF285"/>
  <c r="AE285"/>
  <c r="AO284"/>
  <c r="AN284"/>
  <c r="AM284"/>
  <c r="AF284"/>
  <c r="AE284"/>
  <c r="AA284"/>
  <c r="N284"/>
  <c r="AG284"/>
  <c r="AO283"/>
  <c r="AN283"/>
  <c r="AM283"/>
  <c r="AL283"/>
  <c r="AK283"/>
  <c r="AH283"/>
  <c r="AG283"/>
  <c r="AF283"/>
  <c r="AE283"/>
  <c r="H283"/>
  <c r="H296"/>
  <c r="AO282"/>
  <c r="AN282"/>
  <c r="AF282"/>
  <c r="AE282"/>
  <c r="AA282"/>
  <c r="AO281"/>
  <c r="AN281"/>
  <c r="AM281"/>
  <c r="AL281"/>
  <c r="AK281"/>
  <c r="AH281"/>
  <c r="AQ281"/>
  <c r="AG281"/>
  <c r="AF281"/>
  <c r="AE281"/>
  <c r="P280"/>
  <c r="O280"/>
  <c r="M280"/>
  <c r="G280"/>
  <c r="AO279"/>
  <c r="AN279"/>
  <c r="AM279"/>
  <c r="AL279"/>
  <c r="AK279"/>
  <c r="AH279"/>
  <c r="AG279"/>
  <c r="AP279"/>
  <c r="AF279"/>
  <c r="AE279"/>
  <c r="L279"/>
  <c r="N278"/>
  <c r="AO278"/>
  <c r="AN278"/>
  <c r="AM278"/>
  <c r="AF278"/>
  <c r="AE278"/>
  <c r="AA278"/>
  <c r="AO277"/>
  <c r="AN277"/>
  <c r="AM277"/>
  <c r="AL277"/>
  <c r="AK277"/>
  <c r="AH277"/>
  <c r="AG277"/>
  <c r="AP277"/>
  <c r="AF277"/>
  <c r="AE277"/>
  <c r="L277"/>
  <c r="N276"/>
  <c r="AO276"/>
  <c r="AN276"/>
  <c r="AM276"/>
  <c r="AF276"/>
  <c r="AE276"/>
  <c r="AA276"/>
  <c r="AO275"/>
  <c r="AN275"/>
  <c r="AM275"/>
  <c r="AL275"/>
  <c r="AK275"/>
  <c r="AH275"/>
  <c r="AQ275"/>
  <c r="AG275"/>
  <c r="AP275"/>
  <c r="AF275"/>
  <c r="AE275"/>
  <c r="L275"/>
  <c r="N274"/>
  <c r="AG274"/>
  <c r="AO274"/>
  <c r="AN274"/>
  <c r="AM274"/>
  <c r="AF274"/>
  <c r="AE274"/>
  <c r="AA274"/>
  <c r="AO273"/>
  <c r="AN273"/>
  <c r="AM273"/>
  <c r="AL273"/>
  <c r="AK273"/>
  <c r="AH273"/>
  <c r="AQ273"/>
  <c r="AG273"/>
  <c r="AF273"/>
  <c r="AE273"/>
  <c r="L273"/>
  <c r="N272"/>
  <c r="AO272"/>
  <c r="AN272"/>
  <c r="AM272"/>
  <c r="AF272"/>
  <c r="AE272"/>
  <c r="AA272"/>
  <c r="AO271"/>
  <c r="AN271"/>
  <c r="AM271"/>
  <c r="AL271"/>
  <c r="AK271"/>
  <c r="AH271"/>
  <c r="AG271"/>
  <c r="AP271"/>
  <c r="AF271"/>
  <c r="AE271"/>
  <c r="L271"/>
  <c r="N270"/>
  <c r="AO270"/>
  <c r="AN270"/>
  <c r="AM270"/>
  <c r="AF270"/>
  <c r="AE270"/>
  <c r="AA270"/>
  <c r="AO269"/>
  <c r="AN269"/>
  <c r="AM269"/>
  <c r="AL269"/>
  <c r="AK269"/>
  <c r="AH269"/>
  <c r="AG269"/>
  <c r="AP269"/>
  <c r="AF269"/>
  <c r="AE269"/>
  <c r="L269"/>
  <c r="N268"/>
  <c r="AO268"/>
  <c r="AN268"/>
  <c r="AM268"/>
  <c r="AF268"/>
  <c r="AE268"/>
  <c r="AA268"/>
  <c r="AO267"/>
  <c r="AN267"/>
  <c r="AM267"/>
  <c r="AL267"/>
  <c r="AK267"/>
  <c r="AH267"/>
  <c r="AQ267"/>
  <c r="AG267"/>
  <c r="AP267"/>
  <c r="AF267"/>
  <c r="AE267"/>
  <c r="L267"/>
  <c r="N266"/>
  <c r="AG266"/>
  <c r="AO266"/>
  <c r="AN266"/>
  <c r="AM266"/>
  <c r="AF266"/>
  <c r="AE266"/>
  <c r="AA266"/>
  <c r="AO265"/>
  <c r="AN265"/>
  <c r="AM265"/>
  <c r="AL265"/>
  <c r="AK265"/>
  <c r="AH265"/>
  <c r="AQ265"/>
  <c r="AG265"/>
  <c r="AF265"/>
  <c r="AE265"/>
  <c r="L265"/>
  <c r="N264"/>
  <c r="AO264"/>
  <c r="AN264"/>
  <c r="AM264"/>
  <c r="AF264"/>
  <c r="AE264"/>
  <c r="AA264"/>
  <c r="AO263"/>
  <c r="AN263"/>
  <c r="AM263"/>
  <c r="AL263"/>
  <c r="AK263"/>
  <c r="AH263"/>
  <c r="AG263"/>
  <c r="AP263"/>
  <c r="AF263"/>
  <c r="AE263"/>
  <c r="L263"/>
  <c r="N262"/>
  <c r="AO262"/>
  <c r="AN262"/>
  <c r="AM262"/>
  <c r="AF262"/>
  <c r="AE262"/>
  <c r="AA262"/>
  <c r="AO261"/>
  <c r="AN261"/>
  <c r="AM261"/>
  <c r="AL261"/>
  <c r="AK261"/>
  <c r="AH261"/>
  <c r="AG261"/>
  <c r="AP261"/>
  <c r="AF261"/>
  <c r="AE261"/>
  <c r="L261"/>
  <c r="N260"/>
  <c r="AO260"/>
  <c r="AN260"/>
  <c r="AF260"/>
  <c r="AE260"/>
  <c r="AA260"/>
  <c r="AO259"/>
  <c r="AN259"/>
  <c r="AM259"/>
  <c r="AL259"/>
  <c r="AK259"/>
  <c r="AH259"/>
  <c r="AG259"/>
  <c r="AF259"/>
  <c r="AE259"/>
  <c r="L259"/>
  <c r="N258"/>
  <c r="AO258"/>
  <c r="AN258"/>
  <c r="AM258"/>
  <c r="AF258"/>
  <c r="AE258"/>
  <c r="AA258"/>
  <c r="AO257"/>
  <c r="AN257"/>
  <c r="AM257"/>
  <c r="AL257"/>
  <c r="AK257"/>
  <c r="AH257"/>
  <c r="AQ257"/>
  <c r="AG257"/>
  <c r="AP257"/>
  <c r="AF257"/>
  <c r="AE257"/>
  <c r="L257"/>
  <c r="N256"/>
  <c r="AO256"/>
  <c r="AN256"/>
  <c r="AM256"/>
  <c r="AF256"/>
  <c r="AE256"/>
  <c r="AA256"/>
  <c r="AO255"/>
  <c r="AN255"/>
  <c r="AM255"/>
  <c r="AL255"/>
  <c r="AK255"/>
  <c r="AH255"/>
  <c r="AQ255"/>
  <c r="AG255"/>
  <c r="AP255"/>
  <c r="AF255"/>
  <c r="AE255"/>
  <c r="L255"/>
  <c r="N254"/>
  <c r="AG254"/>
  <c r="AO254"/>
  <c r="AN254"/>
  <c r="AM254"/>
  <c r="AF254"/>
  <c r="AE254"/>
  <c r="AA254"/>
  <c r="AO253"/>
  <c r="AN253"/>
  <c r="AM253"/>
  <c r="AL253"/>
  <c r="AK253"/>
  <c r="AH253"/>
  <c r="AQ253"/>
  <c r="AG253"/>
  <c r="AF253"/>
  <c r="AE253"/>
  <c r="L253"/>
  <c r="N252"/>
  <c r="AO252"/>
  <c r="AN252"/>
  <c r="AM252"/>
  <c r="AF252"/>
  <c r="AE252"/>
  <c r="AA252"/>
  <c r="AO251"/>
  <c r="AN251"/>
  <c r="AM251"/>
  <c r="AL251"/>
  <c r="AK251"/>
  <c r="AH251"/>
  <c r="AG251"/>
  <c r="AF251"/>
  <c r="AE251"/>
  <c r="H251"/>
  <c r="H280"/>
  <c r="AO250"/>
  <c r="AN250"/>
  <c r="AM250"/>
  <c r="AF250"/>
  <c r="AE250"/>
  <c r="AA250"/>
  <c r="AO249"/>
  <c r="AN249"/>
  <c r="AM249"/>
  <c r="AL249"/>
  <c r="AK249"/>
  <c r="AH249"/>
  <c r="AQ249"/>
  <c r="AG249"/>
  <c r="AP249"/>
  <c r="AF249"/>
  <c r="AE249"/>
  <c r="AQ248"/>
  <c r="AP248"/>
  <c r="P248"/>
  <c r="O248"/>
  <c r="G248"/>
  <c r="AO247"/>
  <c r="AN247"/>
  <c r="AM247"/>
  <c r="AL247"/>
  <c r="AK247"/>
  <c r="AH247"/>
  <c r="AQ247"/>
  <c r="AG247"/>
  <c r="AP247"/>
  <c r="AS247"/>
  <c r="AF247"/>
  <c r="AE247"/>
  <c r="AO246"/>
  <c r="AN246"/>
  <c r="AM246"/>
  <c r="AF246"/>
  <c r="AE246"/>
  <c r="AA246"/>
  <c r="N246"/>
  <c r="V246"/>
  <c r="AO245"/>
  <c r="AN245"/>
  <c r="AM245"/>
  <c r="AL245"/>
  <c r="AK245"/>
  <c r="AH245"/>
  <c r="AQ245"/>
  <c r="AG245"/>
  <c r="AP245"/>
  <c r="AF245"/>
  <c r="AE245"/>
  <c r="AO244"/>
  <c r="AN244"/>
  <c r="AM244"/>
  <c r="AF244"/>
  <c r="AE244"/>
  <c r="AA244"/>
  <c r="N244"/>
  <c r="V244"/>
  <c r="AO243"/>
  <c r="AN243"/>
  <c r="AM243"/>
  <c r="AL243"/>
  <c r="AK243"/>
  <c r="AH243"/>
  <c r="AG243"/>
  <c r="AP243"/>
  <c r="AF243"/>
  <c r="AE243"/>
  <c r="AO242"/>
  <c r="AN242"/>
  <c r="AM242"/>
  <c r="AF242"/>
  <c r="AE242"/>
  <c r="AA242"/>
  <c r="N242"/>
  <c r="V242"/>
  <c r="AO241"/>
  <c r="AN241"/>
  <c r="AM241"/>
  <c r="AL241"/>
  <c r="AK241"/>
  <c r="AH241"/>
  <c r="AG241"/>
  <c r="AP241"/>
  <c r="AF241"/>
  <c r="AE241"/>
  <c r="AO240"/>
  <c r="AN240"/>
  <c r="AM240"/>
  <c r="AF240"/>
  <c r="AE240"/>
  <c r="AA240"/>
  <c r="N240"/>
  <c r="AO239"/>
  <c r="AN239"/>
  <c r="AM239"/>
  <c r="AL239"/>
  <c r="AK239"/>
  <c r="AH239"/>
  <c r="AQ239"/>
  <c r="AG239"/>
  <c r="AP239"/>
  <c r="AF239"/>
  <c r="AE239"/>
  <c r="AO238"/>
  <c r="AN238"/>
  <c r="AM238"/>
  <c r="AF238"/>
  <c r="AE238"/>
  <c r="AA238"/>
  <c r="N238"/>
  <c r="V238"/>
  <c r="AO237"/>
  <c r="AN237"/>
  <c r="AM237"/>
  <c r="AL237"/>
  <c r="AK237"/>
  <c r="AH237"/>
  <c r="AG237"/>
  <c r="AP237"/>
  <c r="AF237"/>
  <c r="AE237"/>
  <c r="AO236"/>
  <c r="AN236"/>
  <c r="AM236"/>
  <c r="AF236"/>
  <c r="AE236"/>
  <c r="AA236"/>
  <c r="N236"/>
  <c r="V236"/>
  <c r="AO235"/>
  <c r="AN235"/>
  <c r="AM235"/>
  <c r="AL235"/>
  <c r="AK235"/>
  <c r="AH235"/>
  <c r="AG235"/>
  <c r="AP235"/>
  <c r="AF235"/>
  <c r="AE235"/>
  <c r="AO234"/>
  <c r="AN234"/>
  <c r="AF234"/>
  <c r="AE234"/>
  <c r="AA234"/>
  <c r="N234"/>
  <c r="AO233"/>
  <c r="AN233"/>
  <c r="AM233"/>
  <c r="AL233"/>
  <c r="AK233"/>
  <c r="AH233"/>
  <c r="AQ233"/>
  <c r="AG233"/>
  <c r="AF233"/>
  <c r="AE233"/>
  <c r="AO232"/>
  <c r="AN232"/>
  <c r="AM232"/>
  <c r="AF232"/>
  <c r="AE232"/>
  <c r="AA232"/>
  <c r="N232"/>
  <c r="AO231"/>
  <c r="AN231"/>
  <c r="AM231"/>
  <c r="AL231"/>
  <c r="AK231"/>
  <c r="AH231"/>
  <c r="AQ231"/>
  <c r="AG231"/>
  <c r="AF231"/>
  <c r="AE231"/>
  <c r="AO230"/>
  <c r="AN230"/>
  <c r="AM230"/>
  <c r="AF230"/>
  <c r="AE230"/>
  <c r="AA230"/>
  <c r="N230"/>
  <c r="AO229"/>
  <c r="AN229"/>
  <c r="AM229"/>
  <c r="AL229"/>
  <c r="AK229"/>
  <c r="AH229"/>
  <c r="AQ229"/>
  <c r="AG229"/>
  <c r="AF229"/>
  <c r="AE229"/>
  <c r="H229"/>
  <c r="H248"/>
  <c r="AO228"/>
  <c r="AN228"/>
  <c r="AM228"/>
  <c r="AF228"/>
  <c r="AE228"/>
  <c r="AA228"/>
  <c r="AQ227"/>
  <c r="AP227"/>
  <c r="AQ226"/>
  <c r="AP226"/>
  <c r="P226"/>
  <c r="O226"/>
  <c r="G226"/>
  <c r="AO225"/>
  <c r="AN225"/>
  <c r="AM225"/>
  <c r="AL225"/>
  <c r="AK225"/>
  <c r="AH225"/>
  <c r="AQ225"/>
  <c r="AG225"/>
  <c r="AP225"/>
  <c r="AF225"/>
  <c r="AE225"/>
  <c r="AO224"/>
  <c r="AN224"/>
  <c r="AF224"/>
  <c r="AE224"/>
  <c r="AA224"/>
  <c r="N224"/>
  <c r="AG224"/>
  <c r="AP224"/>
  <c r="AO223"/>
  <c r="AN223"/>
  <c r="AM223"/>
  <c r="AL223"/>
  <c r="AK223"/>
  <c r="AH223"/>
  <c r="AQ223"/>
  <c r="AG223"/>
  <c r="AP223"/>
  <c r="AF223"/>
  <c r="AE223"/>
  <c r="L223"/>
  <c r="N222"/>
  <c r="AO222"/>
  <c r="AN222"/>
  <c r="AM222"/>
  <c r="AF222"/>
  <c r="AE222"/>
  <c r="AA222"/>
  <c r="AO221"/>
  <c r="AN221"/>
  <c r="AM221"/>
  <c r="AL221"/>
  <c r="AK221"/>
  <c r="AH221"/>
  <c r="AQ221"/>
  <c r="AG221"/>
  <c r="AP221"/>
  <c r="AF221"/>
  <c r="AE221"/>
  <c r="AO220"/>
  <c r="AN220"/>
  <c r="AM220"/>
  <c r="AF220"/>
  <c r="AE220"/>
  <c r="AA220"/>
  <c r="N220"/>
  <c r="V220"/>
  <c r="AL220"/>
  <c r="AO219"/>
  <c r="AN219"/>
  <c r="AM219"/>
  <c r="AL219"/>
  <c r="AK219"/>
  <c r="AH219"/>
  <c r="AQ219"/>
  <c r="AG219"/>
  <c r="AP219"/>
  <c r="AF219"/>
  <c r="AE219"/>
  <c r="AO218"/>
  <c r="AN218"/>
  <c r="AM218"/>
  <c r="AF218"/>
  <c r="AE218"/>
  <c r="AA218"/>
  <c r="N218"/>
  <c r="V218"/>
  <c r="AO217"/>
  <c r="AN217"/>
  <c r="AM217"/>
  <c r="AL217"/>
  <c r="AK217"/>
  <c r="AH217"/>
  <c r="AQ217"/>
  <c r="AG217"/>
  <c r="AP217"/>
  <c r="AF217"/>
  <c r="AE217"/>
  <c r="AO216"/>
  <c r="AN216"/>
  <c r="AM216"/>
  <c r="AF216"/>
  <c r="AE216"/>
  <c r="AA216"/>
  <c r="N216"/>
  <c r="AG216"/>
  <c r="AO215"/>
  <c r="AN215"/>
  <c r="AM215"/>
  <c r="AL215"/>
  <c r="AK215"/>
  <c r="AH215"/>
  <c r="AG215"/>
  <c r="AP215"/>
  <c r="AF215"/>
  <c r="AE215"/>
  <c r="AO214"/>
  <c r="AN214"/>
  <c r="AM214"/>
  <c r="AF214"/>
  <c r="AE214"/>
  <c r="AA214"/>
  <c r="N214"/>
  <c r="AH214"/>
  <c r="AQ214"/>
  <c r="AO213"/>
  <c r="AN213"/>
  <c r="AM213"/>
  <c r="AL213"/>
  <c r="AK213"/>
  <c r="AH213"/>
  <c r="AQ213"/>
  <c r="AG213"/>
  <c r="AP213"/>
  <c r="AF213"/>
  <c r="AE213"/>
  <c r="L213"/>
  <c r="N212"/>
  <c r="V212"/>
  <c r="AK212"/>
  <c r="AO212"/>
  <c r="AN212"/>
  <c r="AM212"/>
  <c r="AF212"/>
  <c r="AE212"/>
  <c r="AA212"/>
  <c r="AO211"/>
  <c r="AN211"/>
  <c r="AM211"/>
  <c r="AL211"/>
  <c r="AK211"/>
  <c r="AH211"/>
  <c r="AQ211"/>
  <c r="AG211"/>
  <c r="AP211"/>
  <c r="AF211"/>
  <c r="AE211"/>
  <c r="M211"/>
  <c r="L211"/>
  <c r="AO210"/>
  <c r="AN210"/>
  <c r="AM210"/>
  <c r="AF210"/>
  <c r="AE210"/>
  <c r="AA210"/>
  <c r="AO209"/>
  <c r="AN209"/>
  <c r="AM209"/>
  <c r="AL209"/>
  <c r="AK209"/>
  <c r="AH209"/>
  <c r="AG209"/>
  <c r="AP209"/>
  <c r="AF209"/>
  <c r="AE209"/>
  <c r="AO208"/>
  <c r="AN208"/>
  <c r="AM208"/>
  <c r="AF208"/>
  <c r="AE208"/>
  <c r="AA208"/>
  <c r="N208"/>
  <c r="AH208"/>
  <c r="AQ208"/>
  <c r="AO207"/>
  <c r="AN207"/>
  <c r="AM207"/>
  <c r="AL207"/>
  <c r="AK207"/>
  <c r="AH207"/>
  <c r="AG207"/>
  <c r="AP207"/>
  <c r="AF207"/>
  <c r="AE207"/>
  <c r="AO206"/>
  <c r="AN206"/>
  <c r="AF206"/>
  <c r="AE206"/>
  <c r="AA206"/>
  <c r="N206"/>
  <c r="AG206"/>
  <c r="AP206"/>
  <c r="AO205"/>
  <c r="AN205"/>
  <c r="AM205"/>
  <c r="AL205"/>
  <c r="AK205"/>
  <c r="AH205"/>
  <c r="AQ205"/>
  <c r="AG205"/>
  <c r="AP205"/>
  <c r="AF205"/>
  <c r="AE205"/>
  <c r="AO204"/>
  <c r="AN204"/>
  <c r="AF204"/>
  <c r="AE204"/>
  <c r="AA204"/>
  <c r="N204"/>
  <c r="AH204"/>
  <c r="AO203"/>
  <c r="AN203"/>
  <c r="AM203"/>
  <c r="AL203"/>
  <c r="AK203"/>
  <c r="AH203"/>
  <c r="AG203"/>
  <c r="AF203"/>
  <c r="AE203"/>
  <c r="AQ202"/>
  <c r="AP202"/>
  <c r="P202"/>
  <c r="O202"/>
  <c r="G202"/>
  <c r="AO201"/>
  <c r="AN201"/>
  <c r="AM201"/>
  <c r="AL201"/>
  <c r="AK201"/>
  <c r="AH201"/>
  <c r="AG201"/>
  <c r="AP201"/>
  <c r="AF201"/>
  <c r="AE201"/>
  <c r="AO200"/>
  <c r="AN200"/>
  <c r="AF200"/>
  <c r="AE200"/>
  <c r="AA200"/>
  <c r="N200"/>
  <c r="AG200"/>
  <c r="AP200"/>
  <c r="AO199"/>
  <c r="AN199"/>
  <c r="AM199"/>
  <c r="AL199"/>
  <c r="AK199"/>
  <c r="AH199"/>
  <c r="AQ199"/>
  <c r="AG199"/>
  <c r="AP199"/>
  <c r="AF199"/>
  <c r="AE199"/>
  <c r="AO198"/>
  <c r="AN198"/>
  <c r="AF198"/>
  <c r="AE198"/>
  <c r="AA198"/>
  <c r="N198"/>
  <c r="V198"/>
  <c r="AO197"/>
  <c r="AN197"/>
  <c r="AM197"/>
  <c r="AL197"/>
  <c r="AK197"/>
  <c r="AH197"/>
  <c r="AG197"/>
  <c r="AP197"/>
  <c r="AF197"/>
  <c r="AE197"/>
  <c r="K197"/>
  <c r="K202"/>
  <c r="H197"/>
  <c r="H202"/>
  <c r="AO196"/>
  <c r="AN196"/>
  <c r="AM196"/>
  <c r="AF196"/>
  <c r="AE196"/>
  <c r="AA196"/>
  <c r="AO195"/>
  <c r="AN195"/>
  <c r="AM195"/>
  <c r="AL195"/>
  <c r="AK195"/>
  <c r="AH195"/>
  <c r="AQ195"/>
  <c r="AG195"/>
  <c r="AP195"/>
  <c r="AF195"/>
  <c r="AE195"/>
  <c r="AO194"/>
  <c r="AN194"/>
  <c r="AM194"/>
  <c r="AL194"/>
  <c r="AK194"/>
  <c r="AH194"/>
  <c r="AG194"/>
  <c r="AF194"/>
  <c r="AE194"/>
  <c r="AQ193"/>
  <c r="AP193"/>
  <c r="O193"/>
  <c r="O666"/>
  <c r="G193"/>
  <c r="AO192"/>
  <c r="AN192"/>
  <c r="AM192"/>
  <c r="AL192"/>
  <c r="AK192"/>
  <c r="AH192"/>
  <c r="AQ192"/>
  <c r="AG192"/>
  <c r="AP192"/>
  <c r="AF192"/>
  <c r="AE192"/>
  <c r="L192"/>
  <c r="N191"/>
  <c r="AG191"/>
  <c r="AO191"/>
  <c r="AN191"/>
  <c r="AF191"/>
  <c r="AE191"/>
  <c r="AC193"/>
  <c r="AC666"/>
  <c r="AA191"/>
  <c r="AQ190"/>
  <c r="AP190"/>
  <c r="AQ189"/>
  <c r="AP189"/>
  <c r="AQ188"/>
  <c r="AP188"/>
  <c r="AS188"/>
  <c r="AB188"/>
  <c r="AA188"/>
  <c r="Z188"/>
  <c r="Y188"/>
  <c r="X188"/>
  <c r="W188"/>
  <c r="V188"/>
  <c r="P188"/>
  <c r="O188"/>
  <c r="N188"/>
  <c r="G188"/>
  <c r="AO185"/>
  <c r="AN185"/>
  <c r="AM185"/>
  <c r="AL185"/>
  <c r="AK185"/>
  <c r="AH185"/>
  <c r="AG185"/>
  <c r="AF185"/>
  <c r="AE185"/>
  <c r="AQ184"/>
  <c r="AP184"/>
  <c r="W184"/>
  <c r="P184"/>
  <c r="O184"/>
  <c r="G184"/>
  <c r="AO183"/>
  <c r="AN183"/>
  <c r="AM183"/>
  <c r="AL183"/>
  <c r="AK183"/>
  <c r="AH183"/>
  <c r="AG183"/>
  <c r="AF183"/>
  <c r="AE183"/>
  <c r="H183"/>
  <c r="L183"/>
  <c r="L184"/>
  <c r="AO182"/>
  <c r="AN182"/>
  <c r="AM182"/>
  <c r="AF182"/>
  <c r="AE182"/>
  <c r="AC184"/>
  <c r="AA182"/>
  <c r="AO181"/>
  <c r="AN181"/>
  <c r="AM181"/>
  <c r="AL181"/>
  <c r="AK181"/>
  <c r="AH181"/>
  <c r="AQ181"/>
  <c r="AG181"/>
  <c r="AF181"/>
  <c r="AE181"/>
  <c r="AQ180"/>
  <c r="AP180"/>
  <c r="W180"/>
  <c r="P180"/>
  <c r="O180"/>
  <c r="G180"/>
  <c r="AO179"/>
  <c r="AN179"/>
  <c r="AM179"/>
  <c r="AL179"/>
  <c r="AK179"/>
  <c r="AH179"/>
  <c r="AQ179"/>
  <c r="AG179"/>
  <c r="AP179"/>
  <c r="AS179"/>
  <c r="AF179"/>
  <c r="AE179"/>
  <c r="L179"/>
  <c r="L180"/>
  <c r="AO178"/>
  <c r="AN178"/>
  <c r="AM178"/>
  <c r="AF178"/>
  <c r="AE178"/>
  <c r="AC180"/>
  <c r="AA178"/>
  <c r="AA180"/>
  <c r="AO177"/>
  <c r="AN177"/>
  <c r="AM177"/>
  <c r="AL177"/>
  <c r="AK177"/>
  <c r="AH177"/>
  <c r="AG177"/>
  <c r="AF177"/>
  <c r="AE177"/>
  <c r="AQ176"/>
  <c r="AP176"/>
  <c r="W176"/>
  <c r="P176"/>
  <c r="O176"/>
  <c r="G176"/>
  <c r="AO175"/>
  <c r="AN175"/>
  <c r="AM175"/>
  <c r="AL175"/>
  <c r="AK175"/>
  <c r="AH175"/>
  <c r="AG175"/>
  <c r="AF175"/>
  <c r="AE175"/>
  <c r="L175"/>
  <c r="N174"/>
  <c r="AO174"/>
  <c r="AN174"/>
  <c r="AM174"/>
  <c r="AF174"/>
  <c r="AE174"/>
  <c r="AA174"/>
  <c r="AO173"/>
  <c r="AN173"/>
  <c r="AM173"/>
  <c r="AL173"/>
  <c r="AK173"/>
  <c r="AH173"/>
  <c r="AQ173"/>
  <c r="AG173"/>
  <c r="AP173"/>
  <c r="AF173"/>
  <c r="AE173"/>
  <c r="H173"/>
  <c r="AO172"/>
  <c r="AN172"/>
  <c r="AM172"/>
  <c r="AF172"/>
  <c r="AE172"/>
  <c r="AC176"/>
  <c r="AA172"/>
  <c r="AA176"/>
  <c r="AO171"/>
  <c r="AN171"/>
  <c r="AM171"/>
  <c r="AL171"/>
  <c r="AK171"/>
  <c r="AH171"/>
  <c r="AQ171"/>
  <c r="AG171"/>
  <c r="AP171"/>
  <c r="AF171"/>
  <c r="AE171"/>
  <c r="AO170"/>
  <c r="AN170"/>
  <c r="AM170"/>
  <c r="AL170"/>
  <c r="AK170"/>
  <c r="AH170"/>
  <c r="AQ170"/>
  <c r="AG170"/>
  <c r="AF170"/>
  <c r="AE170"/>
  <c r="AQ169"/>
  <c r="AP169"/>
  <c r="W169"/>
  <c r="U169"/>
  <c r="P169"/>
  <c r="O169"/>
  <c r="G169"/>
  <c r="AO168"/>
  <c r="AN168"/>
  <c r="AM168"/>
  <c r="AL168"/>
  <c r="AK168"/>
  <c r="AH168"/>
  <c r="AQ168"/>
  <c r="AG168"/>
  <c r="AF168"/>
  <c r="AE168"/>
  <c r="L168"/>
  <c r="N167"/>
  <c r="AO167"/>
  <c r="AN167"/>
  <c r="AM167"/>
  <c r="AF167"/>
  <c r="AE167"/>
  <c r="AA167"/>
  <c r="AO166"/>
  <c r="AN166"/>
  <c r="AM166"/>
  <c r="AL166"/>
  <c r="AK166"/>
  <c r="AH166"/>
  <c r="AQ166"/>
  <c r="AG166"/>
  <c r="AP166"/>
  <c r="AF166"/>
  <c r="AE166"/>
  <c r="L166"/>
  <c r="N165"/>
  <c r="V165"/>
  <c r="AK165"/>
  <c r="AO165"/>
  <c r="AN165"/>
  <c r="AM165"/>
  <c r="AF165"/>
  <c r="AE165"/>
  <c r="AA165"/>
  <c r="AO164"/>
  <c r="AN164"/>
  <c r="AM164"/>
  <c r="AL164"/>
  <c r="AK164"/>
  <c r="AH164"/>
  <c r="AQ164"/>
  <c r="AG164"/>
  <c r="AF164"/>
  <c r="AE164"/>
  <c r="L164"/>
  <c r="N163"/>
  <c r="AG163"/>
  <c r="AP163"/>
  <c r="AO163"/>
  <c r="AN163"/>
  <c r="AM163"/>
  <c r="AF163"/>
  <c r="AE163"/>
  <c r="AA163"/>
  <c r="AO162"/>
  <c r="AN162"/>
  <c r="AM162"/>
  <c r="AL162"/>
  <c r="AK162"/>
  <c r="AH162"/>
  <c r="AQ162"/>
  <c r="AG162"/>
  <c r="AP162"/>
  <c r="AF162"/>
  <c r="AE162"/>
  <c r="L162"/>
  <c r="AO161"/>
  <c r="AN161"/>
  <c r="AM161"/>
  <c r="AF161"/>
  <c r="AE161"/>
  <c r="AA161"/>
  <c r="AO160"/>
  <c r="AN160"/>
  <c r="AM160"/>
  <c r="AL160"/>
  <c r="AK160"/>
  <c r="AH160"/>
  <c r="AQ160"/>
  <c r="AG160"/>
  <c r="AF160"/>
  <c r="AE160"/>
  <c r="AQ159"/>
  <c r="AP159"/>
  <c r="W159"/>
  <c r="P159"/>
  <c r="G159"/>
  <c r="AO158"/>
  <c r="AN158"/>
  <c r="AM158"/>
  <c r="AL158"/>
  <c r="AK158"/>
  <c r="AH158"/>
  <c r="AQ158"/>
  <c r="AG158"/>
  <c r="AF158"/>
  <c r="AE158"/>
  <c r="I158"/>
  <c r="N157"/>
  <c r="AH157"/>
  <c r="AO157"/>
  <c r="AN157"/>
  <c r="AM157"/>
  <c r="AF157"/>
  <c r="AE157"/>
  <c r="AA157"/>
  <c r="AO156"/>
  <c r="AN156"/>
  <c r="AM156"/>
  <c r="AL156"/>
  <c r="AK156"/>
  <c r="AH156"/>
  <c r="AQ156"/>
  <c r="AG156"/>
  <c r="AP156"/>
  <c r="AF156"/>
  <c r="AE156"/>
  <c r="I156"/>
  <c r="N155"/>
  <c r="AO155"/>
  <c r="AN155"/>
  <c r="AM155"/>
  <c r="AF155"/>
  <c r="AE155"/>
  <c r="AA155"/>
  <c r="AO154"/>
  <c r="AN154"/>
  <c r="AM154"/>
  <c r="AL154"/>
  <c r="AK154"/>
  <c r="AH154"/>
  <c r="AQ154"/>
  <c r="AG154"/>
  <c r="AF154"/>
  <c r="AE154"/>
  <c r="I154"/>
  <c r="N153"/>
  <c r="AO153"/>
  <c r="AN153"/>
  <c r="AM153"/>
  <c r="AF153"/>
  <c r="AE153"/>
  <c r="AA153"/>
  <c r="AO152"/>
  <c r="AN152"/>
  <c r="AM152"/>
  <c r="AL152"/>
  <c r="AK152"/>
  <c r="AH152"/>
  <c r="AQ152"/>
  <c r="AG152"/>
  <c r="AP152"/>
  <c r="AF152"/>
  <c r="AE152"/>
  <c r="I152"/>
  <c r="N151"/>
  <c r="AO151"/>
  <c r="AN151"/>
  <c r="AM151"/>
  <c r="AF151"/>
  <c r="AE151"/>
  <c r="AA151"/>
  <c r="AO150"/>
  <c r="AN150"/>
  <c r="AM150"/>
  <c r="AL150"/>
  <c r="AK150"/>
  <c r="AH150"/>
  <c r="AQ150"/>
  <c r="AG150"/>
  <c r="AF150"/>
  <c r="AE150"/>
  <c r="I150"/>
  <c r="N149"/>
  <c r="AO149"/>
  <c r="AN149"/>
  <c r="AM149"/>
  <c r="AF149"/>
  <c r="AE149"/>
  <c r="AA149"/>
  <c r="AO148"/>
  <c r="AN148"/>
  <c r="AM148"/>
  <c r="AL148"/>
  <c r="AK148"/>
  <c r="AH148"/>
  <c r="AQ148"/>
  <c r="AG148"/>
  <c r="AP148"/>
  <c r="AF148"/>
  <c r="AE148"/>
  <c r="I148"/>
  <c r="N147"/>
  <c r="AO147"/>
  <c r="AN147"/>
  <c r="AM147"/>
  <c r="AF147"/>
  <c r="AE147"/>
  <c r="AA147"/>
  <c r="AO146"/>
  <c r="AN146"/>
  <c r="AM146"/>
  <c r="AL146"/>
  <c r="AK146"/>
  <c r="AH146"/>
  <c r="AQ146"/>
  <c r="AG146"/>
  <c r="AF146"/>
  <c r="AE146"/>
  <c r="I146"/>
  <c r="N145"/>
  <c r="AO145"/>
  <c r="AN145"/>
  <c r="AM145"/>
  <c r="AF145"/>
  <c r="AE145"/>
  <c r="AA145"/>
  <c r="AO144"/>
  <c r="AN144"/>
  <c r="AM144"/>
  <c r="AL144"/>
  <c r="AK144"/>
  <c r="AH144"/>
  <c r="AQ144"/>
  <c r="AG144"/>
  <c r="AP144"/>
  <c r="AF144"/>
  <c r="AE144"/>
  <c r="I144"/>
  <c r="N143"/>
  <c r="AO143"/>
  <c r="AM143"/>
  <c r="AF143"/>
  <c r="O143"/>
  <c r="AC143"/>
  <c r="AN143"/>
  <c r="AO142"/>
  <c r="AN142"/>
  <c r="AM142"/>
  <c r="AL142"/>
  <c r="AK142"/>
  <c r="AH142"/>
  <c r="AG142"/>
  <c r="AP142"/>
  <c r="AF142"/>
  <c r="AE142"/>
  <c r="H142"/>
  <c r="I142"/>
  <c r="AO141"/>
  <c r="AN141"/>
  <c r="AM141"/>
  <c r="AF141"/>
  <c r="AE141"/>
  <c r="AA141"/>
  <c r="AO140"/>
  <c r="AN140"/>
  <c r="AM140"/>
  <c r="AL140"/>
  <c r="AK140"/>
  <c r="AH140"/>
  <c r="AQ140"/>
  <c r="AG140"/>
  <c r="AF140"/>
  <c r="AE140"/>
  <c r="AQ139"/>
  <c r="AP139"/>
  <c r="W139"/>
  <c r="P139"/>
  <c r="O139"/>
  <c r="G139"/>
  <c r="AO138"/>
  <c r="AN138"/>
  <c r="AM138"/>
  <c r="AL138"/>
  <c r="AK138"/>
  <c r="AH138"/>
  <c r="AQ138"/>
  <c r="AG138"/>
  <c r="AP138"/>
  <c r="AF138"/>
  <c r="AE138"/>
  <c r="AO137"/>
  <c r="AN137"/>
  <c r="AM137"/>
  <c r="AF137"/>
  <c r="AE137"/>
  <c r="AA137"/>
  <c r="N137"/>
  <c r="AG137"/>
  <c r="AP137"/>
  <c r="AO136"/>
  <c r="AN136"/>
  <c r="AM136"/>
  <c r="AL136"/>
  <c r="AK136"/>
  <c r="AH136"/>
  <c r="AQ136"/>
  <c r="AG136"/>
  <c r="AF136"/>
  <c r="AE136"/>
  <c r="H136"/>
  <c r="H139"/>
  <c r="AO135"/>
  <c r="AN135"/>
  <c r="AM135"/>
  <c r="AF135"/>
  <c r="AE135"/>
  <c r="AC139"/>
  <c r="AA135"/>
  <c r="AO134"/>
  <c r="AN134"/>
  <c r="AM134"/>
  <c r="AL134"/>
  <c r="AK134"/>
  <c r="AH134"/>
  <c r="AQ134"/>
  <c r="AG134"/>
  <c r="AP134"/>
  <c r="AF134"/>
  <c r="AE134"/>
  <c r="AQ133"/>
  <c r="AP133"/>
  <c r="W133"/>
  <c r="P133"/>
  <c r="O133"/>
  <c r="G133"/>
  <c r="AO132"/>
  <c r="AN132"/>
  <c r="AM132"/>
  <c r="AL132"/>
  <c r="AK132"/>
  <c r="AH132"/>
  <c r="AG132"/>
  <c r="AP132"/>
  <c r="AF132"/>
  <c r="AE132"/>
  <c r="AO131"/>
  <c r="AN131"/>
  <c r="AM131"/>
  <c r="AF131"/>
  <c r="AE131"/>
  <c r="AA131"/>
  <c r="N131"/>
  <c r="AH131"/>
  <c r="AO130"/>
  <c r="AN130"/>
  <c r="AM130"/>
  <c r="AL130"/>
  <c r="AK130"/>
  <c r="AH130"/>
  <c r="AQ130"/>
  <c r="AG130"/>
  <c r="AP130"/>
  <c r="AS130"/>
  <c r="AF130"/>
  <c r="AE130"/>
  <c r="H130"/>
  <c r="H133"/>
  <c r="AO129"/>
  <c r="AN129"/>
  <c r="AM129"/>
  <c r="AF129"/>
  <c r="AE129"/>
  <c r="AA129"/>
  <c r="AO128"/>
  <c r="AN128"/>
  <c r="AM128"/>
  <c r="AL128"/>
  <c r="AK128"/>
  <c r="AH128"/>
  <c r="AQ128"/>
  <c r="AG128"/>
  <c r="AF128"/>
  <c r="AJ128"/>
  <c r="AE128"/>
  <c r="AQ127"/>
  <c r="AP127"/>
  <c r="W127"/>
  <c r="P127"/>
  <c r="O127"/>
  <c r="G127"/>
  <c r="AO126"/>
  <c r="AN126"/>
  <c r="AM126"/>
  <c r="AL126"/>
  <c r="AK126"/>
  <c r="AH126"/>
  <c r="AQ126"/>
  <c r="AG126"/>
  <c r="AP126"/>
  <c r="AS126"/>
  <c r="AF126"/>
  <c r="AE126"/>
  <c r="AO125"/>
  <c r="AN125"/>
  <c r="AM125"/>
  <c r="AF125"/>
  <c r="AE125"/>
  <c r="AA125"/>
  <c r="N125"/>
  <c r="AH125"/>
  <c r="AO124"/>
  <c r="AN124"/>
  <c r="AM124"/>
  <c r="AL124"/>
  <c r="AK124"/>
  <c r="AH124"/>
  <c r="AQ124"/>
  <c r="AG124"/>
  <c r="AP124"/>
  <c r="AF124"/>
  <c r="AE124"/>
  <c r="AO123"/>
  <c r="AN123"/>
  <c r="AM123"/>
  <c r="AF123"/>
  <c r="AE123"/>
  <c r="AC127"/>
  <c r="AA123"/>
  <c r="N123"/>
  <c r="AO122"/>
  <c r="AN122"/>
  <c r="AM122"/>
  <c r="AL122"/>
  <c r="AK122"/>
  <c r="AH122"/>
  <c r="AQ122"/>
  <c r="AG122"/>
  <c r="AF122"/>
  <c r="AE122"/>
  <c r="AQ121"/>
  <c r="AP121"/>
  <c r="W121"/>
  <c r="P121"/>
  <c r="AO121"/>
  <c r="O121"/>
  <c r="AN121"/>
  <c r="G121"/>
  <c r="AO120"/>
  <c r="AN120"/>
  <c r="AM120"/>
  <c r="AL120"/>
  <c r="AK120"/>
  <c r="AH120"/>
  <c r="AQ120"/>
  <c r="AG120"/>
  <c r="AP120"/>
  <c r="AS120"/>
  <c r="AF120"/>
  <c r="AE120"/>
  <c r="I120"/>
  <c r="L120"/>
  <c r="AO119"/>
  <c r="AN119"/>
  <c r="AM119"/>
  <c r="AF119"/>
  <c r="AE119"/>
  <c r="AA119"/>
  <c r="AO118"/>
  <c r="AN118"/>
  <c r="AM118"/>
  <c r="AL118"/>
  <c r="AK118"/>
  <c r="AH118"/>
  <c r="AQ118"/>
  <c r="AG118"/>
  <c r="AP118"/>
  <c r="AF118"/>
  <c r="AE118"/>
  <c r="L118"/>
  <c r="N117"/>
  <c r="AO117"/>
  <c r="AN117"/>
  <c r="AM117"/>
  <c r="AF117"/>
  <c r="AE117"/>
  <c r="AA117"/>
  <c r="AO116"/>
  <c r="AN116"/>
  <c r="AM116"/>
  <c r="AL116"/>
  <c r="AK116"/>
  <c r="AH116"/>
  <c r="AQ116"/>
  <c r="AG116"/>
  <c r="AF116"/>
  <c r="AE116"/>
  <c r="L116"/>
  <c r="N115"/>
  <c r="AO115"/>
  <c r="AN115"/>
  <c r="AM115"/>
  <c r="AF115"/>
  <c r="AE115"/>
  <c r="AA115"/>
  <c r="AO114"/>
  <c r="AN114"/>
  <c r="AM114"/>
  <c r="AL114"/>
  <c r="AK114"/>
  <c r="AH114"/>
  <c r="AG114"/>
  <c r="AP114"/>
  <c r="AF114"/>
  <c r="AE114"/>
  <c r="L114"/>
  <c r="N113"/>
  <c r="AG113"/>
  <c r="AO113"/>
  <c r="AN113"/>
  <c r="AM113"/>
  <c r="AF113"/>
  <c r="AE113"/>
  <c r="AA113"/>
  <c r="AO112"/>
  <c r="AN112"/>
  <c r="AM112"/>
  <c r="AL112"/>
  <c r="AK112"/>
  <c r="AH112"/>
  <c r="AQ112"/>
  <c r="AG112"/>
  <c r="AF112"/>
  <c r="AE112"/>
  <c r="L112"/>
  <c r="N111"/>
  <c r="AH111"/>
  <c r="AO111"/>
  <c r="AN111"/>
  <c r="AM111"/>
  <c r="AF111"/>
  <c r="AE111"/>
  <c r="AA111"/>
  <c r="AO110"/>
  <c r="AN110"/>
  <c r="AM110"/>
  <c r="AL110"/>
  <c r="AK110"/>
  <c r="AH110"/>
  <c r="AG110"/>
  <c r="AP110"/>
  <c r="AF110"/>
  <c r="AE110"/>
  <c r="L110"/>
  <c r="N109"/>
  <c r="AO109"/>
  <c r="AN109"/>
  <c r="AM109"/>
  <c r="AG109"/>
  <c r="AF109"/>
  <c r="AE109"/>
  <c r="AA109"/>
  <c r="AO108"/>
  <c r="AN108"/>
  <c r="AM108"/>
  <c r="AL108"/>
  <c r="AK108"/>
  <c r="AH108"/>
  <c r="AQ108"/>
  <c r="AG108"/>
  <c r="AF108"/>
  <c r="AE108"/>
  <c r="L108"/>
  <c r="N107"/>
  <c r="V107"/>
  <c r="AO107"/>
  <c r="AN107"/>
  <c r="AM107"/>
  <c r="AF107"/>
  <c r="AE107"/>
  <c r="AA107"/>
  <c r="AO106"/>
  <c r="AN106"/>
  <c r="AM106"/>
  <c r="AL106"/>
  <c r="AK106"/>
  <c r="AH106"/>
  <c r="AG106"/>
  <c r="AP106"/>
  <c r="AF106"/>
  <c r="AE106"/>
  <c r="L106"/>
  <c r="N105"/>
  <c r="AH105"/>
  <c r="AO105"/>
  <c r="AN105"/>
  <c r="AM105"/>
  <c r="AF105"/>
  <c r="AE105"/>
  <c r="AA105"/>
  <c r="AO104"/>
  <c r="AN104"/>
  <c r="AM104"/>
  <c r="AL104"/>
  <c r="AK104"/>
  <c r="AH104"/>
  <c r="AG104"/>
  <c r="AF104"/>
  <c r="AE104"/>
  <c r="I104"/>
  <c r="AO103"/>
  <c r="AN103"/>
  <c r="AM103"/>
  <c r="AF103"/>
  <c r="AE103"/>
  <c r="AA103"/>
  <c r="AO102"/>
  <c r="AN102"/>
  <c r="AM102"/>
  <c r="AL102"/>
  <c r="AK102"/>
  <c r="AH102"/>
  <c r="AQ102"/>
  <c r="AG102"/>
  <c r="AP102"/>
  <c r="AF102"/>
  <c r="AE102"/>
  <c r="L102"/>
  <c r="N101"/>
  <c r="V101"/>
  <c r="AO101"/>
  <c r="AN101"/>
  <c r="AM101"/>
  <c r="AF101"/>
  <c r="AE101"/>
  <c r="AA101"/>
  <c r="AO100"/>
  <c r="AN100"/>
  <c r="AM100"/>
  <c r="AL100"/>
  <c r="AK100"/>
  <c r="AH100"/>
  <c r="AQ100"/>
  <c r="AG100"/>
  <c r="AF100"/>
  <c r="AE100"/>
  <c r="L100"/>
  <c r="N99"/>
  <c r="AH99"/>
  <c r="AQ99"/>
  <c r="AO99"/>
  <c r="AN99"/>
  <c r="AM99"/>
  <c r="AF99"/>
  <c r="AE99"/>
  <c r="AA99"/>
  <c r="AO98"/>
  <c r="AN98"/>
  <c r="AM98"/>
  <c r="AL98"/>
  <c r="AK98"/>
  <c r="AH98"/>
  <c r="AG98"/>
  <c r="AP98"/>
  <c r="AF98"/>
  <c r="AE98"/>
  <c r="L98"/>
  <c r="H98"/>
  <c r="H121"/>
  <c r="AO97"/>
  <c r="AN97"/>
  <c r="AM97"/>
  <c r="AF97"/>
  <c r="AE97"/>
  <c r="AA97"/>
  <c r="AO96"/>
  <c r="AN96"/>
  <c r="AM96"/>
  <c r="AL96"/>
  <c r="AK96"/>
  <c r="AH96"/>
  <c r="AG96"/>
  <c r="AP96"/>
  <c r="AF96"/>
  <c r="AE96"/>
  <c r="AQ95"/>
  <c r="AP95"/>
  <c r="W95"/>
  <c r="O95"/>
  <c r="G95"/>
  <c r="AO94"/>
  <c r="AN94"/>
  <c r="AM94"/>
  <c r="AL94"/>
  <c r="AK94"/>
  <c r="AH94"/>
  <c r="AQ94"/>
  <c r="AG94"/>
  <c r="AP94"/>
  <c r="AF94"/>
  <c r="AE94"/>
  <c r="L94"/>
  <c r="L95"/>
  <c r="AO93"/>
  <c r="AN93"/>
  <c r="AM93"/>
  <c r="AF93"/>
  <c r="AE93"/>
  <c r="AA93"/>
  <c r="AO92"/>
  <c r="AN92"/>
  <c r="AM92"/>
  <c r="AL92"/>
  <c r="AK92"/>
  <c r="AH92"/>
  <c r="AQ92"/>
  <c r="AG92"/>
  <c r="AF92"/>
  <c r="AE92"/>
  <c r="L92"/>
  <c r="N91"/>
  <c r="AH91"/>
  <c r="AQ91"/>
  <c r="AO91"/>
  <c r="AN91"/>
  <c r="AM91"/>
  <c r="AF91"/>
  <c r="AE91"/>
  <c r="AA91"/>
  <c r="AO90"/>
  <c r="AN90"/>
  <c r="AM90"/>
  <c r="AL90"/>
  <c r="AK90"/>
  <c r="AH90"/>
  <c r="AG90"/>
  <c r="AP90"/>
  <c r="AF90"/>
  <c r="AE90"/>
  <c r="I90"/>
  <c r="N89"/>
  <c r="AG89"/>
  <c r="AO89"/>
  <c r="AN89"/>
  <c r="AM89"/>
  <c r="AF89"/>
  <c r="AE89"/>
  <c r="AA89"/>
  <c r="AO88"/>
  <c r="AN88"/>
  <c r="AM88"/>
  <c r="AL88"/>
  <c r="AK88"/>
  <c r="AH88"/>
  <c r="AQ88"/>
  <c r="AG88"/>
  <c r="AF88"/>
  <c r="AE88"/>
  <c r="I88"/>
  <c r="N87"/>
  <c r="AO87"/>
  <c r="AN87"/>
  <c r="AM87"/>
  <c r="AF87"/>
  <c r="AE87"/>
  <c r="AA87"/>
  <c r="AO86"/>
  <c r="AN86"/>
  <c r="AM86"/>
  <c r="AL86"/>
  <c r="AK86"/>
  <c r="AH86"/>
  <c r="AQ86"/>
  <c r="AG86"/>
  <c r="AP86"/>
  <c r="AF86"/>
  <c r="AE86"/>
  <c r="I86"/>
  <c r="AO85"/>
  <c r="AN85"/>
  <c r="AM85"/>
  <c r="AF85"/>
  <c r="AE85"/>
  <c r="AA85"/>
  <c r="N85"/>
  <c r="AG85"/>
  <c r="AO84"/>
  <c r="AN84"/>
  <c r="AM84"/>
  <c r="AL84"/>
  <c r="AK84"/>
  <c r="AH84"/>
  <c r="AQ84"/>
  <c r="AG84"/>
  <c r="AF84"/>
  <c r="AE84"/>
  <c r="I84"/>
  <c r="N83"/>
  <c r="AH83"/>
  <c r="AN83"/>
  <c r="AM83"/>
  <c r="AF83"/>
  <c r="AE83"/>
  <c r="AA83"/>
  <c r="P83"/>
  <c r="AC83"/>
  <c r="AC95"/>
  <c r="AO82"/>
  <c r="AN82"/>
  <c r="AM82"/>
  <c r="AL82"/>
  <c r="AK82"/>
  <c r="AH82"/>
  <c r="AQ82"/>
  <c r="AG82"/>
  <c r="AP82"/>
  <c r="AF82"/>
  <c r="AE82"/>
  <c r="I82"/>
  <c r="N81"/>
  <c r="AO81"/>
  <c r="AN81"/>
  <c r="AM81"/>
  <c r="AF81"/>
  <c r="AE81"/>
  <c r="AA81"/>
  <c r="AO80"/>
  <c r="AN80"/>
  <c r="AM80"/>
  <c r="AL80"/>
  <c r="AK80"/>
  <c r="AH80"/>
  <c r="AG80"/>
  <c r="AF80"/>
  <c r="AE80"/>
  <c r="I80"/>
  <c r="N79"/>
  <c r="AG79"/>
  <c r="AO79"/>
  <c r="AN79"/>
  <c r="AM79"/>
  <c r="AF79"/>
  <c r="AE79"/>
  <c r="AA79"/>
  <c r="AO78"/>
  <c r="AN78"/>
  <c r="AM78"/>
  <c r="AL78"/>
  <c r="AK78"/>
  <c r="AH78"/>
  <c r="AQ78"/>
  <c r="AG78"/>
  <c r="AP78"/>
  <c r="AF78"/>
  <c r="AE78"/>
  <c r="I78"/>
  <c r="N77"/>
  <c r="AG77"/>
  <c r="AP77"/>
  <c r="AO77"/>
  <c r="AN77"/>
  <c r="AM77"/>
  <c r="AF77"/>
  <c r="AE77"/>
  <c r="AA77"/>
  <c r="AO76"/>
  <c r="AN76"/>
  <c r="AM76"/>
  <c r="AL76"/>
  <c r="AK76"/>
  <c r="AH76"/>
  <c r="AG76"/>
  <c r="AP76"/>
  <c r="AF76"/>
  <c r="AE76"/>
  <c r="I76"/>
  <c r="N75"/>
  <c r="AO75"/>
  <c r="AN75"/>
  <c r="AM75"/>
  <c r="AF75"/>
  <c r="AE75"/>
  <c r="AA75"/>
  <c r="AO74"/>
  <c r="AN74"/>
  <c r="AM74"/>
  <c r="AL74"/>
  <c r="AK74"/>
  <c r="AH74"/>
  <c r="AQ74"/>
  <c r="AS74"/>
  <c r="AG74"/>
  <c r="AP74"/>
  <c r="AF74"/>
  <c r="AE74"/>
  <c r="I74"/>
  <c r="N73"/>
  <c r="AG73"/>
  <c r="AO73"/>
  <c r="AN73"/>
  <c r="AM73"/>
  <c r="AF73"/>
  <c r="AE73"/>
  <c r="AA73"/>
  <c r="AO72"/>
  <c r="AN72"/>
  <c r="AM72"/>
  <c r="AL72"/>
  <c r="AK72"/>
  <c r="AH72"/>
  <c r="AG72"/>
  <c r="AP72"/>
  <c r="AF72"/>
  <c r="AE72"/>
  <c r="I72"/>
  <c r="N71"/>
  <c r="V71"/>
  <c r="AL71"/>
  <c r="AO71"/>
  <c r="AN71"/>
  <c r="AM71"/>
  <c r="AF71"/>
  <c r="AE71"/>
  <c r="AA71"/>
  <c r="AO70"/>
  <c r="AN70"/>
  <c r="AM70"/>
  <c r="AL70"/>
  <c r="AK70"/>
  <c r="AH70"/>
  <c r="AQ70"/>
  <c r="AS70"/>
  <c r="AG70"/>
  <c r="AP70"/>
  <c r="AF70"/>
  <c r="AE70"/>
  <c r="H70"/>
  <c r="H95"/>
  <c r="AO69"/>
  <c r="AN69"/>
  <c r="AM69"/>
  <c r="AF69"/>
  <c r="AE69"/>
  <c r="AA69"/>
  <c r="AO68"/>
  <c r="AN68"/>
  <c r="AM68"/>
  <c r="AL68"/>
  <c r="AK68"/>
  <c r="AH68"/>
  <c r="AQ68"/>
  <c r="AG68"/>
  <c r="AP68"/>
  <c r="AF68"/>
  <c r="AE68"/>
  <c r="W67"/>
  <c r="G67"/>
  <c r="AO66"/>
  <c r="AN66"/>
  <c r="AM66"/>
  <c r="AL66"/>
  <c r="AK66"/>
  <c r="AH66"/>
  <c r="AQ66"/>
  <c r="AG66"/>
  <c r="AF66"/>
  <c r="AE66"/>
  <c r="L66"/>
  <c r="N65"/>
  <c r="AH65"/>
  <c r="AQ65"/>
  <c r="AO65"/>
  <c r="AN65"/>
  <c r="AM65"/>
  <c r="AF65"/>
  <c r="AE65"/>
  <c r="AA65"/>
  <c r="AO64"/>
  <c r="AN64"/>
  <c r="AM64"/>
  <c r="AL64"/>
  <c r="AK64"/>
  <c r="AH64"/>
  <c r="AG64"/>
  <c r="AP64"/>
  <c r="AF64"/>
  <c r="AE64"/>
  <c r="L64"/>
  <c r="N63"/>
  <c r="AO63"/>
  <c r="AN63"/>
  <c r="AM63"/>
  <c r="AF63"/>
  <c r="AE63"/>
  <c r="AA63"/>
  <c r="AO62"/>
  <c r="AN62"/>
  <c r="AM62"/>
  <c r="AL62"/>
  <c r="AK62"/>
  <c r="AH62"/>
  <c r="AQ62"/>
  <c r="AG62"/>
  <c r="AF62"/>
  <c r="AE62"/>
  <c r="I62"/>
  <c r="N61"/>
  <c r="AH61"/>
  <c r="AQ61"/>
  <c r="AO61"/>
  <c r="AN61"/>
  <c r="AM61"/>
  <c r="AF61"/>
  <c r="AE61"/>
  <c r="AA61"/>
  <c r="AO60"/>
  <c r="AN60"/>
  <c r="AM60"/>
  <c r="AL60"/>
  <c r="AK60"/>
  <c r="AH60"/>
  <c r="AG60"/>
  <c r="AP60"/>
  <c r="AF60"/>
  <c r="AE60"/>
  <c r="AN59"/>
  <c r="AM59"/>
  <c r="AE59"/>
  <c r="P59"/>
  <c r="AC59"/>
  <c r="N59"/>
  <c r="V59"/>
  <c r="AK59"/>
  <c r="AO58"/>
  <c r="AN58"/>
  <c r="AM58"/>
  <c r="AL58"/>
  <c r="AK58"/>
  <c r="AH58"/>
  <c r="AQ58"/>
  <c r="AG58"/>
  <c r="AF58"/>
  <c r="AE58"/>
  <c r="AO57"/>
  <c r="AN57"/>
  <c r="AM57"/>
  <c r="AF57"/>
  <c r="AE57"/>
  <c r="AA57"/>
  <c r="N57"/>
  <c r="AG57"/>
  <c r="AP57"/>
  <c r="AO56"/>
  <c r="AN56"/>
  <c r="AM56"/>
  <c r="AL56"/>
  <c r="AK56"/>
  <c r="AH56"/>
  <c r="AG56"/>
  <c r="AP56"/>
  <c r="AF56"/>
  <c r="AE56"/>
  <c r="AO55"/>
  <c r="AN55"/>
  <c r="AM55"/>
  <c r="AF55"/>
  <c r="AE55"/>
  <c r="AA55"/>
  <c r="N55"/>
  <c r="AH55"/>
  <c r="AQ55"/>
  <c r="AO54"/>
  <c r="AN54"/>
  <c r="AM54"/>
  <c r="AL54"/>
  <c r="AK54"/>
  <c r="AH54"/>
  <c r="AG54"/>
  <c r="AP54"/>
  <c r="AF54"/>
  <c r="AE54"/>
  <c r="L54"/>
  <c r="N53"/>
  <c r="AO53"/>
  <c r="AN53"/>
  <c r="AM53"/>
  <c r="AF53"/>
  <c r="AE53"/>
  <c r="AA53"/>
  <c r="AO52"/>
  <c r="AN52"/>
  <c r="AM52"/>
  <c r="AL52"/>
  <c r="AK52"/>
  <c r="AH52"/>
  <c r="AQ52"/>
  <c r="AG52"/>
  <c r="AF52"/>
  <c r="AE52"/>
  <c r="AI52"/>
  <c r="AO51"/>
  <c r="AN51"/>
  <c r="AM51"/>
  <c r="AF51"/>
  <c r="O51"/>
  <c r="AC51"/>
  <c r="N51"/>
  <c r="V51"/>
  <c r="AL51"/>
  <c r="AO50"/>
  <c r="AN50"/>
  <c r="AM50"/>
  <c r="AL50"/>
  <c r="AK50"/>
  <c r="AH50"/>
  <c r="AQ50"/>
  <c r="AG50"/>
  <c r="AP50"/>
  <c r="AF50"/>
  <c r="AE50"/>
  <c r="AO49"/>
  <c r="AN49"/>
  <c r="AM49"/>
  <c r="AF49"/>
  <c r="AE49"/>
  <c r="AA49"/>
  <c r="N49"/>
  <c r="V49"/>
  <c r="AL49"/>
  <c r="AO48"/>
  <c r="AN48"/>
  <c r="AM48"/>
  <c r="AL48"/>
  <c r="AK48"/>
  <c r="AH48"/>
  <c r="AQ48"/>
  <c r="AG48"/>
  <c r="AP48"/>
  <c r="AF48"/>
  <c r="AE48"/>
  <c r="I48"/>
  <c r="AO47"/>
  <c r="AN47"/>
  <c r="AM47"/>
  <c r="AF47"/>
  <c r="AE47"/>
  <c r="AA47"/>
  <c r="N47"/>
  <c r="AG47"/>
  <c r="AP47"/>
  <c r="AO46"/>
  <c r="AN46"/>
  <c r="AM46"/>
  <c r="AL46"/>
  <c r="AK46"/>
  <c r="AH46"/>
  <c r="AG46"/>
  <c r="AP46"/>
  <c r="AF46"/>
  <c r="AE46"/>
  <c r="I46"/>
  <c r="N45"/>
  <c r="V45"/>
  <c r="AL45"/>
  <c r="AO45"/>
  <c r="AN45"/>
  <c r="AM45"/>
  <c r="AF45"/>
  <c r="AE45"/>
  <c r="AA45"/>
  <c r="AO44"/>
  <c r="AN44"/>
  <c r="AM44"/>
  <c r="AL44"/>
  <c r="AK44"/>
  <c r="AH44"/>
  <c r="AQ44"/>
  <c r="AG44"/>
  <c r="AP44"/>
  <c r="AF44"/>
  <c r="AE44"/>
  <c r="L44"/>
  <c r="N43"/>
  <c r="AG43"/>
  <c r="AN43"/>
  <c r="AM43"/>
  <c r="AF43"/>
  <c r="AE43"/>
  <c r="AA43"/>
  <c r="P43"/>
  <c r="AC43"/>
  <c r="AO43"/>
  <c r="AO42"/>
  <c r="AN42"/>
  <c r="AM42"/>
  <c r="AL42"/>
  <c r="AK42"/>
  <c r="AH42"/>
  <c r="AQ42"/>
  <c r="AG42"/>
  <c r="AP42"/>
  <c r="AF42"/>
  <c r="AE42"/>
  <c r="M42"/>
  <c r="L42"/>
  <c r="AO41"/>
  <c r="AN41"/>
  <c r="AM41"/>
  <c r="AF41"/>
  <c r="AE41"/>
  <c r="AC67"/>
  <c r="AA41"/>
  <c r="AO40"/>
  <c r="AN40"/>
  <c r="AM40"/>
  <c r="AL40"/>
  <c r="AK40"/>
  <c r="AH40"/>
  <c r="AG40"/>
  <c r="AP40"/>
  <c r="AF40"/>
  <c r="AE40"/>
  <c r="L40"/>
  <c r="AO39"/>
  <c r="AN39"/>
  <c r="AM39"/>
  <c r="AF39"/>
  <c r="AE39"/>
  <c r="AA39"/>
  <c r="N39"/>
  <c r="AG39"/>
  <c r="AO38"/>
  <c r="AN38"/>
  <c r="AM38"/>
  <c r="AL38"/>
  <c r="AK38"/>
  <c r="AH38"/>
  <c r="AQ38"/>
  <c r="AG38"/>
  <c r="AP38"/>
  <c r="AF38"/>
  <c r="AE38"/>
  <c r="AO37"/>
  <c r="AN37"/>
  <c r="AM37"/>
  <c r="AF37"/>
  <c r="AE37"/>
  <c r="AA37"/>
  <c r="N37"/>
  <c r="AH37"/>
  <c r="AO36"/>
  <c r="AN36"/>
  <c r="AM36"/>
  <c r="AL36"/>
  <c r="AK36"/>
  <c r="AH36"/>
  <c r="AQ36"/>
  <c r="AG36"/>
  <c r="AF36"/>
  <c r="AE36"/>
  <c r="AO35"/>
  <c r="AN35"/>
  <c r="AM35"/>
  <c r="AF35"/>
  <c r="AE35"/>
  <c r="AA35"/>
  <c r="N35"/>
  <c r="AG35"/>
  <c r="AO34"/>
  <c r="AN34"/>
  <c r="AM34"/>
  <c r="AL34"/>
  <c r="AK34"/>
  <c r="AH34"/>
  <c r="AG34"/>
  <c r="AP34"/>
  <c r="AF34"/>
  <c r="AE34"/>
  <c r="L34"/>
  <c r="N33"/>
  <c r="AG33"/>
  <c r="AO33"/>
  <c r="AN33"/>
  <c r="AM33"/>
  <c r="AF33"/>
  <c r="AE33"/>
  <c r="AA33"/>
  <c r="AO32"/>
  <c r="AN32"/>
  <c r="AM32"/>
  <c r="AL32"/>
  <c r="AK32"/>
  <c r="AH32"/>
  <c r="AQ32"/>
  <c r="AG32"/>
  <c r="AP32"/>
  <c r="AF32"/>
  <c r="AE32"/>
  <c r="L32"/>
  <c r="N31"/>
  <c r="AH31"/>
  <c r="AO31"/>
  <c r="AN31"/>
  <c r="AM31"/>
  <c r="AF31"/>
  <c r="AE31"/>
  <c r="AA31"/>
  <c r="AO30"/>
  <c r="AN30"/>
  <c r="AM30"/>
  <c r="AL30"/>
  <c r="AK30"/>
  <c r="AH30"/>
  <c r="AG30"/>
  <c r="AP30"/>
  <c r="AF30"/>
  <c r="AE30"/>
  <c r="I30"/>
  <c r="N29"/>
  <c r="AG29"/>
  <c r="AO29"/>
  <c r="AN29"/>
  <c r="AM29"/>
  <c r="AF29"/>
  <c r="AE29"/>
  <c r="AA29"/>
  <c r="AO28"/>
  <c r="AN28"/>
  <c r="AM28"/>
  <c r="AL28"/>
  <c r="AK28"/>
  <c r="AH28"/>
  <c r="AQ28"/>
  <c r="AS28"/>
  <c r="AG28"/>
  <c r="AP28"/>
  <c r="AF28"/>
  <c r="AE28"/>
  <c r="I28"/>
  <c r="N27"/>
  <c r="AH27"/>
  <c r="AO27"/>
  <c r="AN27"/>
  <c r="AM27"/>
  <c r="AF27"/>
  <c r="AE27"/>
  <c r="AA27"/>
  <c r="AO26"/>
  <c r="AN26"/>
  <c r="AM26"/>
  <c r="AL26"/>
  <c r="AK26"/>
  <c r="AH26"/>
  <c r="AG26"/>
  <c r="AP26"/>
  <c r="AF26"/>
  <c r="AE26"/>
  <c r="AI26"/>
  <c r="I26"/>
  <c r="N25"/>
  <c r="AO25"/>
  <c r="AN25"/>
  <c r="AM25"/>
  <c r="AF25"/>
  <c r="AE25"/>
  <c r="AA25"/>
  <c r="AO24"/>
  <c r="AN24"/>
  <c r="AM24"/>
  <c r="AL24"/>
  <c r="AK24"/>
  <c r="AH24"/>
  <c r="AQ24"/>
  <c r="AG24"/>
  <c r="AP24"/>
  <c r="AF24"/>
  <c r="AE24"/>
  <c r="AQ23"/>
  <c r="AS23"/>
  <c r="AP23"/>
  <c r="AD23"/>
  <c r="W23"/>
  <c r="S23"/>
  <c r="R23"/>
  <c r="Q23"/>
  <c r="P23"/>
  <c r="O23"/>
  <c r="M23"/>
  <c r="L23"/>
  <c r="AO22"/>
  <c r="AN22"/>
  <c r="AM22"/>
  <c r="AL22"/>
  <c r="AK22"/>
  <c r="AH22"/>
  <c r="AQ22"/>
  <c r="AG22"/>
  <c r="AP22"/>
  <c r="AF22"/>
  <c r="AE22"/>
  <c r="AO21"/>
  <c r="AN21"/>
  <c r="AM21"/>
  <c r="AL21"/>
  <c r="AK21"/>
  <c r="AO20"/>
  <c r="AN20"/>
  <c r="AM20"/>
  <c r="AL20"/>
  <c r="AK20"/>
  <c r="AH20"/>
  <c r="AQ20"/>
  <c r="AG20"/>
  <c r="AP20"/>
  <c r="AF20"/>
  <c r="AE20"/>
  <c r="AO19"/>
  <c r="AN19"/>
  <c r="AM19"/>
  <c r="AA19"/>
  <c r="AO18"/>
  <c r="AN18"/>
  <c r="AM18"/>
  <c r="AL18"/>
  <c r="AK18"/>
  <c r="AH18"/>
  <c r="AG18"/>
  <c r="AP18"/>
  <c r="AF18"/>
  <c r="AE18"/>
  <c r="AO17"/>
  <c r="AN17"/>
  <c r="AM17"/>
  <c r="AA17"/>
  <c r="AO16"/>
  <c r="AN16"/>
  <c r="AM16"/>
  <c r="AL16"/>
  <c r="AK16"/>
  <c r="AH16"/>
  <c r="AQ16"/>
  <c r="AG16"/>
  <c r="AF16"/>
  <c r="AE16"/>
  <c r="AO15"/>
  <c r="AN15"/>
  <c r="AM15"/>
  <c r="AC23"/>
  <c r="AA15"/>
  <c r="AA680"/>
  <c r="H14"/>
  <c r="I14"/>
  <c r="I23"/>
  <c r="AB11"/>
  <c r="Z11"/>
  <c r="E19" i="26"/>
  <c r="E18"/>
  <c r="E17"/>
  <c r="E16"/>
  <c r="E15"/>
  <c r="E14"/>
  <c r="E13"/>
  <c r="E12"/>
  <c r="BP59" i="23"/>
  <c r="G82" i="27"/>
  <c r="DD9"/>
  <c r="DE9"/>
  <c r="DG9"/>
  <c r="DJ9"/>
  <c r="DK9"/>
  <c r="BK11"/>
  <c r="BT11"/>
  <c r="BC17"/>
  <c r="BE17"/>
  <c r="BH17"/>
  <c r="BI17"/>
  <c r="BK17"/>
  <c r="BC10"/>
  <c r="BE10"/>
  <c r="BH10"/>
  <c r="BI10"/>
  <c r="BK10"/>
  <c r="BC18"/>
  <c r="BE18"/>
  <c r="BH18"/>
  <c r="BI18"/>
  <c r="BK18"/>
  <c r="BC9"/>
  <c r="BE9"/>
  <c r="BH9"/>
  <c r="BI9"/>
  <c r="BK9"/>
  <c r="DD58"/>
  <c r="DE58"/>
  <c r="DG58"/>
  <c r="DJ58"/>
  <c r="DK58"/>
  <c r="DD12"/>
  <c r="DE12"/>
  <c r="DG12"/>
  <c r="DJ12"/>
  <c r="DK12"/>
  <c r="M27"/>
  <c r="N49" i="20"/>
  <c r="AJ10" i="27"/>
  <c r="AK10"/>
  <c r="AM10"/>
  <c r="AP10"/>
  <c r="AQ10"/>
  <c r="P55"/>
  <c r="CV57"/>
  <c r="CX57"/>
  <c r="DA57"/>
  <c r="DD57"/>
  <c r="DE57"/>
  <c r="DG57"/>
  <c r="DJ57"/>
  <c r="B89"/>
  <c r="C42" i="20"/>
  <c r="AK57" i="27"/>
  <c r="AM57"/>
  <c r="AP57"/>
  <c r="AQ57"/>
  <c r="AS57"/>
  <c r="CV54"/>
  <c r="CX54"/>
  <c r="DA54"/>
  <c r="DB54"/>
  <c r="DD54"/>
  <c r="DE54"/>
  <c r="DG54"/>
  <c r="DJ54"/>
  <c r="AK61"/>
  <c r="AM61"/>
  <c r="AP61"/>
  <c r="AQ61"/>
  <c r="AS61"/>
  <c r="CV65"/>
  <c r="CX65"/>
  <c r="DA65"/>
  <c r="DB65"/>
  <c r="L89"/>
  <c r="DD65"/>
  <c r="DE65"/>
  <c r="DG65"/>
  <c r="DJ65"/>
  <c r="DK65"/>
  <c r="CV61"/>
  <c r="CX61"/>
  <c r="DA61"/>
  <c r="DD61"/>
  <c r="DE61"/>
  <c r="DG61"/>
  <c r="DJ61"/>
  <c r="DK61"/>
  <c r="AK65"/>
  <c r="AM65"/>
  <c r="AP65"/>
  <c r="AQ65"/>
  <c r="AS65"/>
  <c r="BP66"/>
  <c r="CP66"/>
  <c r="BF66"/>
  <c r="V66"/>
  <c r="CG66"/>
  <c r="AW66"/>
  <c r="M66"/>
  <c r="DH66"/>
  <c r="BX66"/>
  <c r="AN66"/>
  <c r="CY66"/>
  <c r="BO66"/>
  <c r="AE66"/>
  <c r="AB63"/>
  <c r="AD63"/>
  <c r="AG63"/>
  <c r="AH63"/>
  <c r="D89"/>
  <c r="E42" i="20"/>
  <c r="AJ63" i="27"/>
  <c r="AK60"/>
  <c r="AM60"/>
  <c r="AP60"/>
  <c r="AQ60"/>
  <c r="AS60"/>
  <c r="AB55"/>
  <c r="AD55"/>
  <c r="AG55"/>
  <c r="AH55"/>
  <c r="AJ55"/>
  <c r="AT58"/>
  <c r="AV58"/>
  <c r="AY58"/>
  <c r="BB58"/>
  <c r="BG66"/>
  <c r="CV10"/>
  <c r="CX10"/>
  <c r="DA10"/>
  <c r="DB10"/>
  <c r="L26"/>
  <c r="M48" i="20"/>
  <c r="DD10" i="27"/>
  <c r="DE10"/>
  <c r="DG10"/>
  <c r="DJ10"/>
  <c r="DK10"/>
  <c r="AJ9"/>
  <c r="AK9"/>
  <c r="AM9"/>
  <c r="AP9"/>
  <c r="AQ9"/>
  <c r="AB9"/>
  <c r="AD9"/>
  <c r="AG9"/>
  <c r="AH9"/>
  <c r="D26"/>
  <c r="E48" i="20"/>
  <c r="AJ6" i="27"/>
  <c r="AK6"/>
  <c r="AM6"/>
  <c r="AP6"/>
  <c r="AQ6"/>
  <c r="AB6"/>
  <c r="AD6"/>
  <c r="AG6"/>
  <c r="AH6"/>
  <c r="DD15"/>
  <c r="DE15"/>
  <c r="DG15"/>
  <c r="DJ15"/>
  <c r="DK15"/>
  <c r="CV15"/>
  <c r="CX15"/>
  <c r="DA15"/>
  <c r="DB15"/>
  <c r="CV18"/>
  <c r="CX18"/>
  <c r="DA18"/>
  <c r="DB18"/>
  <c r="DD18"/>
  <c r="DE18"/>
  <c r="DG18"/>
  <c r="DJ18"/>
  <c r="DK18"/>
  <c r="AJ13"/>
  <c r="AK13"/>
  <c r="AM13"/>
  <c r="AP13"/>
  <c r="AQ13"/>
  <c r="AB13"/>
  <c r="AD13"/>
  <c r="AG13"/>
  <c r="AH13"/>
  <c r="AJ17"/>
  <c r="AK17"/>
  <c r="AM17"/>
  <c r="AP17"/>
  <c r="AQ17"/>
  <c r="AB17"/>
  <c r="AD17"/>
  <c r="AG17"/>
  <c r="AH17"/>
  <c r="AJ7"/>
  <c r="AK7"/>
  <c r="AM7"/>
  <c r="AP7"/>
  <c r="AB7"/>
  <c r="AD7"/>
  <c r="AG7"/>
  <c r="AS159" i="22"/>
  <c r="AO666"/>
  <c r="AJ20"/>
  <c r="AI118"/>
  <c r="AJ111"/>
  <c r="AI359"/>
  <c r="N298"/>
  <c r="AG298"/>
  <c r="AI298"/>
  <c r="AI363"/>
  <c r="H23"/>
  <c r="N93"/>
  <c r="AG93"/>
  <c r="AJ124"/>
  <c r="AH288"/>
  <c r="AQ288"/>
  <c r="AA133"/>
  <c r="N210"/>
  <c r="AH210"/>
  <c r="AJ210"/>
  <c r="AI275"/>
  <c r="AJ294"/>
  <c r="N407"/>
  <c r="AG407"/>
  <c r="AI407"/>
  <c r="AD437"/>
  <c r="AJ249"/>
  <c r="V300"/>
  <c r="AL300"/>
  <c r="AS95"/>
  <c r="AI116"/>
  <c r="AJ201"/>
  <c r="AI68"/>
  <c r="AS127"/>
  <c r="AJ185"/>
  <c r="AJ556"/>
  <c r="AJ138"/>
  <c r="AJ140"/>
  <c r="AI297"/>
  <c r="S505"/>
  <c r="AO505"/>
  <c r="AS507"/>
  <c r="AD515"/>
  <c r="W515"/>
  <c r="AM515"/>
  <c r="AD584"/>
  <c r="W584"/>
  <c r="AM584"/>
  <c r="AJ88"/>
  <c r="AI211"/>
  <c r="AI217"/>
  <c r="AA280"/>
  <c r="O553"/>
  <c r="O668"/>
  <c r="O684"/>
  <c r="AJ450"/>
  <c r="AJ456"/>
  <c r="AS569"/>
  <c r="AI581"/>
  <c r="AI22"/>
  <c r="AJ116"/>
  <c r="AC133"/>
  <c r="AJ158"/>
  <c r="AI160"/>
  <c r="AC169"/>
  <c r="AJ162"/>
  <c r="AJ166"/>
  <c r="AJ221"/>
  <c r="AJ231"/>
  <c r="AI243"/>
  <c r="AI253"/>
  <c r="AJ297"/>
  <c r="AJ313"/>
  <c r="AC405"/>
  <c r="AJ484"/>
  <c r="AJ508"/>
  <c r="AJ593"/>
  <c r="AJ633"/>
  <c r="I159"/>
  <c r="AA202"/>
  <c r="P434"/>
  <c r="P667"/>
  <c r="P683"/>
  <c r="AS226"/>
  <c r="AD441"/>
  <c r="W441"/>
  <c r="X441"/>
  <c r="Z441"/>
  <c r="AA441"/>
  <c r="AB441"/>
  <c r="Y553"/>
  <c r="Y668"/>
  <c r="S620"/>
  <c r="AO620"/>
  <c r="AG620"/>
  <c r="AP620"/>
  <c r="AI173"/>
  <c r="AI251"/>
  <c r="AI267"/>
  <c r="AJ269"/>
  <c r="AH306"/>
  <c r="AQ306"/>
  <c r="AJ321"/>
  <c r="AI331"/>
  <c r="AJ408"/>
  <c r="AJ498"/>
  <c r="AJ217"/>
  <c r="AJ488"/>
  <c r="AS426"/>
  <c r="AI551"/>
  <c r="AI216"/>
  <c r="AJ334"/>
  <c r="AD590"/>
  <c r="W590"/>
  <c r="AM590"/>
  <c r="AS82"/>
  <c r="AS148"/>
  <c r="AJ150"/>
  <c r="AI164"/>
  <c r="AI166"/>
  <c r="AJ175"/>
  <c r="AJ183"/>
  <c r="AI289"/>
  <c r="AI295"/>
  <c r="AJ317"/>
  <c r="AI319"/>
  <c r="AI321"/>
  <c r="AJ365"/>
  <c r="AS433"/>
  <c r="AJ500"/>
  <c r="AS521"/>
  <c r="AJ522"/>
  <c r="AJ528"/>
  <c r="AC602"/>
  <c r="AC670"/>
  <c r="AI569"/>
  <c r="AI575"/>
  <c r="AD580"/>
  <c r="W580"/>
  <c r="AM580"/>
  <c r="AS173"/>
  <c r="AH216"/>
  <c r="AQ216"/>
  <c r="AI259"/>
  <c r="AJ267"/>
  <c r="V334"/>
  <c r="AL334"/>
  <c r="AJ386"/>
  <c r="AA523"/>
  <c r="AA525"/>
  <c r="AD570"/>
  <c r="W570"/>
  <c r="X570"/>
  <c r="Z570"/>
  <c r="AA570"/>
  <c r="AB570"/>
  <c r="AD578"/>
  <c r="W578"/>
  <c r="X578"/>
  <c r="Z578"/>
  <c r="AA578"/>
  <c r="AB578"/>
  <c r="AS133"/>
  <c r="AS202"/>
  <c r="AS495"/>
  <c r="AI496"/>
  <c r="AS611"/>
  <c r="AI76"/>
  <c r="AI140"/>
  <c r="AS171"/>
  <c r="AJ275"/>
  <c r="V354"/>
  <c r="AK354"/>
  <c r="AJ430"/>
  <c r="AI460"/>
  <c r="AJ478"/>
  <c r="AI486"/>
  <c r="AI498"/>
  <c r="AI615"/>
  <c r="AJ617"/>
  <c r="AI620"/>
  <c r="AJ30"/>
  <c r="AS86"/>
  <c r="AI98"/>
  <c r="AI102"/>
  <c r="AI106"/>
  <c r="AI110"/>
  <c r="AS169"/>
  <c r="AI179"/>
  <c r="AI213"/>
  <c r="AI257"/>
  <c r="V286"/>
  <c r="AL286"/>
  <c r="AI287"/>
  <c r="AG294"/>
  <c r="AI294"/>
  <c r="AJ305"/>
  <c r="V312"/>
  <c r="AL312"/>
  <c r="AI322"/>
  <c r="AJ327"/>
  <c r="AJ331"/>
  <c r="AI332"/>
  <c r="AI333"/>
  <c r="AJ361"/>
  <c r="AI380"/>
  <c r="AI424"/>
  <c r="AJ444"/>
  <c r="AJ464"/>
  <c r="AI468"/>
  <c r="AJ486"/>
  <c r="AJ496"/>
  <c r="AI502"/>
  <c r="AC521"/>
  <c r="AI522"/>
  <c r="AS525"/>
  <c r="S542"/>
  <c r="AO542"/>
  <c r="AG542"/>
  <c r="AI542"/>
  <c r="AI547"/>
  <c r="S550"/>
  <c r="AN550"/>
  <c r="AG550"/>
  <c r="AI550"/>
  <c r="AJ558"/>
  <c r="AJ559"/>
  <c r="AI589"/>
  <c r="AD622"/>
  <c r="W622"/>
  <c r="X622"/>
  <c r="Z622"/>
  <c r="AA622"/>
  <c r="AB622"/>
  <c r="AG214"/>
  <c r="AI214"/>
  <c r="AS402"/>
  <c r="AJ40"/>
  <c r="AI54"/>
  <c r="AJ56"/>
  <c r="AJ199"/>
  <c r="AJ203"/>
  <c r="AI293"/>
  <c r="AJ303"/>
  <c r="AI450"/>
  <c r="AI452"/>
  <c r="AP496"/>
  <c r="AS535"/>
  <c r="AS561"/>
  <c r="AJ38"/>
  <c r="AI42"/>
  <c r="AJ70"/>
  <c r="AJ104"/>
  <c r="AJ112"/>
  <c r="AJ122"/>
  <c r="N127"/>
  <c r="AI158"/>
  <c r="AS189"/>
  <c r="AJ192"/>
  <c r="AJ194"/>
  <c r="AI239"/>
  <c r="AS248"/>
  <c r="AJ277"/>
  <c r="AJ285"/>
  <c r="AH286"/>
  <c r="AJ286"/>
  <c r="AJ287"/>
  <c r="AJ295"/>
  <c r="V304"/>
  <c r="AL304"/>
  <c r="V308"/>
  <c r="AL308"/>
  <c r="AJ311"/>
  <c r="AS314"/>
  <c r="AH322"/>
  <c r="AQ322"/>
  <c r="AJ333"/>
  <c r="AJ347"/>
  <c r="AJ351"/>
  <c r="AJ353"/>
  <c r="AS359"/>
  <c r="AS363"/>
  <c r="AI365"/>
  <c r="AS389"/>
  <c r="AJ390"/>
  <c r="AJ396"/>
  <c r="V411"/>
  <c r="AK411"/>
  <c r="AI412"/>
  <c r="AI436"/>
  <c r="S437"/>
  <c r="AO437"/>
  <c r="AS462"/>
  <c r="AJ466"/>
  <c r="AI476"/>
  <c r="AJ510"/>
  <c r="AI534"/>
  <c r="AD588"/>
  <c r="W588"/>
  <c r="AM588"/>
  <c r="AI591"/>
  <c r="AJ601"/>
  <c r="AI633"/>
  <c r="AJ647"/>
  <c r="AJ651"/>
  <c r="AH465"/>
  <c r="AQ465"/>
  <c r="S465"/>
  <c r="AO465"/>
  <c r="AO459"/>
  <c r="N540"/>
  <c r="L469"/>
  <c r="L553"/>
  <c r="AD459"/>
  <c r="W459"/>
  <c r="AM459"/>
  <c r="W465"/>
  <c r="AM465"/>
  <c r="S487"/>
  <c r="AO487"/>
  <c r="AG487"/>
  <c r="AI487"/>
  <c r="S497"/>
  <c r="AO497"/>
  <c r="S538"/>
  <c r="S540"/>
  <c r="S638"/>
  <c r="AN638"/>
  <c r="V79"/>
  <c r="AI79"/>
  <c r="AI16"/>
  <c r="AA23"/>
  <c r="AJ26"/>
  <c r="AQ30"/>
  <c r="AS30"/>
  <c r="AJ32"/>
  <c r="V47"/>
  <c r="AK47"/>
  <c r="AG55"/>
  <c r="AP55"/>
  <c r="AS55"/>
  <c r="AI58"/>
  <c r="AJ64"/>
  <c r="AH71"/>
  <c r="AQ71"/>
  <c r="AJ72"/>
  <c r="AJ74"/>
  <c r="AJ76"/>
  <c r="AJ82"/>
  <c r="AI84"/>
  <c r="AS121"/>
  <c r="AI134"/>
  <c r="AI138"/>
  <c r="AI150"/>
  <c r="AI152"/>
  <c r="AS156"/>
  <c r="L169"/>
  <c r="AS166"/>
  <c r="AJ168"/>
  <c r="AI194"/>
  <c r="AJ195"/>
  <c r="AS199"/>
  <c r="AG204"/>
  <c r="AI204"/>
  <c r="AJ205"/>
  <c r="AS211"/>
  <c r="V214"/>
  <c r="AK214"/>
  <c r="V216"/>
  <c r="AK216"/>
  <c r="AH220"/>
  <c r="AQ220"/>
  <c r="AI221"/>
  <c r="AI237"/>
  <c r="AS239"/>
  <c r="AE280"/>
  <c r="AI281"/>
  <c r="N282"/>
  <c r="N296"/>
  <c r="V288"/>
  <c r="AL288"/>
  <c r="V294"/>
  <c r="AK294"/>
  <c r="AC314"/>
  <c r="V306"/>
  <c r="AL306"/>
  <c r="AJ307"/>
  <c r="AH308"/>
  <c r="AQ308"/>
  <c r="AI315"/>
  <c r="AI317"/>
  <c r="V318"/>
  <c r="AL318"/>
  <c r="V322"/>
  <c r="AK322"/>
  <c r="AJ323"/>
  <c r="AJ325"/>
  <c r="AJ329"/>
  <c r="V332"/>
  <c r="AK332"/>
  <c r="V338"/>
  <c r="AL338"/>
  <c r="V342"/>
  <c r="AL342"/>
  <c r="AI345"/>
  <c r="AI347"/>
  <c r="AS351"/>
  <c r="AS360"/>
  <c r="AI361"/>
  <c r="V362"/>
  <c r="AK362"/>
  <c r="AJ363"/>
  <c r="V368"/>
  <c r="AL368"/>
  <c r="AI369"/>
  <c r="AJ369"/>
  <c r="L379"/>
  <c r="AJ374"/>
  <c r="AI378"/>
  <c r="AJ380"/>
  <c r="AJ384"/>
  <c r="AI386"/>
  <c r="AJ394"/>
  <c r="AI396"/>
  <c r="AI400"/>
  <c r="AJ406"/>
  <c r="AH415"/>
  <c r="AJ415"/>
  <c r="AJ416"/>
  <c r="AH419"/>
  <c r="AJ419"/>
  <c r="AI420"/>
  <c r="AS428"/>
  <c r="V429"/>
  <c r="AL429"/>
  <c r="AI432"/>
  <c r="AS434"/>
  <c r="AS450"/>
  <c r="AJ458"/>
  <c r="AI462"/>
  <c r="AI464"/>
  <c r="AS466"/>
  <c r="AD477"/>
  <c r="W477"/>
  <c r="AM477"/>
  <c r="AD483"/>
  <c r="AJ492"/>
  <c r="AJ494"/>
  <c r="AD501"/>
  <c r="W501"/>
  <c r="AM501"/>
  <c r="AJ502"/>
  <c r="S503"/>
  <c r="AO503"/>
  <c r="AI512"/>
  <c r="AS514"/>
  <c r="S515"/>
  <c r="AN515"/>
  <c r="AG515"/>
  <c r="AI515"/>
  <c r="AJ524"/>
  <c r="AI530"/>
  <c r="AS532"/>
  <c r="S533"/>
  <c r="AN533"/>
  <c r="AG533"/>
  <c r="AP533"/>
  <c r="AI539"/>
  <c r="AI541"/>
  <c r="AD550"/>
  <c r="W550"/>
  <c r="AM550"/>
  <c r="AS552"/>
  <c r="AQ556"/>
  <c r="AS563"/>
  <c r="AD574"/>
  <c r="W574"/>
  <c r="X574"/>
  <c r="Z574"/>
  <c r="AA574"/>
  <c r="AB574"/>
  <c r="AI577"/>
  <c r="AJ579"/>
  <c r="AD586"/>
  <c r="W586"/>
  <c r="AM586"/>
  <c r="AJ587"/>
  <c r="AI605"/>
  <c r="AJ609"/>
  <c r="AI619"/>
  <c r="AI623"/>
  <c r="AD634"/>
  <c r="W634"/>
  <c r="AM634"/>
  <c r="S636"/>
  <c r="AO636"/>
  <c r="AG636"/>
  <c r="AI636"/>
  <c r="AP16"/>
  <c r="AS16"/>
  <c r="AI77"/>
  <c r="AJ86"/>
  <c r="AI94"/>
  <c r="AS124"/>
  <c r="AA127"/>
  <c r="AJ132"/>
  <c r="AJ207"/>
  <c r="AG208"/>
  <c r="AP208"/>
  <c r="AS208"/>
  <c r="AJ211"/>
  <c r="AS217"/>
  <c r="AI219"/>
  <c r="AG220"/>
  <c r="AI220"/>
  <c r="AJ237"/>
  <c r="AJ241"/>
  <c r="AG244"/>
  <c r="AI244"/>
  <c r="AI245"/>
  <c r="AJ253"/>
  <c r="AJ259"/>
  <c r="AJ261"/>
  <c r="AJ281"/>
  <c r="AJ283"/>
  <c r="AH284"/>
  <c r="AQ284"/>
  <c r="AJ301"/>
  <c r="AH302"/>
  <c r="AQ302"/>
  <c r="AJ309"/>
  <c r="AH310"/>
  <c r="AQ310"/>
  <c r="AJ319"/>
  <c r="AI388"/>
  <c r="AI398"/>
  <c r="AH411"/>
  <c r="AJ411"/>
  <c r="V415"/>
  <c r="AD415"/>
  <c r="W415"/>
  <c r="AM415"/>
  <c r="AS418"/>
  <c r="V419"/>
  <c r="AK419"/>
  <c r="AJ422"/>
  <c r="AI442"/>
  <c r="AI446"/>
  <c r="AS500"/>
  <c r="AI516"/>
  <c r="AJ520"/>
  <c r="AQ522"/>
  <c r="AS522"/>
  <c r="AI523"/>
  <c r="AC525"/>
  <c r="AI556"/>
  <c r="V31"/>
  <c r="AK31"/>
  <c r="N41"/>
  <c r="AH41"/>
  <c r="AJ41"/>
  <c r="AS42"/>
  <c r="AH57"/>
  <c r="AQ57"/>
  <c r="AG59"/>
  <c r="AI59"/>
  <c r="AS68"/>
  <c r="AS184"/>
  <c r="V208"/>
  <c r="AL208"/>
  <c r="AS219"/>
  <c r="AG238"/>
  <c r="AI238"/>
  <c r="AG246"/>
  <c r="AI246"/>
  <c r="L251"/>
  <c r="L280"/>
  <c r="AJ251"/>
  <c r="V284"/>
  <c r="AL284"/>
  <c r="V292"/>
  <c r="AK292"/>
  <c r="AS296"/>
  <c r="V302"/>
  <c r="AL302"/>
  <c r="AH304"/>
  <c r="AQ304"/>
  <c r="V310"/>
  <c r="AL310"/>
  <c r="AH312"/>
  <c r="AQ312"/>
  <c r="V336"/>
  <c r="AL336"/>
  <c r="V340"/>
  <c r="AL340"/>
  <c r="H344"/>
  <c r="AS344"/>
  <c r="AS446"/>
  <c r="AD473"/>
  <c r="W473"/>
  <c r="AM473"/>
  <c r="AQ502"/>
  <c r="AS502"/>
  <c r="AJ526"/>
  <c r="AS553"/>
  <c r="AS554"/>
  <c r="N557"/>
  <c r="AD566"/>
  <c r="W566"/>
  <c r="X566"/>
  <c r="Z566"/>
  <c r="AA566"/>
  <c r="AB566"/>
  <c r="AS571"/>
  <c r="AH578"/>
  <c r="AQ578"/>
  <c r="AS578"/>
  <c r="AH580"/>
  <c r="AJ580"/>
  <c r="AS583"/>
  <c r="AH588"/>
  <c r="AJ588"/>
  <c r="AS591"/>
  <c r="AS602"/>
  <c r="AD612"/>
  <c r="W612"/>
  <c r="AJ645"/>
  <c r="AJ655"/>
  <c r="AS32"/>
  <c r="AQ40"/>
  <c r="AS40"/>
  <c r="AJ50"/>
  <c r="AH51"/>
  <c r="AQ51"/>
  <c r="AJ83"/>
  <c r="AS94"/>
  <c r="AJ98"/>
  <c r="AC121"/>
  <c r="AS102"/>
  <c r="AJ106"/>
  <c r="AJ142"/>
  <c r="AI144"/>
  <c r="AJ164"/>
  <c r="AI170"/>
  <c r="AS205"/>
  <c r="AI208"/>
  <c r="AS223"/>
  <c r="AI349"/>
  <c r="V366"/>
  <c r="AL366"/>
  <c r="AI367"/>
  <c r="AJ367"/>
  <c r="AJ372"/>
  <c r="AA379"/>
  <c r="AI374"/>
  <c r="AJ382"/>
  <c r="AJ392"/>
  <c r="V403"/>
  <c r="AK403"/>
  <c r="AI404"/>
  <c r="AH413"/>
  <c r="AQ413"/>
  <c r="AG443"/>
  <c r="AP443"/>
  <c r="AS443"/>
  <c r="AJ448"/>
  <c r="AJ452"/>
  <c r="AJ462"/>
  <c r="AJ472"/>
  <c r="S473"/>
  <c r="AN473"/>
  <c r="AI474"/>
  <c r="AS480"/>
  <c r="AS494"/>
  <c r="AI518"/>
  <c r="AS523"/>
  <c r="AD533"/>
  <c r="W533"/>
  <c r="AM533"/>
  <c r="AJ539"/>
  <c r="AJ541"/>
  <c r="AS541"/>
  <c r="AJ543"/>
  <c r="AJ545"/>
  <c r="AI567"/>
  <c r="AS577"/>
  <c r="AJ583"/>
  <c r="AJ591"/>
  <c r="AJ607"/>
  <c r="AS609"/>
  <c r="AJ613"/>
  <c r="AJ615"/>
  <c r="AJ619"/>
  <c r="AI625"/>
  <c r="AI635"/>
  <c r="AJ659"/>
  <c r="V75"/>
  <c r="AG75"/>
  <c r="AI75"/>
  <c r="AH115"/>
  <c r="AQ115"/>
  <c r="V115"/>
  <c r="AL115"/>
  <c r="AJ157"/>
  <c r="V157"/>
  <c r="AL157"/>
  <c r="AP43"/>
  <c r="V43"/>
  <c r="AH107"/>
  <c r="AJ107"/>
  <c r="AH191"/>
  <c r="AJ191"/>
  <c r="V191"/>
  <c r="AK191"/>
  <c r="AK666"/>
  <c r="AG666"/>
  <c r="AL218"/>
  <c r="AK218"/>
  <c r="X51"/>
  <c r="AG81"/>
  <c r="AP81"/>
  <c r="AH81"/>
  <c r="AJ81"/>
  <c r="AH145"/>
  <c r="AJ145"/>
  <c r="V145"/>
  <c r="AL145"/>
  <c r="V174"/>
  <c r="X174"/>
  <c r="AB174"/>
  <c r="Y174"/>
  <c r="Z174"/>
  <c r="AG174"/>
  <c r="AI174"/>
  <c r="AH174"/>
  <c r="AQ174"/>
  <c r="AS78"/>
  <c r="AS162"/>
  <c r="AH101"/>
  <c r="AJ101"/>
  <c r="AH149"/>
  <c r="AJ149"/>
  <c r="V149"/>
  <c r="AL149"/>
  <c r="AH153"/>
  <c r="AJ153"/>
  <c r="V153"/>
  <c r="AL153"/>
  <c r="AJ243"/>
  <c r="AQ243"/>
  <c r="AS243"/>
  <c r="V330"/>
  <c r="AK330"/>
  <c r="AH330"/>
  <c r="AJ330"/>
  <c r="AI366"/>
  <c r="AP366"/>
  <c r="AI403"/>
  <c r="AP403"/>
  <c r="AK417"/>
  <c r="AL417"/>
  <c r="AG260"/>
  <c r="AI260"/>
  <c r="V260"/>
  <c r="AL260"/>
  <c r="AH260"/>
  <c r="AJ260"/>
  <c r="AI368"/>
  <c r="AP368"/>
  <c r="AG377"/>
  <c r="AI377"/>
  <c r="V377"/>
  <c r="AK377"/>
  <c r="AH377"/>
  <c r="AJ377"/>
  <c r="V381"/>
  <c r="AL381"/>
  <c r="AH381"/>
  <c r="AQ381"/>
  <c r="AK409"/>
  <c r="AL409"/>
  <c r="S461"/>
  <c r="AO461"/>
  <c r="AH461"/>
  <c r="AJ461"/>
  <c r="AS24"/>
  <c r="AH218"/>
  <c r="AQ218"/>
  <c r="AS225"/>
  <c r="N13"/>
  <c r="G15"/>
  <c r="AI18"/>
  <c r="AJ22"/>
  <c r="AJ24"/>
  <c r="AQ26"/>
  <c r="AS26"/>
  <c r="AI34"/>
  <c r="V35"/>
  <c r="V37"/>
  <c r="AK37"/>
  <c r="AJ46"/>
  <c r="AH47"/>
  <c r="AQ47"/>
  <c r="AS47"/>
  <c r="AJ48"/>
  <c r="AK49"/>
  <c r="AI50"/>
  <c r="AJ54"/>
  <c r="V55"/>
  <c r="AL55"/>
  <c r="V57"/>
  <c r="AK57"/>
  <c r="AH59"/>
  <c r="AQ59"/>
  <c r="AI60"/>
  <c r="AI62"/>
  <c r="X71"/>
  <c r="AD71"/>
  <c r="AI73"/>
  <c r="V77"/>
  <c r="AK77"/>
  <c r="AJ78"/>
  <c r="AJ80"/>
  <c r="AI82"/>
  <c r="AJ84"/>
  <c r="AI90"/>
  <c r="AG91"/>
  <c r="AP91"/>
  <c r="AS91"/>
  <c r="AI92"/>
  <c r="AJ94"/>
  <c r="AI96"/>
  <c r="AJ99"/>
  <c r="AQ104"/>
  <c r="AI108"/>
  <c r="V111"/>
  <c r="AL111"/>
  <c r="AI114"/>
  <c r="N119"/>
  <c r="AG119"/>
  <c r="AI119"/>
  <c r="AJ120"/>
  <c r="AG123"/>
  <c r="AP123"/>
  <c r="AI124"/>
  <c r="V125"/>
  <c r="N135"/>
  <c r="AG135"/>
  <c r="AI136"/>
  <c r="AI146"/>
  <c r="AI148"/>
  <c r="AI154"/>
  <c r="AI156"/>
  <c r="AJ160"/>
  <c r="N161"/>
  <c r="N169"/>
  <c r="AI162"/>
  <c r="V163"/>
  <c r="X163"/>
  <c r="AH165"/>
  <c r="AJ165"/>
  <c r="AI171"/>
  <c r="AI175"/>
  <c r="AS176"/>
  <c r="AJ177"/>
  <c r="AS180"/>
  <c r="AI183"/>
  <c r="H184"/>
  <c r="AI185"/>
  <c r="AS190"/>
  <c r="AI192"/>
  <c r="AC202"/>
  <c r="AI197"/>
  <c r="AI199"/>
  <c r="AI203"/>
  <c r="V204"/>
  <c r="AJ208"/>
  <c r="AI209"/>
  <c r="AJ213"/>
  <c r="AI215"/>
  <c r="AG218"/>
  <c r="AI218"/>
  <c r="AS221"/>
  <c r="AJ223"/>
  <c r="AJ225"/>
  <c r="N228"/>
  <c r="AG228"/>
  <c r="AJ229"/>
  <c r="AJ233"/>
  <c r="AI235"/>
  <c r="AQ241"/>
  <c r="AS241"/>
  <c r="AS486"/>
  <c r="AJ235"/>
  <c r="AQ235"/>
  <c r="AS235"/>
  <c r="V240"/>
  <c r="AK240"/>
  <c r="AG240"/>
  <c r="AI240"/>
  <c r="AG264"/>
  <c r="AP264"/>
  <c r="AS264"/>
  <c r="V264"/>
  <c r="AL264"/>
  <c r="AH264"/>
  <c r="AQ264"/>
  <c r="AI419"/>
  <c r="AP419"/>
  <c r="AD457"/>
  <c r="W457"/>
  <c r="AM457"/>
  <c r="S457"/>
  <c r="AO457"/>
  <c r="AH457"/>
  <c r="AQ457"/>
  <c r="AS48"/>
  <c r="AJ91"/>
  <c r="AJ34"/>
  <c r="AI36"/>
  <c r="AI40"/>
  <c r="AJ42"/>
  <c r="AJ44"/>
  <c r="AH49"/>
  <c r="AQ49"/>
  <c r="AS50"/>
  <c r="AJ60"/>
  <c r="AI64"/>
  <c r="AI66"/>
  <c r="AJ68"/>
  <c r="AI72"/>
  <c r="AI78"/>
  <c r="AI80"/>
  <c r="AI86"/>
  <c r="AI88"/>
  <c r="AJ90"/>
  <c r="V91"/>
  <c r="AL91"/>
  <c r="AJ96"/>
  <c r="AI100"/>
  <c r="AJ102"/>
  <c r="AJ108"/>
  <c r="AI112"/>
  <c r="AI120"/>
  <c r="AI122"/>
  <c r="AI126"/>
  <c r="AI128"/>
  <c r="AI130"/>
  <c r="AJ136"/>
  <c r="AS138"/>
  <c r="AC159"/>
  <c r="AJ146"/>
  <c r="AJ154"/>
  <c r="AG165"/>
  <c r="AP165"/>
  <c r="AI168"/>
  <c r="AJ173"/>
  <c r="AI177"/>
  <c r="AJ179"/>
  <c r="AI181"/>
  <c r="AJ197"/>
  <c r="AI201"/>
  <c r="AJ209"/>
  <c r="AG210"/>
  <c r="AP210"/>
  <c r="AS210"/>
  <c r="AJ215"/>
  <c r="AJ216"/>
  <c r="X218"/>
  <c r="AJ219"/>
  <c r="AI225"/>
  <c r="AC248"/>
  <c r="AQ237"/>
  <c r="AS237"/>
  <c r="AG272"/>
  <c r="AI272"/>
  <c r="V272"/>
  <c r="AL272"/>
  <c r="AH272"/>
  <c r="AQ272"/>
  <c r="AI292"/>
  <c r="AP292"/>
  <c r="AK358"/>
  <c r="AL358"/>
  <c r="AI411"/>
  <c r="AP411"/>
  <c r="AJ18"/>
  <c r="W189"/>
  <c r="W665"/>
  <c r="AI30"/>
  <c r="AQ18"/>
  <c r="AS18"/>
  <c r="V27"/>
  <c r="AK27"/>
  <c r="AQ34"/>
  <c r="AS34"/>
  <c r="AP36"/>
  <c r="AS36"/>
  <c r="AS38"/>
  <c r="AI44"/>
  <c r="X49"/>
  <c r="AB49"/>
  <c r="Y49"/>
  <c r="Z49"/>
  <c r="AJ55"/>
  <c r="AI57"/>
  <c r="AK71"/>
  <c r="AH79"/>
  <c r="AQ79"/>
  <c r="AQ90"/>
  <c r="AS90"/>
  <c r="AJ92"/>
  <c r="AG125"/>
  <c r="AI125"/>
  <c r="V131"/>
  <c r="AL131"/>
  <c r="AA139"/>
  <c r="AS139"/>
  <c r="N178"/>
  <c r="N180"/>
  <c r="AS193"/>
  <c r="AS195"/>
  <c r="N196"/>
  <c r="AG196"/>
  <c r="AP196"/>
  <c r="AI200"/>
  <c r="AC226"/>
  <c r="V210"/>
  <c r="AL210"/>
  <c r="AS227"/>
  <c r="AG236"/>
  <c r="AI236"/>
  <c r="AG242"/>
  <c r="AI242"/>
  <c r="AS589"/>
  <c r="AF280"/>
  <c r="AF667"/>
  <c r="AP289"/>
  <c r="AS293"/>
  <c r="AJ308"/>
  <c r="AJ310"/>
  <c r="AQ325"/>
  <c r="AS325"/>
  <c r="AG326"/>
  <c r="AI326"/>
  <c r="AH364"/>
  <c r="AS365"/>
  <c r="AS367"/>
  <c r="AA389"/>
  <c r="AC389"/>
  <c r="AP388"/>
  <c r="AA405"/>
  <c r="AP398"/>
  <c r="AP400"/>
  <c r="AS404"/>
  <c r="AC421"/>
  <c r="AH409"/>
  <c r="AJ409"/>
  <c r="AL411"/>
  <c r="AS412"/>
  <c r="V413"/>
  <c r="AL413"/>
  <c r="AH417"/>
  <c r="AJ417"/>
  <c r="AS420"/>
  <c r="V431"/>
  <c r="AK431"/>
  <c r="AS432"/>
  <c r="AH441"/>
  <c r="AQ441"/>
  <c r="S443"/>
  <c r="S449"/>
  <c r="AO449"/>
  <c r="AC481"/>
  <c r="AH475"/>
  <c r="AJ475"/>
  <c r="AP476"/>
  <c r="AQ488"/>
  <c r="AS488"/>
  <c r="S491"/>
  <c r="AI491"/>
  <c r="S501"/>
  <c r="AG501"/>
  <c r="AI501"/>
  <c r="AQ508"/>
  <c r="AS508"/>
  <c r="S511"/>
  <c r="AO511"/>
  <c r="S517"/>
  <c r="AP518"/>
  <c r="AQ526"/>
  <c r="AS526"/>
  <c r="S529"/>
  <c r="AO529"/>
  <c r="AQ543"/>
  <c r="AS543"/>
  <c r="S546"/>
  <c r="AO546"/>
  <c r="AF669"/>
  <c r="AG555"/>
  <c r="AI555"/>
  <c r="AQ559"/>
  <c r="AS559"/>
  <c r="AG566"/>
  <c r="AI566"/>
  <c r="AD568"/>
  <c r="W568"/>
  <c r="AM568"/>
  <c r="AG574"/>
  <c r="AI574"/>
  <c r="AD576"/>
  <c r="W576"/>
  <c r="AS585"/>
  <c r="AD592"/>
  <c r="W592"/>
  <c r="AM592"/>
  <c r="AD618"/>
  <c r="W618"/>
  <c r="AM618"/>
  <c r="AG622"/>
  <c r="AI622"/>
  <c r="AD624"/>
  <c r="W624"/>
  <c r="X624"/>
  <c r="Z624"/>
  <c r="AA624"/>
  <c r="AB624"/>
  <c r="AJ631"/>
  <c r="AN636"/>
  <c r="AJ643"/>
  <c r="AD652"/>
  <c r="W652"/>
  <c r="AJ653"/>
  <c r="AD656"/>
  <c r="W656"/>
  <c r="AJ657"/>
  <c r="AD660"/>
  <c r="W660"/>
  <c r="AJ661"/>
  <c r="AJ245"/>
  <c r="AI247"/>
  <c r="AI249"/>
  <c r="AO280"/>
  <c r="AO667"/>
  <c r="AP251"/>
  <c r="AJ255"/>
  <c r="AJ257"/>
  <c r="AP259"/>
  <c r="AQ261"/>
  <c r="AS261"/>
  <c r="AJ263"/>
  <c r="AI265"/>
  <c r="AS267"/>
  <c r="AQ269"/>
  <c r="AS269"/>
  <c r="AJ271"/>
  <c r="AI273"/>
  <c r="AS275"/>
  <c r="AQ277"/>
  <c r="AS277"/>
  <c r="AJ279"/>
  <c r="AC296"/>
  <c r="AI283"/>
  <c r="AI285"/>
  <c r="AS287"/>
  <c r="AJ288"/>
  <c r="AH290"/>
  <c r="AJ290"/>
  <c r="AJ291"/>
  <c r="AH292"/>
  <c r="AJ292"/>
  <c r="AS295"/>
  <c r="AJ299"/>
  <c r="AI301"/>
  <c r="AI303"/>
  <c r="AI305"/>
  <c r="AI307"/>
  <c r="AI309"/>
  <c r="AI311"/>
  <c r="AI313"/>
  <c r="AJ315"/>
  <c r="AP317"/>
  <c r="AS317"/>
  <c r="AP319"/>
  <c r="AI323"/>
  <c r="AH332"/>
  <c r="AQ332"/>
  <c r="AS333"/>
  <c r="AI335"/>
  <c r="AJ336"/>
  <c r="AJ338"/>
  <c r="AI339"/>
  <c r="AJ340"/>
  <c r="AJ342"/>
  <c r="AI343"/>
  <c r="AJ345"/>
  <c r="AC360"/>
  <c r="AI351"/>
  <c r="AJ355"/>
  <c r="AI357"/>
  <c r="AC370"/>
  <c r="AG364"/>
  <c r="AI364"/>
  <c r="AH366"/>
  <c r="AQ366"/>
  <c r="AH368"/>
  <c r="AQ368"/>
  <c r="AS370"/>
  <c r="AI371"/>
  <c r="AI372"/>
  <c r="AJ378"/>
  <c r="AS380"/>
  <c r="AI384"/>
  <c r="AQ390"/>
  <c r="AS390"/>
  <c r="AI394"/>
  <c r="AH399"/>
  <c r="AQ399"/>
  <c r="AS399"/>
  <c r="AH401"/>
  <c r="AJ401"/>
  <c r="AJ402"/>
  <c r="AH403"/>
  <c r="AJ403"/>
  <c r="AI408"/>
  <c r="AA421"/>
  <c r="AG409"/>
  <c r="AJ410"/>
  <c r="AJ414"/>
  <c r="AI416"/>
  <c r="AG417"/>
  <c r="AJ418"/>
  <c r="AJ424"/>
  <c r="AH427"/>
  <c r="AJ427"/>
  <c r="AJ428"/>
  <c r="AI430"/>
  <c r="AJ435"/>
  <c r="AJ436"/>
  <c r="AD439"/>
  <c r="W439"/>
  <c r="AM439"/>
  <c r="AS440"/>
  <c r="AN441"/>
  <c r="AJ442"/>
  <c r="N447"/>
  <c r="S447"/>
  <c r="AK469"/>
  <c r="AK668"/>
  <c r="AL469"/>
  <c r="AL668"/>
  <c r="AS454"/>
  <c r="AI466"/>
  <c r="AJ468"/>
  <c r="AS470"/>
  <c r="AG471"/>
  <c r="AI471"/>
  <c r="AJ480"/>
  <c r="AI482"/>
  <c r="AI490"/>
  <c r="AI494"/>
  <c r="AI500"/>
  <c r="AJ504"/>
  <c r="AI506"/>
  <c r="AI510"/>
  <c r="AJ512"/>
  <c r="AJ514"/>
  <c r="AJ516"/>
  <c r="AI524"/>
  <c r="AC535"/>
  <c r="AI528"/>
  <c r="AJ530"/>
  <c r="AJ532"/>
  <c r="AJ534"/>
  <c r="AI536"/>
  <c r="AI537"/>
  <c r="AI545"/>
  <c r="AJ547"/>
  <c r="AJ549"/>
  <c r="AJ551"/>
  <c r="AE669"/>
  <c r="AI561"/>
  <c r="AI563"/>
  <c r="AG568"/>
  <c r="AI568"/>
  <c r="AI571"/>
  <c r="AG576"/>
  <c r="AI576"/>
  <c r="X580"/>
  <c r="Z580"/>
  <c r="AA580"/>
  <c r="AB580"/>
  <c r="AD582"/>
  <c r="W582"/>
  <c r="AI583"/>
  <c r="AJ585"/>
  <c r="AH590"/>
  <c r="AJ590"/>
  <c r="AS595"/>
  <c r="AD600"/>
  <c r="W600"/>
  <c r="AI609"/>
  <c r="AI611"/>
  <c r="AI617"/>
  <c r="AS619"/>
  <c r="AG624"/>
  <c r="AI624"/>
  <c r="AJ629"/>
  <c r="AS635"/>
  <c r="AJ641"/>
  <c r="AJ649"/>
  <c r="AS655"/>
  <c r="AS659"/>
  <c r="AJ239"/>
  <c r="AI241"/>
  <c r="AS245"/>
  <c r="AJ247"/>
  <c r="AS249"/>
  <c r="AC280"/>
  <c r="AN280"/>
  <c r="AH252"/>
  <c r="AQ252"/>
  <c r="AI255"/>
  <c r="AS257"/>
  <c r="AI261"/>
  <c r="AI263"/>
  <c r="AJ265"/>
  <c r="AI269"/>
  <c r="AI271"/>
  <c r="AJ273"/>
  <c r="AI277"/>
  <c r="AI279"/>
  <c r="AA296"/>
  <c r="AP283"/>
  <c r="AP285"/>
  <c r="AJ289"/>
  <c r="V290"/>
  <c r="AL290"/>
  <c r="AI291"/>
  <c r="AJ293"/>
  <c r="AA314"/>
  <c r="AI299"/>
  <c r="AH300"/>
  <c r="AQ300"/>
  <c r="AS300"/>
  <c r="AP301"/>
  <c r="AP303"/>
  <c r="AP305"/>
  <c r="AP307"/>
  <c r="AP309"/>
  <c r="AP311"/>
  <c r="AP313"/>
  <c r="AS315"/>
  <c r="AH318"/>
  <c r="AQ318"/>
  <c r="AS318"/>
  <c r="AI325"/>
  <c r="V326"/>
  <c r="X326"/>
  <c r="AI327"/>
  <c r="AS329"/>
  <c r="AJ335"/>
  <c r="AG336"/>
  <c r="AP336"/>
  <c r="AS336"/>
  <c r="AJ337"/>
  <c r="AG338"/>
  <c r="AP338"/>
  <c r="AS338"/>
  <c r="AJ339"/>
  <c r="AG340"/>
  <c r="AP340"/>
  <c r="AS340"/>
  <c r="AJ341"/>
  <c r="AG342"/>
  <c r="AP342"/>
  <c r="AS342"/>
  <c r="AJ343"/>
  <c r="AL350"/>
  <c r="AI353"/>
  <c r="AI355"/>
  <c r="AJ359"/>
  <c r="AJ371"/>
  <c r="AP371"/>
  <c r="AS371"/>
  <c r="AS372"/>
  <c r="AC379"/>
  <c r="AQ374"/>
  <c r="AS374"/>
  <c r="AI376"/>
  <c r="AS378"/>
  <c r="AS379"/>
  <c r="AS384"/>
  <c r="AQ386"/>
  <c r="AS386"/>
  <c r="AJ388"/>
  <c r="AI390"/>
  <c r="AI392"/>
  <c r="AS394"/>
  <c r="AQ396"/>
  <c r="AS396"/>
  <c r="AJ398"/>
  <c r="V399"/>
  <c r="AL399"/>
  <c r="AJ400"/>
  <c r="V401"/>
  <c r="AD401"/>
  <c r="AD405"/>
  <c r="AI402"/>
  <c r="AJ404"/>
  <c r="AS405"/>
  <c r="AI406"/>
  <c r="AS408"/>
  <c r="AI410"/>
  <c r="AJ412"/>
  <c r="AI414"/>
  <c r="AS416"/>
  <c r="AI418"/>
  <c r="AJ420"/>
  <c r="AS421"/>
  <c r="AI422"/>
  <c r="AS425"/>
  <c r="V427"/>
  <c r="AL427"/>
  <c r="AI428"/>
  <c r="AA433"/>
  <c r="AH429"/>
  <c r="AQ429"/>
  <c r="AS429"/>
  <c r="AP430"/>
  <c r="AH431"/>
  <c r="AJ431"/>
  <c r="AJ432"/>
  <c r="AI438"/>
  <c r="S439"/>
  <c r="AN439"/>
  <c r="AG439"/>
  <c r="AI439"/>
  <c r="AJ440"/>
  <c r="AQ442"/>
  <c r="AS442"/>
  <c r="AD443"/>
  <c r="W443"/>
  <c r="AM443"/>
  <c r="AJ446"/>
  <c r="AF469"/>
  <c r="AF668"/>
  <c r="AE469"/>
  <c r="AE668"/>
  <c r="AJ454"/>
  <c r="AS458"/>
  <c r="AG459"/>
  <c r="AI459"/>
  <c r="AJ460"/>
  <c r="AJ470"/>
  <c r="AI472"/>
  <c r="AG473"/>
  <c r="AP473"/>
  <c r="AJ474"/>
  <c r="AI480"/>
  <c r="AP482"/>
  <c r="AD487"/>
  <c r="W487"/>
  <c r="AM487"/>
  <c r="AI488"/>
  <c r="S489"/>
  <c r="AP490"/>
  <c r="AC507"/>
  <c r="AI504"/>
  <c r="AJ506"/>
  <c r="AI508"/>
  <c r="S509"/>
  <c r="AN509"/>
  <c r="AP510"/>
  <c r="AI514"/>
  <c r="AQ516"/>
  <c r="AS516"/>
  <c r="AJ518"/>
  <c r="S519"/>
  <c r="AO519"/>
  <c r="AI520"/>
  <c r="AJ523"/>
  <c r="AP524"/>
  <c r="AI526"/>
  <c r="S527"/>
  <c r="AN527"/>
  <c r="AP528"/>
  <c r="AI532"/>
  <c r="AQ534"/>
  <c r="AS534"/>
  <c r="AJ536"/>
  <c r="AJ537"/>
  <c r="AS540"/>
  <c r="AC552"/>
  <c r="AI543"/>
  <c r="S544"/>
  <c r="AP545"/>
  <c r="AI549"/>
  <c r="AQ551"/>
  <c r="AS551"/>
  <c r="AN669"/>
  <c r="AS557"/>
  <c r="AI558"/>
  <c r="AI559"/>
  <c r="AD564"/>
  <c r="W564"/>
  <c r="AI565"/>
  <c r="AG570"/>
  <c r="AI570"/>
  <c r="AD572"/>
  <c r="W572"/>
  <c r="X572"/>
  <c r="Z572"/>
  <c r="AA572"/>
  <c r="AB572"/>
  <c r="AI573"/>
  <c r="AS579"/>
  <c r="AJ581"/>
  <c r="AH582"/>
  <c r="AJ582"/>
  <c r="AS587"/>
  <c r="AJ589"/>
  <c r="AJ595"/>
  <c r="AH600"/>
  <c r="AJ600"/>
  <c r="AE671"/>
  <c r="AD620"/>
  <c r="W620"/>
  <c r="AM620"/>
  <c r="AI621"/>
  <c r="AJ627"/>
  <c r="AG634"/>
  <c r="AP634"/>
  <c r="AJ635"/>
  <c r="AD636"/>
  <c r="W636"/>
  <c r="AM636"/>
  <c r="AI637"/>
  <c r="AJ639"/>
  <c r="AD654"/>
  <c r="W654"/>
  <c r="AM654"/>
  <c r="AD658"/>
  <c r="W658"/>
  <c r="AS255"/>
  <c r="AS291"/>
  <c r="AS299"/>
  <c r="AG564"/>
  <c r="AI564"/>
  <c r="AG572"/>
  <c r="AI572"/>
  <c r="AS653"/>
  <c r="AS657"/>
  <c r="AS661"/>
  <c r="AP33"/>
  <c r="AI33"/>
  <c r="AP35"/>
  <c r="AI35"/>
  <c r="AI89"/>
  <c r="AP89"/>
  <c r="AP29"/>
  <c r="AI29"/>
  <c r="AQ31"/>
  <c r="AJ31"/>
  <c r="AP39"/>
  <c r="AI39"/>
  <c r="AG63"/>
  <c r="V63"/>
  <c r="AH63"/>
  <c r="AI85"/>
  <c r="AP85"/>
  <c r="AQ27"/>
  <c r="AJ27"/>
  <c r="AJ105"/>
  <c r="AQ105"/>
  <c r="AG53"/>
  <c r="V53"/>
  <c r="X53"/>
  <c r="AH53"/>
  <c r="AI93"/>
  <c r="AP93"/>
  <c r="AQ37"/>
  <c r="AJ37"/>
  <c r="AP113"/>
  <c r="AI113"/>
  <c r="AO670"/>
  <c r="AN665"/>
  <c r="AN670"/>
  <c r="O67"/>
  <c r="O682"/>
  <c r="AM665"/>
  <c r="I70"/>
  <c r="I95"/>
  <c r="I121"/>
  <c r="L104"/>
  <c r="N103"/>
  <c r="AH109"/>
  <c r="V109"/>
  <c r="X109"/>
  <c r="AQ110"/>
  <c r="AS110"/>
  <c r="AJ110"/>
  <c r="AQ157"/>
  <c r="AJ16"/>
  <c r="AI24"/>
  <c r="AI28"/>
  <c r="AI32"/>
  <c r="AH35"/>
  <c r="AJ36"/>
  <c r="AG37"/>
  <c r="AI38"/>
  <c r="AG45"/>
  <c r="AI48"/>
  <c r="AA51"/>
  <c r="V11"/>
  <c r="V25"/>
  <c r="X25"/>
  <c r="AG27"/>
  <c r="V29"/>
  <c r="X29"/>
  <c r="AD29"/>
  <c r="AG31"/>
  <c r="V33"/>
  <c r="X33"/>
  <c r="V39"/>
  <c r="AH43"/>
  <c r="X45"/>
  <c r="AK45"/>
  <c r="AI46"/>
  <c r="AJ47"/>
  <c r="AG49"/>
  <c r="AG51"/>
  <c r="AE51"/>
  <c r="AJ52"/>
  <c r="AQ54"/>
  <c r="AS54"/>
  <c r="AI56"/>
  <c r="AJ58"/>
  <c r="AQ60"/>
  <c r="AS60"/>
  <c r="AJ61"/>
  <c r="AJ62"/>
  <c r="AQ64"/>
  <c r="AS64"/>
  <c r="AJ65"/>
  <c r="AJ66"/>
  <c r="AG71"/>
  <c r="V73"/>
  <c r="X73"/>
  <c r="AP73"/>
  <c r="AI74"/>
  <c r="AH75"/>
  <c r="AH77"/>
  <c r="AQ80"/>
  <c r="AQ83"/>
  <c r="V85"/>
  <c r="X85"/>
  <c r="V89"/>
  <c r="X89"/>
  <c r="V93"/>
  <c r="X93"/>
  <c r="AQ98"/>
  <c r="AS98"/>
  <c r="AJ100"/>
  <c r="AI104"/>
  <c r="AP104"/>
  <c r="AP109"/>
  <c r="AI109"/>
  <c r="AG117"/>
  <c r="AH117"/>
  <c r="V117"/>
  <c r="X117"/>
  <c r="AQ131"/>
  <c r="AJ131"/>
  <c r="AG151"/>
  <c r="AH151"/>
  <c r="V151"/>
  <c r="AL198"/>
  <c r="AK198"/>
  <c r="AH25"/>
  <c r="AH29"/>
  <c r="AH33"/>
  <c r="AH39"/>
  <c r="AQ46"/>
  <c r="AS46"/>
  <c r="AQ56"/>
  <c r="AS56"/>
  <c r="AP80"/>
  <c r="AQ145"/>
  <c r="AG25"/>
  <c r="AH45"/>
  <c r="AK51"/>
  <c r="AP52"/>
  <c r="AS52"/>
  <c r="AP58"/>
  <c r="AS58"/>
  <c r="X59"/>
  <c r="AL59"/>
  <c r="V61"/>
  <c r="AG61"/>
  <c r="AP62"/>
  <c r="AS62"/>
  <c r="V65"/>
  <c r="AG65"/>
  <c r="AP66"/>
  <c r="AS66"/>
  <c r="P67"/>
  <c r="P682"/>
  <c r="P686"/>
  <c r="AA95"/>
  <c r="AQ72"/>
  <c r="AS72"/>
  <c r="V81"/>
  <c r="N97"/>
  <c r="AA121"/>
  <c r="V99"/>
  <c r="AG99"/>
  <c r="AP100"/>
  <c r="AS100"/>
  <c r="AL670"/>
  <c r="AK670"/>
  <c r="V105"/>
  <c r="X105"/>
  <c r="AH113"/>
  <c r="V113"/>
  <c r="AQ114"/>
  <c r="AS114"/>
  <c r="AJ114"/>
  <c r="AQ125"/>
  <c r="AJ125"/>
  <c r="AG147"/>
  <c r="AH147"/>
  <c r="V147"/>
  <c r="AG155"/>
  <c r="AH155"/>
  <c r="V155"/>
  <c r="AJ204"/>
  <c r="AQ204"/>
  <c r="AF59"/>
  <c r="AO59"/>
  <c r="AI70"/>
  <c r="AH73"/>
  <c r="AQ76"/>
  <c r="AS76"/>
  <c r="V83"/>
  <c r="AG83"/>
  <c r="AP84"/>
  <c r="AS84"/>
  <c r="AH85"/>
  <c r="AP88"/>
  <c r="AS88"/>
  <c r="AH89"/>
  <c r="AP92"/>
  <c r="AS92"/>
  <c r="AH93"/>
  <c r="AQ96"/>
  <c r="AS96"/>
  <c r="AG105"/>
  <c r="AQ106"/>
  <c r="AS106"/>
  <c r="AQ111"/>
  <c r="AS118"/>
  <c r="AS134"/>
  <c r="AS144"/>
  <c r="AS152"/>
  <c r="AA184"/>
  <c r="AH200"/>
  <c r="V200"/>
  <c r="AD200"/>
  <c r="AM200"/>
  <c r="AG222"/>
  <c r="AH224"/>
  <c r="V224"/>
  <c r="AD224"/>
  <c r="W224"/>
  <c r="AM224"/>
  <c r="AI233"/>
  <c r="AP233"/>
  <c r="AS233"/>
  <c r="AK238"/>
  <c r="X238"/>
  <c r="AL238"/>
  <c r="AK246"/>
  <c r="X246"/>
  <c r="AL246"/>
  <c r="AP272"/>
  <c r="AP288"/>
  <c r="AS288"/>
  <c r="AI288"/>
  <c r="AH348"/>
  <c r="AG348"/>
  <c r="V348"/>
  <c r="X348"/>
  <c r="AB348"/>
  <c r="Y348"/>
  <c r="AG107"/>
  <c r="AP108"/>
  <c r="AS108"/>
  <c r="AG111"/>
  <c r="AP112"/>
  <c r="AS112"/>
  <c r="AG115"/>
  <c r="AP116"/>
  <c r="AS116"/>
  <c r="AJ118"/>
  <c r="AP122"/>
  <c r="AS122"/>
  <c r="V123"/>
  <c r="X123"/>
  <c r="AB123"/>
  <c r="AJ126"/>
  <c r="AP128"/>
  <c r="AS128"/>
  <c r="AJ130"/>
  <c r="AG131"/>
  <c r="AI132"/>
  <c r="AQ132"/>
  <c r="AS132"/>
  <c r="AJ134"/>
  <c r="AP136"/>
  <c r="AS136"/>
  <c r="V137"/>
  <c r="X137"/>
  <c r="AI137"/>
  <c r="AP140"/>
  <c r="AS140"/>
  <c r="AI142"/>
  <c r="AQ142"/>
  <c r="AS142"/>
  <c r="V143"/>
  <c r="X143"/>
  <c r="AA143"/>
  <c r="AE143"/>
  <c r="AJ144"/>
  <c r="AG145"/>
  <c r="AP146"/>
  <c r="AS146"/>
  <c r="AJ148"/>
  <c r="AG149"/>
  <c r="AP150"/>
  <c r="AS150"/>
  <c r="AJ152"/>
  <c r="AG153"/>
  <c r="AP154"/>
  <c r="AS154"/>
  <c r="AJ156"/>
  <c r="AG157"/>
  <c r="AP158"/>
  <c r="AS158"/>
  <c r="H159"/>
  <c r="AI163"/>
  <c r="AJ171"/>
  <c r="AQ175"/>
  <c r="AQ177"/>
  <c r="AJ181"/>
  <c r="N182"/>
  <c r="AQ183"/>
  <c r="AQ185"/>
  <c r="AD191"/>
  <c r="AQ194"/>
  <c r="AQ203"/>
  <c r="AD204"/>
  <c r="AI206"/>
  <c r="AI207"/>
  <c r="X212"/>
  <c r="AG212"/>
  <c r="AL212"/>
  <c r="AJ214"/>
  <c r="AQ215"/>
  <c r="AS215"/>
  <c r="AI224"/>
  <c r="AK220"/>
  <c r="X220"/>
  <c r="AB220"/>
  <c r="Y220"/>
  <c r="Z220"/>
  <c r="AI231"/>
  <c r="AP231"/>
  <c r="AS231"/>
  <c r="AG232"/>
  <c r="AH232"/>
  <c r="V232"/>
  <c r="X232"/>
  <c r="AP254"/>
  <c r="AI254"/>
  <c r="V258"/>
  <c r="X258"/>
  <c r="AG258"/>
  <c r="AH258"/>
  <c r="V268"/>
  <c r="X268"/>
  <c r="AG268"/>
  <c r="AH268"/>
  <c r="V276"/>
  <c r="X276"/>
  <c r="AG276"/>
  <c r="AH276"/>
  <c r="AP290"/>
  <c r="AI290"/>
  <c r="AP298"/>
  <c r="V316"/>
  <c r="X316"/>
  <c r="AG316"/>
  <c r="N328"/>
  <c r="AH316"/>
  <c r="V352"/>
  <c r="AG352"/>
  <c r="AH352"/>
  <c r="AH123"/>
  <c r="N129"/>
  <c r="AH137"/>
  <c r="N141"/>
  <c r="AH143"/>
  <c r="AP160"/>
  <c r="AS160"/>
  <c r="AP164"/>
  <c r="AS164"/>
  <c r="AP168"/>
  <c r="AS168"/>
  <c r="AJ170"/>
  <c r="AP175"/>
  <c r="AP177"/>
  <c r="AP183"/>
  <c r="AP185"/>
  <c r="AP194"/>
  <c r="AP203"/>
  <c r="AQ207"/>
  <c r="AS207"/>
  <c r="AP216"/>
  <c r="L173"/>
  <c r="L176"/>
  <c r="AA193"/>
  <c r="AA666"/>
  <c r="AA226"/>
  <c r="AH206"/>
  <c r="V206"/>
  <c r="AD206"/>
  <c r="W206"/>
  <c r="AM206"/>
  <c r="AI229"/>
  <c r="AP229"/>
  <c r="AS229"/>
  <c r="AG230"/>
  <c r="AH230"/>
  <c r="V230"/>
  <c r="AK242"/>
  <c r="X242"/>
  <c r="AL242"/>
  <c r="AP300"/>
  <c r="AI300"/>
  <c r="AP318"/>
  <c r="AI318"/>
  <c r="AQ320"/>
  <c r="AJ320"/>
  <c r="AH356"/>
  <c r="AG356"/>
  <c r="V356"/>
  <c r="AI362"/>
  <c r="AP362"/>
  <c r="AG143"/>
  <c r="O159"/>
  <c r="AL165"/>
  <c r="H176"/>
  <c r="AP181"/>
  <c r="AS181"/>
  <c r="AQ197"/>
  <c r="AS197"/>
  <c r="AD198"/>
  <c r="AH198"/>
  <c r="AQ210"/>
  <c r="AP214"/>
  <c r="AS214"/>
  <c r="N226"/>
  <c r="AA248"/>
  <c r="AK236"/>
  <c r="X236"/>
  <c r="AL236"/>
  <c r="AK244"/>
  <c r="X244"/>
  <c r="AL244"/>
  <c r="V256"/>
  <c r="X256"/>
  <c r="AB256"/>
  <c r="Y256"/>
  <c r="AG256"/>
  <c r="AH256"/>
  <c r="V262"/>
  <c r="X262"/>
  <c r="AG262"/>
  <c r="AH262"/>
  <c r="AP266"/>
  <c r="AI266"/>
  <c r="V270"/>
  <c r="X270"/>
  <c r="AG270"/>
  <c r="AH270"/>
  <c r="AP274"/>
  <c r="AI274"/>
  <c r="V278"/>
  <c r="X278"/>
  <c r="AG278"/>
  <c r="AH278"/>
  <c r="AP284"/>
  <c r="AI284"/>
  <c r="AP286"/>
  <c r="AI286"/>
  <c r="AP302"/>
  <c r="AI302"/>
  <c r="AP304"/>
  <c r="AI304"/>
  <c r="AP306"/>
  <c r="AI306"/>
  <c r="AP308"/>
  <c r="AS308"/>
  <c r="AI308"/>
  <c r="AP310"/>
  <c r="AI310"/>
  <c r="AP312"/>
  <c r="AI312"/>
  <c r="AD107"/>
  <c r="AD111"/>
  <c r="X165"/>
  <c r="AA169"/>
  <c r="AP170"/>
  <c r="AS170"/>
  <c r="AE666"/>
  <c r="N193"/>
  <c r="AI195"/>
  <c r="AG198"/>
  <c r="AQ201"/>
  <c r="AS201"/>
  <c r="AI205"/>
  <c r="AQ209"/>
  <c r="AS209"/>
  <c r="AH212"/>
  <c r="AI223"/>
  <c r="L360"/>
  <c r="N346"/>
  <c r="AG350"/>
  <c r="X350"/>
  <c r="AB350"/>
  <c r="Y350"/>
  <c r="Z350"/>
  <c r="AG358"/>
  <c r="X358"/>
  <c r="AB358"/>
  <c r="Y358"/>
  <c r="Z358"/>
  <c r="AK366"/>
  <c r="V375"/>
  <c r="AH375"/>
  <c r="AJ376"/>
  <c r="AQ376"/>
  <c r="AS376"/>
  <c r="AI382"/>
  <c r="AP382"/>
  <c r="AS382"/>
  <c r="AP383"/>
  <c r="AI383"/>
  <c r="V387"/>
  <c r="X387"/>
  <c r="AG387"/>
  <c r="AH387"/>
  <c r="AP393"/>
  <c r="AI393"/>
  <c r="V397"/>
  <c r="AG397"/>
  <c r="AH397"/>
  <c r="AP415"/>
  <c r="AI415"/>
  <c r="AP423"/>
  <c r="AI423"/>
  <c r="AS435"/>
  <c r="AO453"/>
  <c r="AN453"/>
  <c r="AF666"/>
  <c r="AN666"/>
  <c r="V234"/>
  <c r="AD234"/>
  <c r="W234"/>
  <c r="AH234"/>
  <c r="AH236"/>
  <c r="AH238"/>
  <c r="AH240"/>
  <c r="AH242"/>
  <c r="AP242"/>
  <c r="AH244"/>
  <c r="AH246"/>
  <c r="N250"/>
  <c r="AQ251"/>
  <c r="AP253"/>
  <c r="AS253"/>
  <c r="V254"/>
  <c r="AQ259"/>
  <c r="AQ263"/>
  <c r="AS263"/>
  <c r="AP265"/>
  <c r="AS265"/>
  <c r="V266"/>
  <c r="X266"/>
  <c r="AQ271"/>
  <c r="AS271"/>
  <c r="AP273"/>
  <c r="AS273"/>
  <c r="V274"/>
  <c r="X274"/>
  <c r="AQ279"/>
  <c r="AS279"/>
  <c r="AP281"/>
  <c r="AS281"/>
  <c r="AQ283"/>
  <c r="AQ285"/>
  <c r="AQ289"/>
  <c r="AQ294"/>
  <c r="AP297"/>
  <c r="AS297"/>
  <c r="V298"/>
  <c r="X298"/>
  <c r="AQ301"/>
  <c r="AS301"/>
  <c r="AQ303"/>
  <c r="AQ305"/>
  <c r="AQ307"/>
  <c r="AQ309"/>
  <c r="AQ311"/>
  <c r="AK312"/>
  <c r="AQ313"/>
  <c r="AQ317"/>
  <c r="AQ319"/>
  <c r="V320"/>
  <c r="AA320"/>
  <c r="AN320"/>
  <c r="AQ321"/>
  <c r="AS321"/>
  <c r="AL322"/>
  <c r="AP322"/>
  <c r="V324"/>
  <c r="AD324"/>
  <c r="W324"/>
  <c r="AJ326"/>
  <c r="AQ327"/>
  <c r="AS327"/>
  <c r="AI329"/>
  <c r="AP332"/>
  <c r="AI337"/>
  <c r="X340"/>
  <c r="AI341"/>
  <c r="N344"/>
  <c r="AQ345"/>
  <c r="AS345"/>
  <c r="AQ347"/>
  <c r="AJ349"/>
  <c r="AH350"/>
  <c r="AQ353"/>
  <c r="AS353"/>
  <c r="AQ355"/>
  <c r="AJ357"/>
  <c r="AH358"/>
  <c r="AP361"/>
  <c r="AS361"/>
  <c r="AK364"/>
  <c r="AJ366"/>
  <c r="N370"/>
  <c r="N389"/>
  <c r="AD467"/>
  <c r="W467"/>
  <c r="AM467"/>
  <c r="AI375"/>
  <c r="AP375"/>
  <c r="AP399"/>
  <c r="AI399"/>
  <c r="AP401"/>
  <c r="AI401"/>
  <c r="AJ439"/>
  <c r="AQ439"/>
  <c r="AM441"/>
  <c r="AJ493"/>
  <c r="AQ493"/>
  <c r="AG234"/>
  <c r="AE320"/>
  <c r="AH324"/>
  <c r="H328"/>
  <c r="AQ337"/>
  <c r="AS337"/>
  <c r="AQ341"/>
  <c r="AS341"/>
  <c r="AP347"/>
  <c r="AP355"/>
  <c r="AA360"/>
  <c r="V385"/>
  <c r="X385"/>
  <c r="AG385"/>
  <c r="AH385"/>
  <c r="V395"/>
  <c r="X395"/>
  <c r="AG395"/>
  <c r="AH395"/>
  <c r="AP429"/>
  <c r="AI429"/>
  <c r="AJ437"/>
  <c r="AQ437"/>
  <c r="S451"/>
  <c r="AG451"/>
  <c r="AH451"/>
  <c r="S455"/>
  <c r="AG455"/>
  <c r="AH455"/>
  <c r="AD455"/>
  <c r="W455"/>
  <c r="AM455"/>
  <c r="AO475"/>
  <c r="AN475"/>
  <c r="AH254"/>
  <c r="AH266"/>
  <c r="AH274"/>
  <c r="AD322"/>
  <c r="AG324"/>
  <c r="AS328"/>
  <c r="AG330"/>
  <c r="AJ332"/>
  <c r="X342"/>
  <c r="AI342"/>
  <c r="AP349"/>
  <c r="AS349"/>
  <c r="AP354"/>
  <c r="AP357"/>
  <c r="AS357"/>
  <c r="AH362"/>
  <c r="O344"/>
  <c r="O434"/>
  <c r="O667"/>
  <c r="O683"/>
  <c r="AC344"/>
  <c r="AP413"/>
  <c r="AI413"/>
  <c r="AP431"/>
  <c r="AI431"/>
  <c r="S467"/>
  <c r="AG467"/>
  <c r="AH467"/>
  <c r="AQ471"/>
  <c r="AJ471"/>
  <c r="AD288"/>
  <c r="W288"/>
  <c r="AG320"/>
  <c r="AP323"/>
  <c r="AS323"/>
  <c r="AA334"/>
  <c r="AG334"/>
  <c r="AQ335"/>
  <c r="AS335"/>
  <c r="AQ339"/>
  <c r="AS339"/>
  <c r="AQ343"/>
  <c r="AS343"/>
  <c r="AA370"/>
  <c r="AD451"/>
  <c r="W451"/>
  <c r="AM451"/>
  <c r="AG457"/>
  <c r="N495"/>
  <c r="AG483"/>
  <c r="AP505"/>
  <c r="AI505"/>
  <c r="AQ515"/>
  <c r="AJ515"/>
  <c r="AQ533"/>
  <c r="AJ533"/>
  <c r="AQ538"/>
  <c r="AJ538"/>
  <c r="AQ550"/>
  <c r="AJ550"/>
  <c r="AQ570"/>
  <c r="AJ570"/>
  <c r="AP580"/>
  <c r="AI580"/>
  <c r="AI584"/>
  <c r="AP584"/>
  <c r="AP588"/>
  <c r="AI588"/>
  <c r="N373"/>
  <c r="AG381"/>
  <c r="V383"/>
  <c r="X383"/>
  <c r="AQ388"/>
  <c r="L392"/>
  <c r="L405"/>
  <c r="AP392"/>
  <c r="AS392"/>
  <c r="V393"/>
  <c r="X393"/>
  <c r="AQ398"/>
  <c r="AQ400"/>
  <c r="AP406"/>
  <c r="AS406"/>
  <c r="AQ414"/>
  <c r="AS414"/>
  <c r="AP422"/>
  <c r="AS422"/>
  <c r="V423"/>
  <c r="X423"/>
  <c r="AB423"/>
  <c r="AP424"/>
  <c r="AS424"/>
  <c r="N425"/>
  <c r="AQ430"/>
  <c r="AS430"/>
  <c r="AQ431"/>
  <c r="AP436"/>
  <c r="AS436"/>
  <c r="W437"/>
  <c r="AC445"/>
  <c r="AP438"/>
  <c r="AS438"/>
  <c r="AI440"/>
  <c r="AJ443"/>
  <c r="AI444"/>
  <c r="G553"/>
  <c r="AS445"/>
  <c r="AC469"/>
  <c r="AI454"/>
  <c r="AI456"/>
  <c r="X459"/>
  <c r="Z459"/>
  <c r="AA459"/>
  <c r="AB459"/>
  <c r="AH459"/>
  <c r="AQ460"/>
  <c r="AD461"/>
  <c r="W461"/>
  <c r="AG463"/>
  <c r="AD471"/>
  <c r="AQ472"/>
  <c r="AS472"/>
  <c r="AQ474"/>
  <c r="AD475"/>
  <c r="W475"/>
  <c r="AM475"/>
  <c r="AG479"/>
  <c r="AO479"/>
  <c r="AH483"/>
  <c r="AS567"/>
  <c r="AS575"/>
  <c r="AG453"/>
  <c r="AJ476"/>
  <c r="AQ476"/>
  <c r="AS476"/>
  <c r="AO477"/>
  <c r="AN477"/>
  <c r="AI478"/>
  <c r="AP478"/>
  <c r="AS478"/>
  <c r="AP499"/>
  <c r="AI499"/>
  <c r="AQ509"/>
  <c r="AJ509"/>
  <c r="AP519"/>
  <c r="AI519"/>
  <c r="AQ527"/>
  <c r="AJ527"/>
  <c r="AQ544"/>
  <c r="AJ544"/>
  <c r="AQ564"/>
  <c r="AJ564"/>
  <c r="AQ572"/>
  <c r="AJ572"/>
  <c r="AP594"/>
  <c r="AI594"/>
  <c r="L389"/>
  <c r="AL415"/>
  <c r="AI435"/>
  <c r="AQ444"/>
  <c r="AS444"/>
  <c r="AQ456"/>
  <c r="AS456"/>
  <c r="AP460"/>
  <c r="AP474"/>
  <c r="AD485"/>
  <c r="W485"/>
  <c r="AM485"/>
  <c r="AH485"/>
  <c r="AG437"/>
  <c r="AG449"/>
  <c r="AG465"/>
  <c r="N481"/>
  <c r="AG477"/>
  <c r="X477"/>
  <c r="Z477"/>
  <c r="AA477"/>
  <c r="AB477"/>
  <c r="AQ487"/>
  <c r="AJ487"/>
  <c r="AP487"/>
  <c r="AJ490"/>
  <c r="AQ490"/>
  <c r="AI492"/>
  <c r="AP492"/>
  <c r="AS492"/>
  <c r="AG493"/>
  <c r="S493"/>
  <c r="AP497"/>
  <c r="AI497"/>
  <c r="AQ503"/>
  <c r="AJ503"/>
  <c r="AP513"/>
  <c r="AI513"/>
  <c r="AP531"/>
  <c r="AI531"/>
  <c r="AQ542"/>
  <c r="AJ542"/>
  <c r="AP548"/>
  <c r="AI548"/>
  <c r="AQ566"/>
  <c r="AJ566"/>
  <c r="AQ574"/>
  <c r="AJ574"/>
  <c r="AP586"/>
  <c r="AI586"/>
  <c r="AI590"/>
  <c r="AP590"/>
  <c r="AH383"/>
  <c r="AH393"/>
  <c r="X403"/>
  <c r="AB403"/>
  <c r="Y403"/>
  <c r="Z403"/>
  <c r="X409"/>
  <c r="AB409"/>
  <c r="Y409"/>
  <c r="Z409"/>
  <c r="AK415"/>
  <c r="X417"/>
  <c r="AH423"/>
  <c r="AG427"/>
  <c r="AJ438"/>
  <c r="AG441"/>
  <c r="AI448"/>
  <c r="AQ452"/>
  <c r="AS452"/>
  <c r="AD453"/>
  <c r="W453"/>
  <c r="AM453"/>
  <c r="AO463"/>
  <c r="AQ468"/>
  <c r="AS468"/>
  <c r="AH477"/>
  <c r="AC495"/>
  <c r="AG485"/>
  <c r="AO485"/>
  <c r="AJ489"/>
  <c r="AG461"/>
  <c r="AG475"/>
  <c r="AJ482"/>
  <c r="AQ482"/>
  <c r="AO483"/>
  <c r="AN483"/>
  <c r="W483"/>
  <c r="X483"/>
  <c r="AI484"/>
  <c r="AP484"/>
  <c r="AS484"/>
  <c r="AQ501"/>
  <c r="AJ501"/>
  <c r="AP511"/>
  <c r="AI511"/>
  <c r="AQ517"/>
  <c r="AJ517"/>
  <c r="AP529"/>
  <c r="AI529"/>
  <c r="AP546"/>
  <c r="AI546"/>
  <c r="AQ555"/>
  <c r="AJ555"/>
  <c r="AQ568"/>
  <c r="AJ568"/>
  <c r="AQ576"/>
  <c r="AJ576"/>
  <c r="AI582"/>
  <c r="AP582"/>
  <c r="AI592"/>
  <c r="AP592"/>
  <c r="AP600"/>
  <c r="AI600"/>
  <c r="AD381"/>
  <c r="N445"/>
  <c r="AQ448"/>
  <c r="AS448"/>
  <c r="AH453"/>
  <c r="AI458"/>
  <c r="AD463"/>
  <c r="W463"/>
  <c r="AH463"/>
  <c r="AQ464"/>
  <c r="AS464"/>
  <c r="AI470"/>
  <c r="AD479"/>
  <c r="W479"/>
  <c r="AM479"/>
  <c r="AH479"/>
  <c r="AD493"/>
  <c r="W493"/>
  <c r="AM493"/>
  <c r="AS565"/>
  <c r="AS573"/>
  <c r="N662"/>
  <c r="AH604"/>
  <c r="AJ605"/>
  <c r="AQ605"/>
  <c r="AG608"/>
  <c r="AH608"/>
  <c r="AD608"/>
  <c r="W608"/>
  <c r="AM608"/>
  <c r="AG610"/>
  <c r="AH610"/>
  <c r="AD610"/>
  <c r="W610"/>
  <c r="AM610"/>
  <c r="AQ614"/>
  <c r="AJ614"/>
  <c r="AQ626"/>
  <c r="AJ626"/>
  <c r="AP632"/>
  <c r="AI632"/>
  <c r="AJ634"/>
  <c r="AQ634"/>
  <c r="AQ644"/>
  <c r="AJ644"/>
  <c r="AG489"/>
  <c r="AQ496"/>
  <c r="AP498"/>
  <c r="AS498"/>
  <c r="S499"/>
  <c r="AG503"/>
  <c r="AQ504"/>
  <c r="AS504"/>
  <c r="AN505"/>
  <c r="AP506"/>
  <c r="AS506"/>
  <c r="N507"/>
  <c r="AG509"/>
  <c r="AQ510"/>
  <c r="AP512"/>
  <c r="AS512"/>
  <c r="S513"/>
  <c r="S521"/>
  <c r="AG517"/>
  <c r="AQ518"/>
  <c r="AP520"/>
  <c r="AS520"/>
  <c r="N521"/>
  <c r="AQ524"/>
  <c r="AG527"/>
  <c r="AQ528"/>
  <c r="AP530"/>
  <c r="AS530"/>
  <c r="S531"/>
  <c r="AP536"/>
  <c r="AS536"/>
  <c r="AG538"/>
  <c r="AQ539"/>
  <c r="AS539"/>
  <c r="AD542"/>
  <c r="AG544"/>
  <c r="AQ545"/>
  <c r="AN546"/>
  <c r="AP547"/>
  <c r="AS547"/>
  <c r="S548"/>
  <c r="AG669"/>
  <c r="AK669"/>
  <c r="AO669"/>
  <c r="AD555"/>
  <c r="AP555"/>
  <c r="AP669"/>
  <c r="AP558"/>
  <c r="AS558"/>
  <c r="AJ561"/>
  <c r="AJ563"/>
  <c r="AP564"/>
  <c r="AJ565"/>
  <c r="AJ567"/>
  <c r="AJ569"/>
  <c r="AP570"/>
  <c r="AJ571"/>
  <c r="AJ573"/>
  <c r="AJ575"/>
  <c r="AJ577"/>
  <c r="AI578"/>
  <c r="AI579"/>
  <c r="AH584"/>
  <c r="AI587"/>
  <c r="AH592"/>
  <c r="AI595"/>
  <c r="AF671"/>
  <c r="AL671"/>
  <c r="AS623"/>
  <c r="AH606"/>
  <c r="AD606"/>
  <c r="W606"/>
  <c r="AM606"/>
  <c r="AG606"/>
  <c r="AP616"/>
  <c r="AI616"/>
  <c r="AM622"/>
  <c r="AQ630"/>
  <c r="AJ630"/>
  <c r="AQ642"/>
  <c r="AJ642"/>
  <c r="AQ650"/>
  <c r="AJ650"/>
  <c r="AQ654"/>
  <c r="AJ654"/>
  <c r="AQ658"/>
  <c r="AJ658"/>
  <c r="AD499"/>
  <c r="W499"/>
  <c r="AH499"/>
  <c r="AD513"/>
  <c r="W513"/>
  <c r="AH513"/>
  <c r="AD531"/>
  <c r="W531"/>
  <c r="AH531"/>
  <c r="AD548"/>
  <c r="W548"/>
  <c r="AM548"/>
  <c r="AH548"/>
  <c r="AJ554"/>
  <c r="AH586"/>
  <c r="AD594"/>
  <c r="W594"/>
  <c r="X594"/>
  <c r="AH594"/>
  <c r="AD604"/>
  <c r="AI607"/>
  <c r="AP607"/>
  <c r="AS607"/>
  <c r="AG612"/>
  <c r="AH612"/>
  <c r="AQ620"/>
  <c r="AJ620"/>
  <c r="AQ622"/>
  <c r="AJ622"/>
  <c r="AM624"/>
  <c r="AQ628"/>
  <c r="AJ628"/>
  <c r="AQ636"/>
  <c r="AJ636"/>
  <c r="AQ638"/>
  <c r="AJ638"/>
  <c r="AQ640"/>
  <c r="AJ640"/>
  <c r="AQ648"/>
  <c r="AJ648"/>
  <c r="AD491"/>
  <c r="W491"/>
  <c r="AM491"/>
  <c r="AH491"/>
  <c r="AD497"/>
  <c r="AH497"/>
  <c r="AD505"/>
  <c r="W505"/>
  <c r="AH505"/>
  <c r="AD511"/>
  <c r="W511"/>
  <c r="AH511"/>
  <c r="AD519"/>
  <c r="W519"/>
  <c r="AM519"/>
  <c r="AH519"/>
  <c r="AD529"/>
  <c r="W529"/>
  <c r="AM529"/>
  <c r="AH529"/>
  <c r="N535"/>
  <c r="AD546"/>
  <c r="W546"/>
  <c r="AM546"/>
  <c r="AH546"/>
  <c r="N552"/>
  <c r="AI554"/>
  <c r="AI669"/>
  <c r="AP605"/>
  <c r="AI601"/>
  <c r="AP601"/>
  <c r="AS601"/>
  <c r="AI604"/>
  <c r="AP604"/>
  <c r="AP618"/>
  <c r="AI618"/>
  <c r="AQ624"/>
  <c r="AJ624"/>
  <c r="AQ646"/>
  <c r="AJ646"/>
  <c r="AQ652"/>
  <c r="AJ652"/>
  <c r="AQ656"/>
  <c r="AJ656"/>
  <c r="AQ660"/>
  <c r="AJ660"/>
  <c r="AD489"/>
  <c r="W489"/>
  <c r="AD503"/>
  <c r="W503"/>
  <c r="AM503"/>
  <c r="AD509"/>
  <c r="AD517"/>
  <c r="W517"/>
  <c r="AM517"/>
  <c r="AD527"/>
  <c r="AD538"/>
  <c r="AD544"/>
  <c r="W544"/>
  <c r="AM544"/>
  <c r="AH669"/>
  <c r="AL669"/>
  <c r="AI585"/>
  <c r="AI593"/>
  <c r="AS603"/>
  <c r="AS621"/>
  <c r="AS637"/>
  <c r="AJ611"/>
  <c r="AI613"/>
  <c r="AQ613"/>
  <c r="AS613"/>
  <c r="AG614"/>
  <c r="AP615"/>
  <c r="AS615"/>
  <c r="AP617"/>
  <c r="AS617"/>
  <c r="S618"/>
  <c r="AJ621"/>
  <c r="AJ623"/>
  <c r="AJ625"/>
  <c r="AD626"/>
  <c r="W626"/>
  <c r="AM626"/>
  <c r="AG626"/>
  <c r="AK626"/>
  <c r="AK671"/>
  <c r="AI627"/>
  <c r="AQ627"/>
  <c r="AS627"/>
  <c r="AG628"/>
  <c r="AI629"/>
  <c r="AQ629"/>
  <c r="AS629"/>
  <c r="AG630"/>
  <c r="AI631"/>
  <c r="AQ631"/>
  <c r="AS631"/>
  <c r="AP633"/>
  <c r="AS633"/>
  <c r="S634"/>
  <c r="AJ637"/>
  <c r="AG638"/>
  <c r="AI639"/>
  <c r="AQ639"/>
  <c r="AS639"/>
  <c r="AG640"/>
  <c r="AI641"/>
  <c r="AQ641"/>
  <c r="AS641"/>
  <c r="AG642"/>
  <c r="AI643"/>
  <c r="AQ643"/>
  <c r="AS643"/>
  <c r="AG644"/>
  <c r="AI645"/>
  <c r="AQ645"/>
  <c r="AS645"/>
  <c r="AG646"/>
  <c r="AI647"/>
  <c r="AQ647"/>
  <c r="AS647"/>
  <c r="AG648"/>
  <c r="AI649"/>
  <c r="AQ649"/>
  <c r="AS649"/>
  <c r="AG650"/>
  <c r="AI651"/>
  <c r="AG652"/>
  <c r="AI653"/>
  <c r="AG654"/>
  <c r="AI655"/>
  <c r="AG656"/>
  <c r="AI657"/>
  <c r="AG658"/>
  <c r="AI659"/>
  <c r="AG660"/>
  <c r="AI661"/>
  <c r="O662"/>
  <c r="O671"/>
  <c r="O685"/>
  <c r="AH618"/>
  <c r="AN626"/>
  <c r="S632"/>
  <c r="AD616"/>
  <c r="W616"/>
  <c r="AH616"/>
  <c r="AD632"/>
  <c r="W632"/>
  <c r="AH632"/>
  <c r="AD614"/>
  <c r="W614"/>
  <c r="AM614"/>
  <c r="AD628"/>
  <c r="W628"/>
  <c r="AM628"/>
  <c r="AD630"/>
  <c r="W630"/>
  <c r="AM630"/>
  <c r="AD638"/>
  <c r="W638"/>
  <c r="AM638"/>
  <c r="AD640"/>
  <c r="W640"/>
  <c r="AD642"/>
  <c r="W642"/>
  <c r="AM642"/>
  <c r="AD644"/>
  <c r="W644"/>
  <c r="AD646"/>
  <c r="W646"/>
  <c r="AM646"/>
  <c r="AD648"/>
  <c r="W648"/>
  <c r="AD650"/>
  <c r="W650"/>
  <c r="AM650"/>
  <c r="D12" i="26"/>
  <c r="AA523" i="21"/>
  <c r="AB523"/>
  <c r="Z523"/>
  <c r="AA555"/>
  <c r="AA557"/>
  <c r="AA669"/>
  <c r="AC660"/>
  <c r="AC658"/>
  <c r="AC656"/>
  <c r="AC654"/>
  <c r="AC652"/>
  <c r="AC650"/>
  <c r="AC648"/>
  <c r="AC646"/>
  <c r="AC644"/>
  <c r="AC642"/>
  <c r="AC640"/>
  <c r="AC638"/>
  <c r="AC636"/>
  <c r="AC634"/>
  <c r="AC632"/>
  <c r="AC630"/>
  <c r="AC628"/>
  <c r="AC624"/>
  <c r="AC622"/>
  <c r="AC620"/>
  <c r="AC618"/>
  <c r="AC616"/>
  <c r="AC614"/>
  <c r="AC612"/>
  <c r="AC610"/>
  <c r="AC608"/>
  <c r="AC606"/>
  <c r="AC604"/>
  <c r="AC600"/>
  <c r="AC594"/>
  <c r="AC592"/>
  <c r="AC590"/>
  <c r="AC588"/>
  <c r="AC586"/>
  <c r="AC584"/>
  <c r="AC582"/>
  <c r="AC580"/>
  <c r="AC578"/>
  <c r="AC576"/>
  <c r="AC574"/>
  <c r="AC572"/>
  <c r="AC570"/>
  <c r="AC568"/>
  <c r="AC566"/>
  <c r="AC564"/>
  <c r="AC562"/>
  <c r="AC560"/>
  <c r="AC555"/>
  <c r="AC550"/>
  <c r="AC548"/>
  <c r="AC546"/>
  <c r="AC544"/>
  <c r="AC542"/>
  <c r="AC538"/>
  <c r="AC533"/>
  <c r="AC531"/>
  <c r="AC529"/>
  <c r="AC527"/>
  <c r="AC523"/>
  <c r="AC519"/>
  <c r="AC517"/>
  <c r="AC515"/>
  <c r="AC513"/>
  <c r="AC511"/>
  <c r="AC509"/>
  <c r="AC505"/>
  <c r="AC503"/>
  <c r="AC501"/>
  <c r="AC499"/>
  <c r="AC497"/>
  <c r="AC493"/>
  <c r="AC491"/>
  <c r="AC489"/>
  <c r="AC487"/>
  <c r="AC485"/>
  <c r="AC483"/>
  <c r="AC479"/>
  <c r="AC477"/>
  <c r="AC475"/>
  <c r="AC473"/>
  <c r="AC471"/>
  <c r="AC467"/>
  <c r="AC465"/>
  <c r="AC463"/>
  <c r="AC461"/>
  <c r="AC459"/>
  <c r="AC457"/>
  <c r="AC455"/>
  <c r="AC453"/>
  <c r="AC451"/>
  <c r="AC449"/>
  <c r="AC447"/>
  <c r="AC443"/>
  <c r="AC441"/>
  <c r="AC439"/>
  <c r="AC437"/>
  <c r="AC431"/>
  <c r="AC429"/>
  <c r="AC427"/>
  <c r="AC423"/>
  <c r="AC419"/>
  <c r="AC417"/>
  <c r="AC415"/>
  <c r="AC413"/>
  <c r="AC411"/>
  <c r="AC409"/>
  <c r="AC407"/>
  <c r="AC403"/>
  <c r="AC401"/>
  <c r="AC399"/>
  <c r="AC397"/>
  <c r="AC395"/>
  <c r="AC393"/>
  <c r="AC391"/>
  <c r="AC387"/>
  <c r="AC385"/>
  <c r="AC383"/>
  <c r="AC381"/>
  <c r="AC377"/>
  <c r="AC375"/>
  <c r="AC373"/>
  <c r="AC368"/>
  <c r="AC366"/>
  <c r="AC364"/>
  <c r="AC362"/>
  <c r="AC358"/>
  <c r="AC356"/>
  <c r="AC354"/>
  <c r="AC352"/>
  <c r="AC350"/>
  <c r="AC348"/>
  <c r="AC346"/>
  <c r="AC342"/>
  <c r="AC340"/>
  <c r="AC338"/>
  <c r="AC336"/>
  <c r="AC332"/>
  <c r="AC330"/>
  <c r="AC326"/>
  <c r="AC324"/>
  <c r="AC322"/>
  <c r="AC320"/>
  <c r="AC318"/>
  <c r="AC316"/>
  <c r="AC312"/>
  <c r="AC310"/>
  <c r="AC308"/>
  <c r="AC306"/>
  <c r="AC304"/>
  <c r="AC302"/>
  <c r="AC300"/>
  <c r="AC298"/>
  <c r="AC294"/>
  <c r="AC292"/>
  <c r="AC290"/>
  <c r="AC288"/>
  <c r="AC286"/>
  <c r="AC284"/>
  <c r="AC282"/>
  <c r="AC278"/>
  <c r="AC276"/>
  <c r="AC274"/>
  <c r="AC272"/>
  <c r="AC270"/>
  <c r="AC268"/>
  <c r="AC266"/>
  <c r="AC264"/>
  <c r="AC262"/>
  <c r="AC260"/>
  <c r="AC258"/>
  <c r="AC256"/>
  <c r="AC254"/>
  <c r="AC252"/>
  <c r="AC250"/>
  <c r="AC246"/>
  <c r="AC244"/>
  <c r="AC242"/>
  <c r="AC240"/>
  <c r="AC238"/>
  <c r="AC236"/>
  <c r="AC234"/>
  <c r="AC232"/>
  <c r="AC230"/>
  <c r="AC228"/>
  <c r="AC224"/>
  <c r="AC222"/>
  <c r="AC220"/>
  <c r="AC218"/>
  <c r="AC216"/>
  <c r="AC214"/>
  <c r="AC212"/>
  <c r="AC210"/>
  <c r="AC208"/>
  <c r="AC206"/>
  <c r="AC204"/>
  <c r="AC200"/>
  <c r="AC198"/>
  <c r="AC196"/>
  <c r="AC191"/>
  <c r="AC182"/>
  <c r="AC178"/>
  <c r="AC180"/>
  <c r="AC174"/>
  <c r="AC176"/>
  <c r="AC172"/>
  <c r="AC167"/>
  <c r="AC165"/>
  <c r="AC163"/>
  <c r="AC161"/>
  <c r="AC157"/>
  <c r="AC155"/>
  <c r="AC153"/>
  <c r="AC151"/>
  <c r="AC149"/>
  <c r="AC147"/>
  <c r="AC145"/>
  <c r="AC141"/>
  <c r="AC137"/>
  <c r="AC135"/>
  <c r="AC131"/>
  <c r="AC129"/>
  <c r="AC125"/>
  <c r="AC123"/>
  <c r="AC119"/>
  <c r="AC117"/>
  <c r="AC115"/>
  <c r="AC113"/>
  <c r="AC111"/>
  <c r="AC109"/>
  <c r="AC107"/>
  <c r="AC105"/>
  <c r="AC103"/>
  <c r="AC101"/>
  <c r="AC99"/>
  <c r="AC97"/>
  <c r="AC93"/>
  <c r="AC91"/>
  <c r="AC89"/>
  <c r="AC87"/>
  <c r="AC85"/>
  <c r="AC81"/>
  <c r="AC79"/>
  <c r="AC77"/>
  <c r="AC75"/>
  <c r="AC73"/>
  <c r="AC71"/>
  <c r="AC69"/>
  <c r="AC65"/>
  <c r="AC63"/>
  <c r="AC61"/>
  <c r="AC57"/>
  <c r="AC55"/>
  <c r="AC53"/>
  <c r="AC49"/>
  <c r="AC47"/>
  <c r="AC45"/>
  <c r="AC41"/>
  <c r="AC67"/>
  <c r="AC39"/>
  <c r="AC37"/>
  <c r="AC35"/>
  <c r="AC33"/>
  <c r="AC31"/>
  <c r="AC29"/>
  <c r="AC27"/>
  <c r="AC25"/>
  <c r="AC21"/>
  <c r="AC19"/>
  <c r="AC17"/>
  <c r="AC15"/>
  <c r="AC13"/>
  <c r="H197"/>
  <c r="H202"/>
  <c r="H20"/>
  <c r="H18"/>
  <c r="H16"/>
  <c r="AA350"/>
  <c r="AA348"/>
  <c r="AA431"/>
  <c r="AA429"/>
  <c r="AA427"/>
  <c r="AA433"/>
  <c r="AA423"/>
  <c r="AA425"/>
  <c r="AA419"/>
  <c r="AA417"/>
  <c r="AA415"/>
  <c r="AA413"/>
  <c r="AA411"/>
  <c r="AA409"/>
  <c r="AA407"/>
  <c r="AA403"/>
  <c r="AA401"/>
  <c r="AA399"/>
  <c r="AA397"/>
  <c r="AA395"/>
  <c r="AA393"/>
  <c r="AA391"/>
  <c r="AA387"/>
  <c r="AA385"/>
  <c r="AA383"/>
  <c r="AA381"/>
  <c r="AA377"/>
  <c r="AA375"/>
  <c r="AA373"/>
  <c r="AA368"/>
  <c r="AA366"/>
  <c r="AA364"/>
  <c r="AA362"/>
  <c r="AA358"/>
  <c r="AA356"/>
  <c r="AA354"/>
  <c r="AA352"/>
  <c r="AA346"/>
  <c r="AA342"/>
  <c r="AA340"/>
  <c r="AA338"/>
  <c r="AA336"/>
  <c r="AA332"/>
  <c r="AA330"/>
  <c r="AA326"/>
  <c r="AA324"/>
  <c r="AA322"/>
  <c r="AA318"/>
  <c r="AA316"/>
  <c r="AA312"/>
  <c r="AA310"/>
  <c r="AA308"/>
  <c r="AA306"/>
  <c r="AA304"/>
  <c r="AA302"/>
  <c r="AA300"/>
  <c r="AA298"/>
  <c r="AA294"/>
  <c r="AA292"/>
  <c r="AA290"/>
  <c r="AA288"/>
  <c r="AA286"/>
  <c r="AA284"/>
  <c r="AA282"/>
  <c r="AA278"/>
  <c r="AA276"/>
  <c r="AA274"/>
  <c r="AA272"/>
  <c r="AA270"/>
  <c r="AA268"/>
  <c r="AA266"/>
  <c r="AA264"/>
  <c r="AA262"/>
  <c r="AA260"/>
  <c r="AA258"/>
  <c r="AA256"/>
  <c r="AA254"/>
  <c r="AA252"/>
  <c r="AA250"/>
  <c r="AA280"/>
  <c r="AA246"/>
  <c r="AA244"/>
  <c r="AA242"/>
  <c r="AA240"/>
  <c r="AA238"/>
  <c r="AA236"/>
  <c r="AA234"/>
  <c r="AA232"/>
  <c r="AA230"/>
  <c r="AA228"/>
  <c r="AA248"/>
  <c r="AA224"/>
  <c r="AA222"/>
  <c r="AA220"/>
  <c r="AA218"/>
  <c r="AA216"/>
  <c r="AA214"/>
  <c r="AA212"/>
  <c r="AA210"/>
  <c r="AA208"/>
  <c r="AA206"/>
  <c r="AA204"/>
  <c r="AA200"/>
  <c r="AA198"/>
  <c r="AA196"/>
  <c r="AA191"/>
  <c r="AA193"/>
  <c r="AA666"/>
  <c r="AA182"/>
  <c r="AA184"/>
  <c r="AA178"/>
  <c r="AA180"/>
  <c r="AA174"/>
  <c r="AA176"/>
  <c r="AA172"/>
  <c r="AA167"/>
  <c r="AA165"/>
  <c r="AA163"/>
  <c r="AA161"/>
  <c r="AA157"/>
  <c r="AA155"/>
  <c r="AA153"/>
  <c r="AA151"/>
  <c r="AA149"/>
  <c r="AA147"/>
  <c r="AA145"/>
  <c r="AA143"/>
  <c r="AA141"/>
  <c r="AA159"/>
  <c r="AA137"/>
  <c r="AA135"/>
  <c r="AA131"/>
  <c r="AA133"/>
  <c r="AA129"/>
  <c r="AA125"/>
  <c r="AA123"/>
  <c r="AA119"/>
  <c r="AA117"/>
  <c r="AA115"/>
  <c r="AA113"/>
  <c r="AA111"/>
  <c r="AA109"/>
  <c r="AA107"/>
  <c r="AA105"/>
  <c r="AA103"/>
  <c r="AA101"/>
  <c r="AA99"/>
  <c r="AA97"/>
  <c r="AA93"/>
  <c r="AA91"/>
  <c r="AA89"/>
  <c r="AA87"/>
  <c r="AA85"/>
  <c r="AA81"/>
  <c r="AA79"/>
  <c r="AA77"/>
  <c r="AA75"/>
  <c r="AA73"/>
  <c r="AA71"/>
  <c r="AA69"/>
  <c r="AA65"/>
  <c r="AA63"/>
  <c r="AA61"/>
  <c r="AA57"/>
  <c r="AA55"/>
  <c r="AA53"/>
  <c r="AA51"/>
  <c r="AA49"/>
  <c r="AA47"/>
  <c r="AA45"/>
  <c r="AA41"/>
  <c r="AA39"/>
  <c r="AA37"/>
  <c r="AA35"/>
  <c r="AA33"/>
  <c r="AA31"/>
  <c r="AA29"/>
  <c r="AA27"/>
  <c r="AA25"/>
  <c r="AA21"/>
  <c r="AA19"/>
  <c r="AA17"/>
  <c r="AA15"/>
  <c r="E54" i="17"/>
  <c r="F54"/>
  <c r="G54"/>
  <c r="H54"/>
  <c r="H5" i="24"/>
  <c r="H6"/>
  <c r="H7"/>
  <c r="H8"/>
  <c r="H9"/>
  <c r="H10"/>
  <c r="H11"/>
  <c r="H12"/>
  <c r="H13"/>
  <c r="H14"/>
  <c r="H15"/>
  <c r="H16"/>
  <c r="H17"/>
  <c r="N5"/>
  <c r="O5"/>
  <c r="AB188" i="21"/>
  <c r="AA188"/>
  <c r="AA127"/>
  <c r="AB11"/>
  <c r="Z188"/>
  <c r="Y188"/>
  <c r="Z11"/>
  <c r="P680"/>
  <c r="P681"/>
  <c r="O681"/>
  <c r="O680"/>
  <c r="A5" i="20"/>
  <c r="D9" i="17"/>
  <c r="P666" i="21"/>
  <c r="P662"/>
  <c r="P671"/>
  <c r="G662"/>
  <c r="N660"/>
  <c r="N658"/>
  <c r="N656"/>
  <c r="N654"/>
  <c r="N652"/>
  <c r="N650"/>
  <c r="N648"/>
  <c r="N646"/>
  <c r="N644"/>
  <c r="N642"/>
  <c r="N640"/>
  <c r="N638"/>
  <c r="N636"/>
  <c r="S636"/>
  <c r="N634"/>
  <c r="N632"/>
  <c r="N630"/>
  <c r="N628"/>
  <c r="O626"/>
  <c r="N626"/>
  <c r="N624"/>
  <c r="N622"/>
  <c r="N620"/>
  <c r="N618"/>
  <c r="N616"/>
  <c r="H615"/>
  <c r="N614"/>
  <c r="H613"/>
  <c r="N612"/>
  <c r="H611"/>
  <c r="N610"/>
  <c r="H609"/>
  <c r="N608"/>
  <c r="H607"/>
  <c r="N606"/>
  <c r="H605"/>
  <c r="N604"/>
  <c r="P602"/>
  <c r="P670"/>
  <c r="O602"/>
  <c r="O670"/>
  <c r="N600"/>
  <c r="N594"/>
  <c r="N592"/>
  <c r="N590"/>
  <c r="N588"/>
  <c r="N586"/>
  <c r="N584"/>
  <c r="N582"/>
  <c r="N580"/>
  <c r="N578"/>
  <c r="N576"/>
  <c r="N574"/>
  <c r="N572"/>
  <c r="N570"/>
  <c r="N568"/>
  <c r="N566"/>
  <c r="N564"/>
  <c r="S557"/>
  <c r="P557"/>
  <c r="P669"/>
  <c r="O557"/>
  <c r="O669"/>
  <c r="G557"/>
  <c r="AC557"/>
  <c r="AC669"/>
  <c r="N555"/>
  <c r="N557"/>
  <c r="P552"/>
  <c r="O552"/>
  <c r="G552"/>
  <c r="N550"/>
  <c r="N548"/>
  <c r="N546"/>
  <c r="N544"/>
  <c r="N542"/>
  <c r="P540"/>
  <c r="O540"/>
  <c r="G540"/>
  <c r="AC540"/>
  <c r="N538"/>
  <c r="N540"/>
  <c r="P535"/>
  <c r="O535"/>
  <c r="G535"/>
  <c r="N531"/>
  <c r="N529"/>
  <c r="X525"/>
  <c r="W525"/>
  <c r="S525"/>
  <c r="P525"/>
  <c r="O525"/>
  <c r="N525"/>
  <c r="L525"/>
  <c r="G525"/>
  <c r="AC525"/>
  <c r="P521"/>
  <c r="O521"/>
  <c r="G521"/>
  <c r="N519"/>
  <c r="N517"/>
  <c r="N515"/>
  <c r="N513"/>
  <c r="N511"/>
  <c r="N509"/>
  <c r="P507"/>
  <c r="O507"/>
  <c r="G507"/>
  <c r="N503"/>
  <c r="N499"/>
  <c r="P495"/>
  <c r="O495"/>
  <c r="G495"/>
  <c r="N493"/>
  <c r="AG493"/>
  <c r="N491"/>
  <c r="N489"/>
  <c r="N487"/>
  <c r="N485"/>
  <c r="N483"/>
  <c r="P481"/>
  <c r="O481"/>
  <c r="G481"/>
  <c r="N479"/>
  <c r="S479"/>
  <c r="N477"/>
  <c r="N475"/>
  <c r="N473"/>
  <c r="N471"/>
  <c r="AG471"/>
  <c r="V469"/>
  <c r="R469"/>
  <c r="Q469"/>
  <c r="P469"/>
  <c r="O469"/>
  <c r="G469"/>
  <c r="L468"/>
  <c r="N467"/>
  <c r="L466"/>
  <c r="N465"/>
  <c r="L464"/>
  <c r="N463"/>
  <c r="L462"/>
  <c r="N461"/>
  <c r="L460"/>
  <c r="N459"/>
  <c r="L458"/>
  <c r="N457"/>
  <c r="L456"/>
  <c r="N455"/>
  <c r="L454"/>
  <c r="N453"/>
  <c r="L452"/>
  <c r="N451"/>
  <c r="L450"/>
  <c r="N449"/>
  <c r="L448"/>
  <c r="N447"/>
  <c r="S447"/>
  <c r="P445"/>
  <c r="O445"/>
  <c r="G445"/>
  <c r="N443"/>
  <c r="N441"/>
  <c r="AD441"/>
  <c r="N439"/>
  <c r="N437"/>
  <c r="P433"/>
  <c r="O433"/>
  <c r="G433"/>
  <c r="AD431"/>
  <c r="W431"/>
  <c r="AM431"/>
  <c r="N431"/>
  <c r="N429"/>
  <c r="N427"/>
  <c r="AD425"/>
  <c r="W425"/>
  <c r="P425"/>
  <c r="O425"/>
  <c r="G425"/>
  <c r="AC425"/>
  <c r="N423"/>
  <c r="P421"/>
  <c r="O421"/>
  <c r="G421"/>
  <c r="N419"/>
  <c r="N417"/>
  <c r="N415"/>
  <c r="N413"/>
  <c r="N411"/>
  <c r="V411"/>
  <c r="N409"/>
  <c r="H408"/>
  <c r="H421"/>
  <c r="P405"/>
  <c r="O405"/>
  <c r="G405"/>
  <c r="N403"/>
  <c r="V403"/>
  <c r="N401"/>
  <c r="N399"/>
  <c r="L398"/>
  <c r="N397"/>
  <c r="V397"/>
  <c r="L396"/>
  <c r="N395"/>
  <c r="L394"/>
  <c r="N393"/>
  <c r="H392"/>
  <c r="L392"/>
  <c r="P389"/>
  <c r="O389"/>
  <c r="G389"/>
  <c r="L388"/>
  <c r="N387"/>
  <c r="L386"/>
  <c r="N385"/>
  <c r="V385"/>
  <c r="L384"/>
  <c r="N383"/>
  <c r="L382"/>
  <c r="N381"/>
  <c r="P379"/>
  <c r="O379"/>
  <c r="G379"/>
  <c r="L378"/>
  <c r="N377"/>
  <c r="L376"/>
  <c r="N375"/>
  <c r="V375"/>
  <c r="L374"/>
  <c r="P370"/>
  <c r="O370"/>
  <c r="G370"/>
  <c r="N368"/>
  <c r="N366"/>
  <c r="V366"/>
  <c r="N364"/>
  <c r="N362"/>
  <c r="AD360"/>
  <c r="W360"/>
  <c r="P360"/>
  <c r="O360"/>
  <c r="G360"/>
  <c r="L359"/>
  <c r="N358"/>
  <c r="L357"/>
  <c r="N356"/>
  <c r="L355"/>
  <c r="N354"/>
  <c r="V354"/>
  <c r="L353"/>
  <c r="N352"/>
  <c r="L351"/>
  <c r="N350"/>
  <c r="L349"/>
  <c r="N348"/>
  <c r="L347"/>
  <c r="N346"/>
  <c r="AD344"/>
  <c r="W344"/>
  <c r="P344"/>
  <c r="G344"/>
  <c r="N342"/>
  <c r="V342"/>
  <c r="N340"/>
  <c r="N338"/>
  <c r="N336"/>
  <c r="O334"/>
  <c r="AA334"/>
  <c r="N334"/>
  <c r="N332"/>
  <c r="H331"/>
  <c r="H344"/>
  <c r="P328"/>
  <c r="G328"/>
  <c r="N326"/>
  <c r="N324"/>
  <c r="N322"/>
  <c r="O320"/>
  <c r="AA320"/>
  <c r="AA328"/>
  <c r="O328"/>
  <c r="N320"/>
  <c r="N318"/>
  <c r="H317"/>
  <c r="N316"/>
  <c r="P314"/>
  <c r="O314"/>
  <c r="G314"/>
  <c r="N312"/>
  <c r="N310"/>
  <c r="N308"/>
  <c r="N306"/>
  <c r="N304"/>
  <c r="N302"/>
  <c r="V302"/>
  <c r="N300"/>
  <c r="H299"/>
  <c r="H314"/>
  <c r="P296"/>
  <c r="O296"/>
  <c r="G296"/>
  <c r="N294"/>
  <c r="N292"/>
  <c r="N290"/>
  <c r="N288"/>
  <c r="N286"/>
  <c r="N284"/>
  <c r="H283"/>
  <c r="H296"/>
  <c r="P280"/>
  <c r="O280"/>
  <c r="M280"/>
  <c r="G280"/>
  <c r="L279"/>
  <c r="N278"/>
  <c r="L277"/>
  <c r="N276"/>
  <c r="L275"/>
  <c r="N274"/>
  <c r="L273"/>
  <c r="N272"/>
  <c r="L271"/>
  <c r="N270"/>
  <c r="V270"/>
  <c r="L269"/>
  <c r="N268"/>
  <c r="L267"/>
  <c r="N266"/>
  <c r="L265"/>
  <c r="N264"/>
  <c r="L263"/>
  <c r="N262"/>
  <c r="L261"/>
  <c r="N260"/>
  <c r="L259"/>
  <c r="N258"/>
  <c r="L257"/>
  <c r="N256"/>
  <c r="L255"/>
  <c r="N254"/>
  <c r="L253"/>
  <c r="N252"/>
  <c r="H251"/>
  <c r="H280"/>
  <c r="P248"/>
  <c r="O248"/>
  <c r="G248"/>
  <c r="N246"/>
  <c r="N244"/>
  <c r="V244"/>
  <c r="N242"/>
  <c r="N240"/>
  <c r="V240"/>
  <c r="N238"/>
  <c r="N236"/>
  <c r="V236"/>
  <c r="N234"/>
  <c r="N232"/>
  <c r="N230"/>
  <c r="H229"/>
  <c r="H248"/>
  <c r="P226"/>
  <c r="O226"/>
  <c r="G226"/>
  <c r="N224"/>
  <c r="L223"/>
  <c r="N222"/>
  <c r="N220"/>
  <c r="V220"/>
  <c r="X220"/>
  <c r="N218"/>
  <c r="V218"/>
  <c r="N216"/>
  <c r="V216"/>
  <c r="X216"/>
  <c r="N214"/>
  <c r="V214"/>
  <c r="L213"/>
  <c r="N212"/>
  <c r="M211"/>
  <c r="L211"/>
  <c r="N208"/>
  <c r="N206"/>
  <c r="N204"/>
  <c r="V204"/>
  <c r="P202"/>
  <c r="P434"/>
  <c r="O202"/>
  <c r="G202"/>
  <c r="N200"/>
  <c r="N198"/>
  <c r="K197"/>
  <c r="K202"/>
  <c r="O193"/>
  <c r="O666"/>
  <c r="G193"/>
  <c r="L192"/>
  <c r="N191"/>
  <c r="AC193"/>
  <c r="AC666"/>
  <c r="X188"/>
  <c r="W188"/>
  <c r="V188"/>
  <c r="P188"/>
  <c r="O188"/>
  <c r="N188"/>
  <c r="G188"/>
  <c r="W184"/>
  <c r="P184"/>
  <c r="O184"/>
  <c r="G184"/>
  <c r="H183"/>
  <c r="H184"/>
  <c r="AC184"/>
  <c r="W180"/>
  <c r="P180"/>
  <c r="O180"/>
  <c r="G180"/>
  <c r="L179"/>
  <c r="L180"/>
  <c r="W176"/>
  <c r="P176"/>
  <c r="O176"/>
  <c r="G176"/>
  <c r="L175"/>
  <c r="N174"/>
  <c r="H173"/>
  <c r="L173"/>
  <c r="W169"/>
  <c r="U169"/>
  <c r="P169"/>
  <c r="O169"/>
  <c r="G169"/>
  <c r="L168"/>
  <c r="N167"/>
  <c r="L166"/>
  <c r="N165"/>
  <c r="L164"/>
  <c r="N163"/>
  <c r="L162"/>
  <c r="N161"/>
  <c r="N169"/>
  <c r="W159"/>
  <c r="P159"/>
  <c r="G159"/>
  <c r="I158"/>
  <c r="N157"/>
  <c r="I156"/>
  <c r="N155"/>
  <c r="V155"/>
  <c r="I154"/>
  <c r="N153"/>
  <c r="I152"/>
  <c r="N151"/>
  <c r="I150"/>
  <c r="N149"/>
  <c r="I148"/>
  <c r="N147"/>
  <c r="I146"/>
  <c r="N145"/>
  <c r="I144"/>
  <c r="N143"/>
  <c r="O143"/>
  <c r="H142"/>
  <c r="H159"/>
  <c r="W139"/>
  <c r="P139"/>
  <c r="O139"/>
  <c r="G139"/>
  <c r="N137"/>
  <c r="V137"/>
  <c r="H136"/>
  <c r="H139"/>
  <c r="W133"/>
  <c r="P133"/>
  <c r="O133"/>
  <c r="G133"/>
  <c r="N131"/>
  <c r="H130"/>
  <c r="H133"/>
  <c r="W127"/>
  <c r="P127"/>
  <c r="O127"/>
  <c r="G127"/>
  <c r="N125"/>
  <c r="AC127"/>
  <c r="N123"/>
  <c r="V123"/>
  <c r="W121"/>
  <c r="P121"/>
  <c r="AO121"/>
  <c r="O121"/>
  <c r="AN121"/>
  <c r="G121"/>
  <c r="I120"/>
  <c r="L120"/>
  <c r="L118"/>
  <c r="N117"/>
  <c r="L116"/>
  <c r="N115"/>
  <c r="L114"/>
  <c r="N113"/>
  <c r="L112"/>
  <c r="N111"/>
  <c r="L110"/>
  <c r="N109"/>
  <c r="V109"/>
  <c r="L108"/>
  <c r="N107"/>
  <c r="L106"/>
  <c r="N105"/>
  <c r="I104"/>
  <c r="N103"/>
  <c r="L104"/>
  <c r="L102"/>
  <c r="N101"/>
  <c r="L100"/>
  <c r="N99"/>
  <c r="L98"/>
  <c r="N97"/>
  <c r="H98"/>
  <c r="H121"/>
  <c r="W95"/>
  <c r="O95"/>
  <c r="G95"/>
  <c r="L94"/>
  <c r="L95"/>
  <c r="L92"/>
  <c r="N91"/>
  <c r="I90"/>
  <c r="N89"/>
  <c r="I88"/>
  <c r="N87"/>
  <c r="I86"/>
  <c r="N85"/>
  <c r="I84"/>
  <c r="N83"/>
  <c r="P83"/>
  <c r="AA83"/>
  <c r="I82"/>
  <c r="N81"/>
  <c r="I80"/>
  <c r="N79"/>
  <c r="V79"/>
  <c r="I78"/>
  <c r="N77"/>
  <c r="I76"/>
  <c r="N75"/>
  <c r="I74"/>
  <c r="N73"/>
  <c r="I72"/>
  <c r="N71"/>
  <c r="H70"/>
  <c r="I70"/>
  <c r="W67"/>
  <c r="G67"/>
  <c r="L66"/>
  <c r="N65"/>
  <c r="L64"/>
  <c r="N63"/>
  <c r="I62"/>
  <c r="N61"/>
  <c r="P59"/>
  <c r="AC59"/>
  <c r="N59"/>
  <c r="N57"/>
  <c r="N55"/>
  <c r="L54"/>
  <c r="N53"/>
  <c r="O51"/>
  <c r="N51"/>
  <c r="N49"/>
  <c r="I48"/>
  <c r="N47"/>
  <c r="I46"/>
  <c r="N45"/>
  <c r="L44"/>
  <c r="N43"/>
  <c r="P43"/>
  <c r="AC43"/>
  <c r="M42"/>
  <c r="L42"/>
  <c r="L40"/>
  <c r="N39"/>
  <c r="N37"/>
  <c r="V37"/>
  <c r="N35"/>
  <c r="L34"/>
  <c r="N33"/>
  <c r="L32"/>
  <c r="N31"/>
  <c r="V31"/>
  <c r="I30"/>
  <c r="N29"/>
  <c r="I28"/>
  <c r="N27"/>
  <c r="I26"/>
  <c r="N25"/>
  <c r="AD23"/>
  <c r="W23"/>
  <c r="S23"/>
  <c r="R23"/>
  <c r="Q23"/>
  <c r="P23"/>
  <c r="O23"/>
  <c r="M23"/>
  <c r="L23"/>
  <c r="H14"/>
  <c r="I14"/>
  <c r="I23"/>
  <c r="N11"/>
  <c r="G81" i="24"/>
  <c r="H81"/>
  <c r="I81"/>
  <c r="Q81"/>
  <c r="J81"/>
  <c r="K81"/>
  <c r="G38" i="4"/>
  <c r="I49" i="24"/>
  <c r="J45"/>
  <c r="H28"/>
  <c r="N6"/>
  <c r="N7"/>
  <c r="N8"/>
  <c r="K6"/>
  <c r="K7"/>
  <c r="K8"/>
  <c r="K9"/>
  <c r="K10"/>
  <c r="K11"/>
  <c r="L6"/>
  <c r="M5"/>
  <c r="I32" i="4"/>
  <c r="AG533" i="21"/>
  <c r="AH533"/>
  <c r="AH527"/>
  <c r="AG527"/>
  <c r="AG505"/>
  <c r="AH505"/>
  <c r="AG501"/>
  <c r="AH501"/>
  <c r="AG497"/>
  <c r="AH497"/>
  <c r="AH493"/>
  <c r="AG483"/>
  <c r="AH483"/>
  <c r="AH471"/>
  <c r="BQ59" i="23"/>
  <c r="BR59"/>
  <c r="AR664" i="22"/>
  <c r="G26" i="27"/>
  <c r="H48" i="20"/>
  <c r="CC14" i="27"/>
  <c r="CL14"/>
  <c r="CU14"/>
  <c r="DD14"/>
  <c r="BT10"/>
  <c r="BL10"/>
  <c r="BN10"/>
  <c r="BQ10"/>
  <c r="BR10"/>
  <c r="CC62"/>
  <c r="CL62"/>
  <c r="CU62"/>
  <c r="DD62"/>
  <c r="BT9"/>
  <c r="BL9"/>
  <c r="BN9"/>
  <c r="BQ9"/>
  <c r="BR9"/>
  <c r="BT18"/>
  <c r="BL18"/>
  <c r="BN18"/>
  <c r="BQ18"/>
  <c r="BR18"/>
  <c r="CC59"/>
  <c r="CL59"/>
  <c r="CU59"/>
  <c r="DD59"/>
  <c r="CC11"/>
  <c r="CL11"/>
  <c r="CU11"/>
  <c r="DD11"/>
  <c r="CC64"/>
  <c r="CL64"/>
  <c r="CU64"/>
  <c r="DD64"/>
  <c r="CC8"/>
  <c r="CL8"/>
  <c r="CU8"/>
  <c r="DD8"/>
  <c r="CC56"/>
  <c r="CL56"/>
  <c r="CU56"/>
  <c r="DD56"/>
  <c r="CC16"/>
  <c r="CL16"/>
  <c r="CU16"/>
  <c r="DD16"/>
  <c r="BT17"/>
  <c r="BL17"/>
  <c r="BN17"/>
  <c r="BQ17"/>
  <c r="BR17"/>
  <c r="BC58"/>
  <c r="BE58"/>
  <c r="BH58"/>
  <c r="BI58"/>
  <c r="BK58"/>
  <c r="G28"/>
  <c r="H50" i="20"/>
  <c r="E88" i="27"/>
  <c r="F41" i="20"/>
  <c r="E26" i="27"/>
  <c r="F48" i="20"/>
  <c r="AT61" i="27"/>
  <c r="AV61"/>
  <c r="AY61"/>
  <c r="AZ61"/>
  <c r="BB61"/>
  <c r="AS55"/>
  <c r="AK55"/>
  <c r="AM55"/>
  <c r="AP55"/>
  <c r="AQ55"/>
  <c r="AS63"/>
  <c r="AK63"/>
  <c r="AM63"/>
  <c r="AP63"/>
  <c r="AQ63"/>
  <c r="E89"/>
  <c r="F42" i="20"/>
  <c r="AT57" i="27"/>
  <c r="AV57"/>
  <c r="AY57"/>
  <c r="AZ57"/>
  <c r="BB57"/>
  <c r="BB60"/>
  <c r="AT60"/>
  <c r="AV60"/>
  <c r="AY60"/>
  <c r="AZ60"/>
  <c r="AT65"/>
  <c r="AV65"/>
  <c r="AY65"/>
  <c r="AZ65"/>
  <c r="BB65"/>
  <c r="B86"/>
  <c r="C39" i="20"/>
  <c r="M28" i="27"/>
  <c r="D27"/>
  <c r="E49" i="20"/>
  <c r="L28" i="27"/>
  <c r="AO439" i="22"/>
  <c r="N421"/>
  <c r="AH407"/>
  <c r="AD427"/>
  <c r="AP407"/>
  <c r="AI191"/>
  <c r="AS304"/>
  <c r="AQ107"/>
  <c r="AK91"/>
  <c r="AI533"/>
  <c r="AS518"/>
  <c r="V407"/>
  <c r="X407"/>
  <c r="AB407"/>
  <c r="AK286"/>
  <c r="AI165"/>
  <c r="AL57"/>
  <c r="X37"/>
  <c r="X584"/>
  <c r="Z584"/>
  <c r="AA584"/>
  <c r="AB584"/>
  <c r="AP550"/>
  <c r="AS550"/>
  <c r="AS388"/>
  <c r="AP191"/>
  <c r="AP666"/>
  <c r="X111"/>
  <c r="AB111"/>
  <c r="Y111"/>
  <c r="X586"/>
  <c r="Z586"/>
  <c r="AA586"/>
  <c r="AB586"/>
  <c r="AN497"/>
  <c r="AM570"/>
  <c r="AQ415"/>
  <c r="AL354"/>
  <c r="X294"/>
  <c r="AB294"/>
  <c r="Y294"/>
  <c r="AD290"/>
  <c r="W290"/>
  <c r="N314"/>
  <c r="AP79"/>
  <c r="AL31"/>
  <c r="AJ666"/>
  <c r="X411"/>
  <c r="AB411"/>
  <c r="Y411"/>
  <c r="Z411"/>
  <c r="X515"/>
  <c r="Z515"/>
  <c r="AA515"/>
  <c r="AB515"/>
  <c r="AH298"/>
  <c r="AE667"/>
  <c r="AS302"/>
  <c r="AJ51"/>
  <c r="AL294"/>
  <c r="X354"/>
  <c r="AN465"/>
  <c r="AK208"/>
  <c r="AP59"/>
  <c r="AS59"/>
  <c r="AO515"/>
  <c r="AP294"/>
  <c r="AS294"/>
  <c r="AJ302"/>
  <c r="AQ377"/>
  <c r="AS303"/>
  <c r="AQ165"/>
  <c r="AS165"/>
  <c r="AJ115"/>
  <c r="AP220"/>
  <c r="AS220"/>
  <c r="AK149"/>
  <c r="AJ399"/>
  <c r="X208"/>
  <c r="AP576"/>
  <c r="AS576"/>
  <c r="AL401"/>
  <c r="AD300"/>
  <c r="AD314"/>
  <c r="AK300"/>
  <c r="AS259"/>
  <c r="AK302"/>
  <c r="X149"/>
  <c r="AB149"/>
  <c r="Y149"/>
  <c r="AS366"/>
  <c r="AK290"/>
  <c r="AS104"/>
  <c r="AQ191"/>
  <c r="AQ666"/>
  <c r="AJ306"/>
  <c r="AK334"/>
  <c r="X590"/>
  <c r="Z590"/>
  <c r="AA590"/>
  <c r="AB590"/>
  <c r="AJ49"/>
  <c r="V13"/>
  <c r="X13"/>
  <c r="Z13"/>
  <c r="AB13"/>
  <c r="AJ59"/>
  <c r="X91"/>
  <c r="AQ590"/>
  <c r="AS590"/>
  <c r="AQ580"/>
  <c r="AS580"/>
  <c r="AN511"/>
  <c r="AS496"/>
  <c r="AS634"/>
  <c r="AO473"/>
  <c r="AP459"/>
  <c r="AS400"/>
  <c r="X292"/>
  <c r="AB292"/>
  <c r="Y292"/>
  <c r="Z292"/>
  <c r="AN461"/>
  <c r="AN667"/>
  <c r="X318"/>
  <c r="AB318"/>
  <c r="Y318"/>
  <c r="Z318"/>
  <c r="AS305"/>
  <c r="AJ465"/>
  <c r="X366"/>
  <c r="AB366"/>
  <c r="Y366"/>
  <c r="AJ264"/>
  <c r="AI634"/>
  <c r="AS528"/>
  <c r="AQ669"/>
  <c r="S445"/>
  <c r="AQ401"/>
  <c r="AS401"/>
  <c r="AK342"/>
  <c r="AS313"/>
  <c r="AP244"/>
  <c r="AK368"/>
  <c r="AS368"/>
  <c r="AN620"/>
  <c r="AJ218"/>
  <c r="X592"/>
  <c r="Z592"/>
  <c r="AA592"/>
  <c r="AB592"/>
  <c r="AN529"/>
  <c r="AO509"/>
  <c r="AN437"/>
  <c r="AN457"/>
  <c r="X437"/>
  <c r="Z437"/>
  <c r="AK340"/>
  <c r="X368"/>
  <c r="AB368"/>
  <c r="Y368"/>
  <c r="AJ174"/>
  <c r="AB523"/>
  <c r="AB525"/>
  <c r="X620"/>
  <c r="Z620"/>
  <c r="AA620"/>
  <c r="AB620"/>
  <c r="AS413"/>
  <c r="AI666"/>
  <c r="AK111"/>
  <c r="AJ381"/>
  <c r="AS524"/>
  <c r="X568"/>
  <c r="Z568"/>
  <c r="AA568"/>
  <c r="AB568"/>
  <c r="AS322"/>
  <c r="X304"/>
  <c r="AB304"/>
  <c r="Y304"/>
  <c r="Z304"/>
  <c r="O189"/>
  <c r="O663"/>
  <c r="AJ71"/>
  <c r="AG41"/>
  <c r="AJ252"/>
  <c r="X214"/>
  <c r="X473"/>
  <c r="Z473"/>
  <c r="AA473"/>
  <c r="AB473"/>
  <c r="AS355"/>
  <c r="AQ330"/>
  <c r="X302"/>
  <c r="AS306"/>
  <c r="AL214"/>
  <c r="AI123"/>
  <c r="AL37"/>
  <c r="AL47"/>
  <c r="V196"/>
  <c r="X196"/>
  <c r="AB196"/>
  <c r="AQ409"/>
  <c r="AS332"/>
  <c r="AK318"/>
  <c r="X310"/>
  <c r="AL240"/>
  <c r="AL403"/>
  <c r="AJ220"/>
  <c r="AK310"/>
  <c r="AK288"/>
  <c r="AJ300"/>
  <c r="X272"/>
  <c r="AB272"/>
  <c r="Y272"/>
  <c r="Z272"/>
  <c r="AM578"/>
  <c r="X588"/>
  <c r="Z588"/>
  <c r="AA588"/>
  <c r="AB588"/>
  <c r="AP572"/>
  <c r="AD429"/>
  <c r="W429"/>
  <c r="AM429"/>
  <c r="AS620"/>
  <c r="AP439"/>
  <c r="AS439"/>
  <c r="AQ417"/>
  <c r="AD286"/>
  <c r="W286"/>
  <c r="AM286"/>
  <c r="AL377"/>
  <c r="X308"/>
  <c r="AB308"/>
  <c r="Y308"/>
  <c r="Z308"/>
  <c r="AQ286"/>
  <c r="AS286"/>
  <c r="AS216"/>
  <c r="X216"/>
  <c r="AK131"/>
  <c r="AJ284"/>
  <c r="AI43"/>
  <c r="AO638"/>
  <c r="AP542"/>
  <c r="AP471"/>
  <c r="AS471"/>
  <c r="AK401"/>
  <c r="AQ427"/>
  <c r="AQ411"/>
  <c r="AS411"/>
  <c r="AS311"/>
  <c r="AK308"/>
  <c r="X284"/>
  <c r="AB284"/>
  <c r="Y284"/>
  <c r="Z284"/>
  <c r="X487"/>
  <c r="Z487"/>
  <c r="AA487"/>
  <c r="AB487"/>
  <c r="AS310"/>
  <c r="AS284"/>
  <c r="AB71"/>
  <c r="Y71"/>
  <c r="Z71"/>
  <c r="AI81"/>
  <c r="AH666"/>
  <c r="AN487"/>
  <c r="AP622"/>
  <c r="AS622"/>
  <c r="X312"/>
  <c r="AB312"/>
  <c r="Y312"/>
  <c r="AK306"/>
  <c r="AK284"/>
  <c r="AS251"/>
  <c r="AP238"/>
  <c r="AP204"/>
  <c r="AS204"/>
  <c r="AI91"/>
  <c r="AJ578"/>
  <c r="AP624"/>
  <c r="AS624"/>
  <c r="AO538"/>
  <c r="AN519"/>
  <c r="X550"/>
  <c r="Z550"/>
  <c r="AA550"/>
  <c r="AB550"/>
  <c r="AM566"/>
  <c r="V433"/>
  <c r="AL362"/>
  <c r="AD362"/>
  <c r="W362"/>
  <c r="AP326"/>
  <c r="AS326"/>
  <c r="AK304"/>
  <c r="X131"/>
  <c r="AD131"/>
  <c r="AK115"/>
  <c r="AJ322"/>
  <c r="AJ272"/>
  <c r="AL419"/>
  <c r="N67"/>
  <c r="V41"/>
  <c r="X41"/>
  <c r="X654"/>
  <c r="Z654"/>
  <c r="AA654"/>
  <c r="AB654"/>
  <c r="X519"/>
  <c r="Z519"/>
  <c r="AA519"/>
  <c r="AB519"/>
  <c r="AP568"/>
  <c r="AS568"/>
  <c r="AS545"/>
  <c r="AP515"/>
  <c r="AS510"/>
  <c r="AP501"/>
  <c r="AS501"/>
  <c r="AS460"/>
  <c r="AK429"/>
  <c r="AK260"/>
  <c r="AP377"/>
  <c r="AS377"/>
  <c r="AD260"/>
  <c r="AS312"/>
  <c r="X153"/>
  <c r="AB153"/>
  <c r="Y153"/>
  <c r="Z153"/>
  <c r="X115"/>
  <c r="AK153"/>
  <c r="AS272"/>
  <c r="AS79"/>
  <c r="X47"/>
  <c r="AB47"/>
  <c r="Y47"/>
  <c r="Z47"/>
  <c r="AQ41"/>
  <c r="AO550"/>
  <c r="AN503"/>
  <c r="AJ413"/>
  <c r="AJ312"/>
  <c r="AN538"/>
  <c r="AC189"/>
  <c r="AC665"/>
  <c r="N469"/>
  <c r="N553"/>
  <c r="AH447"/>
  <c r="X465"/>
  <c r="Z465"/>
  <c r="AA465"/>
  <c r="AB465"/>
  <c r="AQ461"/>
  <c r="AG447"/>
  <c r="X439"/>
  <c r="AP364"/>
  <c r="AS364"/>
  <c r="AS309"/>
  <c r="AS285"/>
  <c r="AK264"/>
  <c r="AS185"/>
  <c r="AJ79"/>
  <c r="AD51"/>
  <c r="AJ318"/>
  <c r="AS319"/>
  <c r="AN542"/>
  <c r="AS533"/>
  <c r="AD447"/>
  <c r="W447"/>
  <c r="X443"/>
  <c r="Z443"/>
  <c r="AA443"/>
  <c r="AB443"/>
  <c r="AI473"/>
  <c r="S495"/>
  <c r="X636"/>
  <c r="Z636"/>
  <c r="AA636"/>
  <c r="AB636"/>
  <c r="AL79"/>
  <c r="AK79"/>
  <c r="AP636"/>
  <c r="AS636"/>
  <c r="AQ588"/>
  <c r="AS588"/>
  <c r="X548"/>
  <c r="Z548"/>
  <c r="AA548"/>
  <c r="AB548"/>
  <c r="AO491"/>
  <c r="X336"/>
  <c r="AB336"/>
  <c r="Y336"/>
  <c r="Z336"/>
  <c r="AK272"/>
  <c r="AQ260"/>
  <c r="AS260"/>
  <c r="AP246"/>
  <c r="AP174"/>
  <c r="AS174"/>
  <c r="AS175"/>
  <c r="AP75"/>
  <c r="AJ57"/>
  <c r="AL27"/>
  <c r="AQ149"/>
  <c r="X79"/>
  <c r="X529"/>
  <c r="Z529"/>
  <c r="AA529"/>
  <c r="AB529"/>
  <c r="AS605"/>
  <c r="AJ669"/>
  <c r="AP566"/>
  <c r="AS566"/>
  <c r="S552"/>
  <c r="X533"/>
  <c r="Z533"/>
  <c r="AA533"/>
  <c r="AB533"/>
  <c r="AN491"/>
  <c r="AM574"/>
  <c r="AQ419"/>
  <c r="AS419"/>
  <c r="AK413"/>
  <c r="X457"/>
  <c r="Z457"/>
  <c r="AA457"/>
  <c r="AB457"/>
  <c r="X467"/>
  <c r="Z467"/>
  <c r="AA467"/>
  <c r="AB467"/>
  <c r="AK336"/>
  <c r="X455"/>
  <c r="Z455"/>
  <c r="AA455"/>
  <c r="AB455"/>
  <c r="V282"/>
  <c r="AD282"/>
  <c r="AS194"/>
  <c r="AI210"/>
  <c r="AK157"/>
  <c r="AD109"/>
  <c r="X55"/>
  <c r="AB55"/>
  <c r="Y55"/>
  <c r="Z55"/>
  <c r="AJ429"/>
  <c r="AO533"/>
  <c r="X31"/>
  <c r="AL332"/>
  <c r="X332"/>
  <c r="X606"/>
  <c r="Z606"/>
  <c r="AA606"/>
  <c r="AB606"/>
  <c r="AD413"/>
  <c r="W413"/>
  <c r="X475"/>
  <c r="Z475"/>
  <c r="AA475"/>
  <c r="AB475"/>
  <c r="AQ475"/>
  <c r="X419"/>
  <c r="AB419"/>
  <c r="Y419"/>
  <c r="Z419"/>
  <c r="AJ441"/>
  <c r="AS398"/>
  <c r="N391"/>
  <c r="V391"/>
  <c r="X338"/>
  <c r="AB338"/>
  <c r="Y338"/>
  <c r="Z338"/>
  <c r="AS347"/>
  <c r="AG282"/>
  <c r="AI282"/>
  <c r="AD377"/>
  <c r="W377"/>
  <c r="AK338"/>
  <c r="X306"/>
  <c r="AB306"/>
  <c r="Y306"/>
  <c r="AH282"/>
  <c r="AJ282"/>
  <c r="X264"/>
  <c r="AB264"/>
  <c r="Y264"/>
  <c r="Z264"/>
  <c r="AL216"/>
  <c r="AS203"/>
  <c r="X157"/>
  <c r="AB157"/>
  <c r="Y157"/>
  <c r="AQ81"/>
  <c r="AS81"/>
  <c r="AI55"/>
  <c r="AI443"/>
  <c r="AJ304"/>
  <c r="V370"/>
  <c r="AB326"/>
  <c r="Y326"/>
  <c r="Z326"/>
  <c r="AK75"/>
  <c r="AL75"/>
  <c r="AO544"/>
  <c r="AN544"/>
  <c r="AQ364"/>
  <c r="AJ364"/>
  <c r="AG178"/>
  <c r="V178"/>
  <c r="AH178"/>
  <c r="AL163"/>
  <c r="AK163"/>
  <c r="AK174"/>
  <c r="AL174"/>
  <c r="AQ582"/>
  <c r="AS582"/>
  <c r="X546"/>
  <c r="Z546"/>
  <c r="AA546"/>
  <c r="AB546"/>
  <c r="X503"/>
  <c r="Z503"/>
  <c r="AA503"/>
  <c r="AB503"/>
  <c r="AS487"/>
  <c r="AL431"/>
  <c r="AM572"/>
  <c r="AD602"/>
  <c r="AD670"/>
  <c r="X431"/>
  <c r="X330"/>
  <c r="AB330"/>
  <c r="AJ368"/>
  <c r="AS307"/>
  <c r="AS289"/>
  <c r="AP240"/>
  <c r="AP236"/>
  <c r="AL191"/>
  <c r="AL666"/>
  <c r="AH196"/>
  <c r="AJ196"/>
  <c r="AK145"/>
  <c r="AQ153"/>
  <c r="X77"/>
  <c r="AB77"/>
  <c r="Y77"/>
  <c r="AD49"/>
  <c r="AI196"/>
  <c r="AD445"/>
  <c r="AK43"/>
  <c r="AL43"/>
  <c r="N248"/>
  <c r="AH228"/>
  <c r="V228"/>
  <c r="V248"/>
  <c r="AK204"/>
  <c r="AL204"/>
  <c r="X638"/>
  <c r="Z638"/>
  <c r="AA638"/>
  <c r="AB638"/>
  <c r="AP574"/>
  <c r="AS574"/>
  <c r="AO527"/>
  <c r="AQ403"/>
  <c r="AS403"/>
  <c r="X399"/>
  <c r="AB399"/>
  <c r="Y399"/>
  <c r="AI340"/>
  <c r="AI336"/>
  <c r="AQ290"/>
  <c r="AS290"/>
  <c r="AP260"/>
  <c r="X145"/>
  <c r="AD145"/>
  <c r="AK55"/>
  <c r="AL77"/>
  <c r="AB51"/>
  <c r="Y51"/>
  <c r="Z51"/>
  <c r="AD174"/>
  <c r="AL326"/>
  <c r="AK326"/>
  <c r="AI417"/>
  <c r="AP417"/>
  <c r="AS417"/>
  <c r="AO517"/>
  <c r="AN517"/>
  <c r="AN501"/>
  <c r="AO501"/>
  <c r="AH135"/>
  <c r="N139"/>
  <c r="V135"/>
  <c r="X135"/>
  <c r="AK35"/>
  <c r="X35"/>
  <c r="AO489"/>
  <c r="AN489"/>
  <c r="AI409"/>
  <c r="AP409"/>
  <c r="AS409"/>
  <c r="AN443"/>
  <c r="AO443"/>
  <c r="AG161"/>
  <c r="AH161"/>
  <c r="V161"/>
  <c r="AL125"/>
  <c r="AK125"/>
  <c r="X125"/>
  <c r="AH119"/>
  <c r="V119"/>
  <c r="X618"/>
  <c r="Z618"/>
  <c r="AA618"/>
  <c r="AB618"/>
  <c r="X614"/>
  <c r="Z614"/>
  <c r="AA614"/>
  <c r="AB614"/>
  <c r="X491"/>
  <c r="Z491"/>
  <c r="AA491"/>
  <c r="AB491"/>
  <c r="AQ600"/>
  <c r="AS600"/>
  <c r="AS482"/>
  <c r="AN449"/>
  <c r="AS490"/>
  <c r="X501"/>
  <c r="Z501"/>
  <c r="AA501"/>
  <c r="AB501"/>
  <c r="AJ457"/>
  <c r="AK399"/>
  <c r="AK381"/>
  <c r="V344"/>
  <c r="AL330"/>
  <c r="X451"/>
  <c r="Z451"/>
  <c r="AA451"/>
  <c r="AB451"/>
  <c r="AS283"/>
  <c r="AK210"/>
  <c r="N202"/>
  <c r="N172"/>
  <c r="AG172"/>
  <c r="V193"/>
  <c r="AA344"/>
  <c r="AP218"/>
  <c r="AS218"/>
  <c r="X210"/>
  <c r="AP125"/>
  <c r="AS125"/>
  <c r="AQ101"/>
  <c r="X75"/>
  <c r="AD75"/>
  <c r="L121"/>
  <c r="AL35"/>
  <c r="X27"/>
  <c r="X43"/>
  <c r="AB383"/>
  <c r="Y383"/>
  <c r="Z383"/>
  <c r="AG103"/>
  <c r="Z483"/>
  <c r="AB270"/>
  <c r="Y270"/>
  <c r="Z270"/>
  <c r="X425"/>
  <c r="AB274"/>
  <c r="Y274"/>
  <c r="Z274"/>
  <c r="AB117"/>
  <c r="Y117"/>
  <c r="Z117"/>
  <c r="AD117"/>
  <c r="AD53"/>
  <c r="AB53"/>
  <c r="Y53"/>
  <c r="Z53"/>
  <c r="AD123"/>
  <c r="AD248"/>
  <c r="AB232"/>
  <c r="Y232"/>
  <c r="Z232"/>
  <c r="AB109"/>
  <c r="Y109"/>
  <c r="Z109"/>
  <c r="AP660"/>
  <c r="AS660"/>
  <c r="AI660"/>
  <c r="AP652"/>
  <c r="AS652"/>
  <c r="AI652"/>
  <c r="AP638"/>
  <c r="AS638"/>
  <c r="AI638"/>
  <c r="AD540"/>
  <c r="W538"/>
  <c r="AQ505"/>
  <c r="AS505"/>
  <c r="AJ505"/>
  <c r="AD507"/>
  <c r="W497"/>
  <c r="AD662"/>
  <c r="AD671"/>
  <c r="W604"/>
  <c r="AM594"/>
  <c r="Z594"/>
  <c r="AA594"/>
  <c r="AB594"/>
  <c r="AN548"/>
  <c r="AO548"/>
  <c r="AP544"/>
  <c r="AS544"/>
  <c r="AI544"/>
  <c r="AP503"/>
  <c r="AS503"/>
  <c r="AI503"/>
  <c r="AJ610"/>
  <c r="AQ610"/>
  <c r="AQ608"/>
  <c r="AJ608"/>
  <c r="AQ463"/>
  <c r="AJ463"/>
  <c r="AQ453"/>
  <c r="AJ453"/>
  <c r="AP461"/>
  <c r="AI461"/>
  <c r="AI485"/>
  <c r="AP485"/>
  <c r="AI441"/>
  <c r="AP441"/>
  <c r="AS441"/>
  <c r="AP427"/>
  <c r="AS427"/>
  <c r="AI427"/>
  <c r="AQ393"/>
  <c r="AS393"/>
  <c r="AJ393"/>
  <c r="AN493"/>
  <c r="AO493"/>
  <c r="AI449"/>
  <c r="AP449"/>
  <c r="W427"/>
  <c r="W401"/>
  <c r="AI463"/>
  <c r="AP463"/>
  <c r="AP381"/>
  <c r="AS381"/>
  <c r="AI381"/>
  <c r="AM564"/>
  <c r="AP457"/>
  <c r="AS457"/>
  <c r="AI457"/>
  <c r="AP320"/>
  <c r="AS320"/>
  <c r="AI320"/>
  <c r="AN467"/>
  <c r="AO467"/>
  <c r="AQ274"/>
  <c r="AJ274"/>
  <c r="AI455"/>
  <c r="AP455"/>
  <c r="AI451"/>
  <c r="AP451"/>
  <c r="AP395"/>
  <c r="AI395"/>
  <c r="AP385"/>
  <c r="AI385"/>
  <c r="AI234"/>
  <c r="AP234"/>
  <c r="AK266"/>
  <c r="AL266"/>
  <c r="V250"/>
  <c r="X250"/>
  <c r="N280"/>
  <c r="AG250"/>
  <c r="AH250"/>
  <c r="AQ244"/>
  <c r="AS244"/>
  <c r="AJ244"/>
  <c r="AQ240"/>
  <c r="AJ240"/>
  <c r="AQ236"/>
  <c r="AJ236"/>
  <c r="AQ397"/>
  <c r="AJ397"/>
  <c r="AI387"/>
  <c r="AP387"/>
  <c r="N360"/>
  <c r="AG346"/>
  <c r="V346"/>
  <c r="X346"/>
  <c r="AH346"/>
  <c r="AJ212"/>
  <c r="AQ212"/>
  <c r="AS212"/>
  <c r="AK278"/>
  <c r="AL278"/>
  <c r="AK262"/>
  <c r="AL262"/>
  <c r="AK256"/>
  <c r="AL256"/>
  <c r="AJ198"/>
  <c r="AQ198"/>
  <c r="AP356"/>
  <c r="AI356"/>
  <c r="AJ230"/>
  <c r="AQ230"/>
  <c r="AD149"/>
  <c r="Z149"/>
  <c r="AJ137"/>
  <c r="AQ137"/>
  <c r="AS137"/>
  <c r="AG129"/>
  <c r="AH129"/>
  <c r="N133"/>
  <c r="V129"/>
  <c r="AJ352"/>
  <c r="AQ352"/>
  <c r="AQ316"/>
  <c r="AJ316"/>
  <c r="V328"/>
  <c r="AK316"/>
  <c r="AL316"/>
  <c r="AK276"/>
  <c r="AL276"/>
  <c r="AK268"/>
  <c r="AL268"/>
  <c r="AK258"/>
  <c r="AL258"/>
  <c r="AB212"/>
  <c r="Y212"/>
  <c r="Z212"/>
  <c r="N184"/>
  <c r="AG182"/>
  <c r="V182"/>
  <c r="AH182"/>
  <c r="AP157"/>
  <c r="AS157"/>
  <c r="AI157"/>
  <c r="AP153"/>
  <c r="AI153"/>
  <c r="AP149"/>
  <c r="AI149"/>
  <c r="AP145"/>
  <c r="AS145"/>
  <c r="AI145"/>
  <c r="AK143"/>
  <c r="AL143"/>
  <c r="AP135"/>
  <c r="AI135"/>
  <c r="AP119"/>
  <c r="AP115"/>
  <c r="AS115"/>
  <c r="AI115"/>
  <c r="AP107"/>
  <c r="AS107"/>
  <c r="AI107"/>
  <c r="AQ348"/>
  <c r="AJ348"/>
  <c r="AB246"/>
  <c r="Y246"/>
  <c r="Z246"/>
  <c r="AJ224"/>
  <c r="AQ224"/>
  <c r="AS224"/>
  <c r="AJ200"/>
  <c r="AQ200"/>
  <c r="AS200"/>
  <c r="AJ93"/>
  <c r="AQ93"/>
  <c r="AS93"/>
  <c r="AJ85"/>
  <c r="AQ85"/>
  <c r="AS85"/>
  <c r="AJ155"/>
  <c r="AQ155"/>
  <c r="AJ147"/>
  <c r="AQ147"/>
  <c r="AJ113"/>
  <c r="AQ113"/>
  <c r="AS113"/>
  <c r="AL65"/>
  <c r="AK65"/>
  <c r="X65"/>
  <c r="AJ33"/>
  <c r="AQ33"/>
  <c r="AS33"/>
  <c r="AJ25"/>
  <c r="AQ25"/>
  <c r="AJ151"/>
  <c r="AQ151"/>
  <c r="AK93"/>
  <c r="AL93"/>
  <c r="AK85"/>
  <c r="AL85"/>
  <c r="AI49"/>
  <c r="AP49"/>
  <c r="AS49"/>
  <c r="AD45"/>
  <c r="AB45"/>
  <c r="Y45"/>
  <c r="Z45"/>
  <c r="AK39"/>
  <c r="AL39"/>
  <c r="AK29"/>
  <c r="AL29"/>
  <c r="AI45"/>
  <c r="AP45"/>
  <c r="AL63"/>
  <c r="AK63"/>
  <c r="X650"/>
  <c r="Z650"/>
  <c r="AA650"/>
  <c r="AB650"/>
  <c r="X646"/>
  <c r="Z646"/>
  <c r="AA646"/>
  <c r="AB646"/>
  <c r="X642"/>
  <c r="Z642"/>
  <c r="AA642"/>
  <c r="AB642"/>
  <c r="X626"/>
  <c r="Z626"/>
  <c r="AA626"/>
  <c r="AB626"/>
  <c r="AS570"/>
  <c r="AS515"/>
  <c r="AS474"/>
  <c r="AB417"/>
  <c r="Y417"/>
  <c r="Z417"/>
  <c r="AS431"/>
  <c r="Z312"/>
  <c r="Z368"/>
  <c r="AS183"/>
  <c r="X39"/>
  <c r="N69"/>
  <c r="AO632"/>
  <c r="AN632"/>
  <c r="AP658"/>
  <c r="AS658"/>
  <c r="AI658"/>
  <c r="AP650"/>
  <c r="AS650"/>
  <c r="AI650"/>
  <c r="AP648"/>
  <c r="AS648"/>
  <c r="AI648"/>
  <c r="AP646"/>
  <c r="AS646"/>
  <c r="AI646"/>
  <c r="AP644"/>
  <c r="AS644"/>
  <c r="AI644"/>
  <c r="AP642"/>
  <c r="AS642"/>
  <c r="AI642"/>
  <c r="AP640"/>
  <c r="AS640"/>
  <c r="AI640"/>
  <c r="AN618"/>
  <c r="AO618"/>
  <c r="AQ519"/>
  <c r="AS519"/>
  <c r="AJ519"/>
  <c r="AQ497"/>
  <c r="AS497"/>
  <c r="AJ497"/>
  <c r="AQ612"/>
  <c r="AJ612"/>
  <c r="AJ594"/>
  <c r="AQ594"/>
  <c r="AS594"/>
  <c r="AJ548"/>
  <c r="AQ548"/>
  <c r="AS548"/>
  <c r="AJ513"/>
  <c r="AQ513"/>
  <c r="AS513"/>
  <c r="AP606"/>
  <c r="AI606"/>
  <c r="AD557"/>
  <c r="AD669"/>
  <c r="W555"/>
  <c r="AD552"/>
  <c r="W542"/>
  <c r="AP527"/>
  <c r="AS527"/>
  <c r="AI527"/>
  <c r="AN499"/>
  <c r="AO499"/>
  <c r="AP489"/>
  <c r="AS489"/>
  <c r="AI489"/>
  <c r="AJ447"/>
  <c r="AJ477"/>
  <c r="AQ477"/>
  <c r="S481"/>
  <c r="AO471"/>
  <c r="AN471"/>
  <c r="AI453"/>
  <c r="AP453"/>
  <c r="AJ483"/>
  <c r="AQ483"/>
  <c r="AQ459"/>
  <c r="AS459"/>
  <c r="AJ459"/>
  <c r="AP334"/>
  <c r="AS334"/>
  <c r="AI334"/>
  <c r="AM288"/>
  <c r="X288"/>
  <c r="AI467"/>
  <c r="AP467"/>
  <c r="AB342"/>
  <c r="Y342"/>
  <c r="Z342"/>
  <c r="AD328"/>
  <c r="W322"/>
  <c r="AQ254"/>
  <c r="AS254"/>
  <c r="AJ254"/>
  <c r="AQ455"/>
  <c r="AJ455"/>
  <c r="AQ451"/>
  <c r="AJ451"/>
  <c r="AJ358"/>
  <c r="AQ358"/>
  <c r="AK320"/>
  <c r="X320"/>
  <c r="AB320"/>
  <c r="Y320"/>
  <c r="AL320"/>
  <c r="AK274"/>
  <c r="AL274"/>
  <c r="AK254"/>
  <c r="AL254"/>
  <c r="AP228"/>
  <c r="AI228"/>
  <c r="AK397"/>
  <c r="AL397"/>
  <c r="AB387"/>
  <c r="Y387"/>
  <c r="Z387"/>
  <c r="AL375"/>
  <c r="X375"/>
  <c r="AK375"/>
  <c r="AI350"/>
  <c r="AP350"/>
  <c r="AD165"/>
  <c r="AI278"/>
  <c r="AP278"/>
  <c r="AQ270"/>
  <c r="AJ270"/>
  <c r="AI262"/>
  <c r="AP262"/>
  <c r="AP256"/>
  <c r="AI256"/>
  <c r="AP143"/>
  <c r="AI143"/>
  <c r="AL356"/>
  <c r="AK356"/>
  <c r="AK230"/>
  <c r="AL230"/>
  <c r="N159"/>
  <c r="AG141"/>
  <c r="AH141"/>
  <c r="V141"/>
  <c r="AL352"/>
  <c r="AK352"/>
  <c r="AI316"/>
  <c r="AP316"/>
  <c r="AP276"/>
  <c r="AI276"/>
  <c r="AP268"/>
  <c r="AS268"/>
  <c r="AI268"/>
  <c r="AI258"/>
  <c r="AP258"/>
  <c r="AJ232"/>
  <c r="AQ232"/>
  <c r="AI212"/>
  <c r="AP212"/>
  <c r="AD226"/>
  <c r="W204"/>
  <c r="AD163"/>
  <c r="AB143"/>
  <c r="Y143"/>
  <c r="AA159"/>
  <c r="AP348"/>
  <c r="AS348"/>
  <c r="AI348"/>
  <c r="AB238"/>
  <c r="Y238"/>
  <c r="Z238"/>
  <c r="AL224"/>
  <c r="AK224"/>
  <c r="AL200"/>
  <c r="X200"/>
  <c r="AK200"/>
  <c r="AL83"/>
  <c r="AK83"/>
  <c r="AK155"/>
  <c r="AL155"/>
  <c r="AK147"/>
  <c r="AL147"/>
  <c r="AL113"/>
  <c r="AK113"/>
  <c r="AB105"/>
  <c r="Y105"/>
  <c r="Z105"/>
  <c r="AD105"/>
  <c r="AB137"/>
  <c r="Y137"/>
  <c r="Z137"/>
  <c r="AD137"/>
  <c r="AL99"/>
  <c r="AK99"/>
  <c r="X99"/>
  <c r="AK81"/>
  <c r="AL81"/>
  <c r="X81"/>
  <c r="AP65"/>
  <c r="AS65"/>
  <c r="AI65"/>
  <c r="AL61"/>
  <c r="AK61"/>
  <c r="X61"/>
  <c r="AD59"/>
  <c r="AQ45"/>
  <c r="AJ45"/>
  <c r="AK151"/>
  <c r="AL151"/>
  <c r="AP117"/>
  <c r="AI117"/>
  <c r="AQ75"/>
  <c r="AJ75"/>
  <c r="AI71"/>
  <c r="AP71"/>
  <c r="AS71"/>
  <c r="AP51"/>
  <c r="AS51"/>
  <c r="AI51"/>
  <c r="AP41"/>
  <c r="AS41"/>
  <c r="AI41"/>
  <c r="AP31"/>
  <c r="AS31"/>
  <c r="AI31"/>
  <c r="AB33"/>
  <c r="Y33"/>
  <c r="Z33"/>
  <c r="AD33"/>
  <c r="AB29"/>
  <c r="Y29"/>
  <c r="Z29"/>
  <c r="AB25"/>
  <c r="AD25"/>
  <c r="AJ109"/>
  <c r="AQ109"/>
  <c r="AP53"/>
  <c r="AI53"/>
  <c r="AJ63"/>
  <c r="AQ63"/>
  <c r="AD495"/>
  <c r="AR676"/>
  <c r="AB131"/>
  <c r="Y131"/>
  <c r="Z131"/>
  <c r="AQ632"/>
  <c r="AS632"/>
  <c r="AJ632"/>
  <c r="AP656"/>
  <c r="AS656"/>
  <c r="AI656"/>
  <c r="AP626"/>
  <c r="AS626"/>
  <c r="AI626"/>
  <c r="AP614"/>
  <c r="AS614"/>
  <c r="AI614"/>
  <c r="AD535"/>
  <c r="W527"/>
  <c r="AD521"/>
  <c r="W509"/>
  <c r="AQ511"/>
  <c r="AS511"/>
  <c r="AJ511"/>
  <c r="AJ499"/>
  <c r="AQ499"/>
  <c r="AS499"/>
  <c r="AJ592"/>
  <c r="AQ592"/>
  <c r="AS592"/>
  <c r="AP538"/>
  <c r="AS538"/>
  <c r="AI538"/>
  <c r="AN531"/>
  <c r="AO531"/>
  <c r="AP517"/>
  <c r="AS517"/>
  <c r="AI517"/>
  <c r="AP509"/>
  <c r="AS509"/>
  <c r="AI509"/>
  <c r="AP610"/>
  <c r="AI610"/>
  <c r="AP608"/>
  <c r="AI608"/>
  <c r="W495"/>
  <c r="AM483"/>
  <c r="AP475"/>
  <c r="AI475"/>
  <c r="AI493"/>
  <c r="AP493"/>
  <c r="AS493"/>
  <c r="AP477"/>
  <c r="AI477"/>
  <c r="AI465"/>
  <c r="AP465"/>
  <c r="AS465"/>
  <c r="AI437"/>
  <c r="AP437"/>
  <c r="AS437"/>
  <c r="AD481"/>
  <c r="W471"/>
  <c r="X471"/>
  <c r="W445"/>
  <c r="AM437"/>
  <c r="V421"/>
  <c r="AK407"/>
  <c r="AL407"/>
  <c r="AK393"/>
  <c r="AL393"/>
  <c r="AK383"/>
  <c r="AL383"/>
  <c r="V389"/>
  <c r="AB298"/>
  <c r="AQ467"/>
  <c r="AJ467"/>
  <c r="AQ362"/>
  <c r="AS362"/>
  <c r="AJ362"/>
  <c r="AP330"/>
  <c r="AI330"/>
  <c r="AI324"/>
  <c r="AP324"/>
  <c r="AJ395"/>
  <c r="AQ395"/>
  <c r="AJ385"/>
  <c r="AQ385"/>
  <c r="AQ324"/>
  <c r="AJ324"/>
  <c r="AB340"/>
  <c r="Y340"/>
  <c r="Z340"/>
  <c r="AK298"/>
  <c r="AL298"/>
  <c r="V314"/>
  <c r="AQ246"/>
  <c r="AS246"/>
  <c r="AJ246"/>
  <c r="AQ242"/>
  <c r="AS242"/>
  <c r="AJ242"/>
  <c r="AQ238"/>
  <c r="AS238"/>
  <c r="AJ238"/>
  <c r="AK234"/>
  <c r="AL234"/>
  <c r="AI397"/>
  <c r="AP397"/>
  <c r="AQ387"/>
  <c r="AJ387"/>
  <c r="AQ375"/>
  <c r="AJ375"/>
  <c r="AB278"/>
  <c r="Y278"/>
  <c r="Z278"/>
  <c r="AK270"/>
  <c r="AL270"/>
  <c r="AB262"/>
  <c r="Y262"/>
  <c r="Z262"/>
  <c r="AB244"/>
  <c r="Y244"/>
  <c r="Z244"/>
  <c r="AP230"/>
  <c r="AS230"/>
  <c r="AI230"/>
  <c r="AJ206"/>
  <c r="AQ206"/>
  <c r="AS206"/>
  <c r="AJ143"/>
  <c r="AQ143"/>
  <c r="AP352"/>
  <c r="AI352"/>
  <c r="AB316"/>
  <c r="AB258"/>
  <c r="Y258"/>
  <c r="Z258"/>
  <c r="AK232"/>
  <c r="AL232"/>
  <c r="AP111"/>
  <c r="AS111"/>
  <c r="AI111"/>
  <c r="AL348"/>
  <c r="AK348"/>
  <c r="AI222"/>
  <c r="AP222"/>
  <c r="AI105"/>
  <c r="AP105"/>
  <c r="AS105"/>
  <c r="AJ89"/>
  <c r="AQ89"/>
  <c r="AS89"/>
  <c r="AP83"/>
  <c r="AS83"/>
  <c r="AI83"/>
  <c r="AD73"/>
  <c r="AK105"/>
  <c r="AL105"/>
  <c r="AP99"/>
  <c r="AS99"/>
  <c r="AI99"/>
  <c r="AP61"/>
  <c r="AS61"/>
  <c r="AI61"/>
  <c r="AD47"/>
  <c r="AD89"/>
  <c r="AJ39"/>
  <c r="AQ39"/>
  <c r="AS39"/>
  <c r="AQ29"/>
  <c r="AS29"/>
  <c r="AJ29"/>
  <c r="AJ117"/>
  <c r="AQ117"/>
  <c r="AK89"/>
  <c r="AL89"/>
  <c r="AD77"/>
  <c r="AK73"/>
  <c r="AL73"/>
  <c r="AK33"/>
  <c r="AL33"/>
  <c r="AK25"/>
  <c r="AL25"/>
  <c r="AP37"/>
  <c r="AS37"/>
  <c r="AI37"/>
  <c r="AL109"/>
  <c r="AK109"/>
  <c r="AK53"/>
  <c r="AL53"/>
  <c r="X630"/>
  <c r="Z630"/>
  <c r="AA630"/>
  <c r="AB630"/>
  <c r="X628"/>
  <c r="Z628"/>
  <c r="AA628"/>
  <c r="AB628"/>
  <c r="AG671"/>
  <c r="AS572"/>
  <c r="AS564"/>
  <c r="AS555"/>
  <c r="AS669"/>
  <c r="AS542"/>
  <c r="X479"/>
  <c r="Z479"/>
  <c r="AA479"/>
  <c r="AB479"/>
  <c r="X453"/>
  <c r="Z453"/>
  <c r="AA453"/>
  <c r="AB453"/>
  <c r="X485"/>
  <c r="Z485"/>
  <c r="AA485"/>
  <c r="AB485"/>
  <c r="X254"/>
  <c r="AB385"/>
  <c r="Y385"/>
  <c r="Z385"/>
  <c r="Z366"/>
  <c r="AB165"/>
  <c r="Y165"/>
  <c r="Z165"/>
  <c r="AS274"/>
  <c r="Z256"/>
  <c r="X356"/>
  <c r="AS177"/>
  <c r="AA328"/>
  <c r="AA434"/>
  <c r="AA667"/>
  <c r="AA683"/>
  <c r="AB276"/>
  <c r="Y276"/>
  <c r="Z276"/>
  <c r="X224"/>
  <c r="AD113"/>
  <c r="X155"/>
  <c r="X147"/>
  <c r="X83"/>
  <c r="AS80"/>
  <c r="X151"/>
  <c r="AS109"/>
  <c r="AB73"/>
  <c r="Y73"/>
  <c r="Z73"/>
  <c r="X63"/>
  <c r="AQ616"/>
  <c r="AS616"/>
  <c r="AJ616"/>
  <c r="AJ618"/>
  <c r="AQ618"/>
  <c r="AS618"/>
  <c r="AP654"/>
  <c r="AS654"/>
  <c r="AI654"/>
  <c r="AN634"/>
  <c r="AN671"/>
  <c r="AO634"/>
  <c r="X634"/>
  <c r="Z634"/>
  <c r="AA634"/>
  <c r="AB634"/>
  <c r="AP630"/>
  <c r="AS630"/>
  <c r="AI630"/>
  <c r="AP628"/>
  <c r="AS628"/>
  <c r="AI628"/>
  <c r="AQ546"/>
  <c r="AS546"/>
  <c r="AJ546"/>
  <c r="AQ529"/>
  <c r="AS529"/>
  <c r="AJ529"/>
  <c r="AJ491"/>
  <c r="AQ491"/>
  <c r="AS491"/>
  <c r="AI612"/>
  <c r="AP612"/>
  <c r="AJ586"/>
  <c r="AQ586"/>
  <c r="AS586"/>
  <c r="AJ531"/>
  <c r="AQ531"/>
  <c r="AS531"/>
  <c r="AQ606"/>
  <c r="AJ606"/>
  <c r="AJ584"/>
  <c r="AQ584"/>
  <c r="AS584"/>
  <c r="AN513"/>
  <c r="AO513"/>
  <c r="AQ604"/>
  <c r="AS604"/>
  <c r="AH671"/>
  <c r="AJ604"/>
  <c r="AJ479"/>
  <c r="AQ479"/>
  <c r="W381"/>
  <c r="AD389"/>
  <c r="AQ423"/>
  <c r="AS423"/>
  <c r="AJ423"/>
  <c r="AQ407"/>
  <c r="AJ407"/>
  <c r="AQ383"/>
  <c r="AS383"/>
  <c r="AJ383"/>
  <c r="AJ485"/>
  <c r="AQ485"/>
  <c r="AI479"/>
  <c r="AP479"/>
  <c r="AK423"/>
  <c r="AL423"/>
  <c r="V425"/>
  <c r="V373"/>
  <c r="X373"/>
  <c r="AG373"/>
  <c r="N379"/>
  <c r="AH373"/>
  <c r="AP483"/>
  <c r="AI483"/>
  <c r="AB266"/>
  <c r="Y266"/>
  <c r="Z266"/>
  <c r="AQ298"/>
  <c r="AS298"/>
  <c r="AJ298"/>
  <c r="AQ266"/>
  <c r="AS266"/>
  <c r="AJ266"/>
  <c r="AN455"/>
  <c r="AO455"/>
  <c r="AN451"/>
  <c r="AO451"/>
  <c r="AK395"/>
  <c r="AL395"/>
  <c r="AK385"/>
  <c r="AL385"/>
  <c r="AP282"/>
  <c r="AJ350"/>
  <c r="AQ350"/>
  <c r="AK324"/>
  <c r="AL324"/>
  <c r="AQ234"/>
  <c r="AJ234"/>
  <c r="AK387"/>
  <c r="AL387"/>
  <c r="AI358"/>
  <c r="AP358"/>
  <c r="AP198"/>
  <c r="AI198"/>
  <c r="AQ278"/>
  <c r="AJ278"/>
  <c r="AI270"/>
  <c r="AP270"/>
  <c r="AQ262"/>
  <c r="AJ262"/>
  <c r="AJ256"/>
  <c r="AQ256"/>
  <c r="AB236"/>
  <c r="Y236"/>
  <c r="Z236"/>
  <c r="AD202"/>
  <c r="W198"/>
  <c r="AQ356"/>
  <c r="AJ356"/>
  <c r="AB242"/>
  <c r="Y242"/>
  <c r="Z242"/>
  <c r="AL206"/>
  <c r="AK206"/>
  <c r="AS191"/>
  <c r="AJ123"/>
  <c r="AQ123"/>
  <c r="AS123"/>
  <c r="AJ276"/>
  <c r="AQ276"/>
  <c r="AJ268"/>
  <c r="AQ268"/>
  <c r="AQ258"/>
  <c r="AJ258"/>
  <c r="AP232"/>
  <c r="AS232"/>
  <c r="AI232"/>
  <c r="AD193"/>
  <c r="AD666"/>
  <c r="W191"/>
  <c r="AM191"/>
  <c r="AK137"/>
  <c r="AL137"/>
  <c r="AP131"/>
  <c r="AS131"/>
  <c r="AI131"/>
  <c r="V127"/>
  <c r="AK123"/>
  <c r="AL123"/>
  <c r="AD143"/>
  <c r="Z143"/>
  <c r="AQ73"/>
  <c r="AS73"/>
  <c r="AJ73"/>
  <c r="AP155"/>
  <c r="AI155"/>
  <c r="AP147"/>
  <c r="AS147"/>
  <c r="AI147"/>
  <c r="N121"/>
  <c r="AG97"/>
  <c r="V97"/>
  <c r="X97"/>
  <c r="AH97"/>
  <c r="AP25"/>
  <c r="AI25"/>
  <c r="AP151"/>
  <c r="AI151"/>
  <c r="AK117"/>
  <c r="AL117"/>
  <c r="AJ77"/>
  <c r="AQ77"/>
  <c r="AS77"/>
  <c r="AJ43"/>
  <c r="AQ43"/>
  <c r="AS43"/>
  <c r="AD37"/>
  <c r="AI27"/>
  <c r="AP27"/>
  <c r="AS27"/>
  <c r="AQ35"/>
  <c r="AS35"/>
  <c r="AJ35"/>
  <c r="G560"/>
  <c r="AF15"/>
  <c r="K16"/>
  <c r="N15"/>
  <c r="G21"/>
  <c r="AE21"/>
  <c r="AE15"/>
  <c r="G17"/>
  <c r="AJ53"/>
  <c r="AQ53"/>
  <c r="AP63"/>
  <c r="AI63"/>
  <c r="AC662"/>
  <c r="AC671"/>
  <c r="S507"/>
  <c r="X544"/>
  <c r="Z544"/>
  <c r="AA544"/>
  <c r="AB544"/>
  <c r="X610"/>
  <c r="Z610"/>
  <c r="AA610"/>
  <c r="AB610"/>
  <c r="X608"/>
  <c r="Z608"/>
  <c r="AA608"/>
  <c r="AB608"/>
  <c r="X493"/>
  <c r="Z493"/>
  <c r="AA493"/>
  <c r="AB493"/>
  <c r="S535"/>
  <c r="AC553"/>
  <c r="AC668"/>
  <c r="X415"/>
  <c r="AB395"/>
  <c r="Y395"/>
  <c r="Z395"/>
  <c r="AS375"/>
  <c r="AS415"/>
  <c r="X397"/>
  <c r="X230"/>
  <c r="X352"/>
  <c r="Z348"/>
  <c r="X206"/>
  <c r="X113"/>
  <c r="AB163"/>
  <c r="Y163"/>
  <c r="Z163"/>
  <c r="AB37"/>
  <c r="Y37"/>
  <c r="Z37"/>
  <c r="AA314" i="21"/>
  <c r="AA169"/>
  <c r="AA139"/>
  <c r="AD636"/>
  <c r="W636"/>
  <c r="AA370"/>
  <c r="AA296"/>
  <c r="P685"/>
  <c r="L379"/>
  <c r="N41"/>
  <c r="AC314"/>
  <c r="N228"/>
  <c r="V228"/>
  <c r="AD523"/>
  <c r="AD525"/>
  <c r="AD578"/>
  <c r="W578"/>
  <c r="AM578"/>
  <c r="AC248"/>
  <c r="AA344"/>
  <c r="N210"/>
  <c r="W441"/>
  <c r="AM441"/>
  <c r="AD660"/>
  <c r="W660"/>
  <c r="AM660"/>
  <c r="AD654"/>
  <c r="W654"/>
  <c r="AM654"/>
  <c r="X654"/>
  <c r="Z654"/>
  <c r="AA654"/>
  <c r="AB654"/>
  <c r="AD550"/>
  <c r="W550"/>
  <c r="AM550"/>
  <c r="AD576"/>
  <c r="W576"/>
  <c r="AM576"/>
  <c r="AD592"/>
  <c r="W592"/>
  <c r="AM592"/>
  <c r="AA95"/>
  <c r="AA121"/>
  <c r="AA389"/>
  <c r="AD622"/>
  <c r="W622"/>
  <c r="AM622"/>
  <c r="AC379"/>
  <c r="N196"/>
  <c r="N282"/>
  <c r="N360"/>
  <c r="N373"/>
  <c r="AD443"/>
  <c r="W443"/>
  <c r="AM443"/>
  <c r="AD606"/>
  <c r="W606"/>
  <c r="AM606"/>
  <c r="AC202"/>
  <c r="N119"/>
  <c r="AC405"/>
  <c r="O553"/>
  <c r="O668"/>
  <c r="O684"/>
  <c r="N481"/>
  <c r="AD473"/>
  <c r="W473"/>
  <c r="AM473"/>
  <c r="AD501"/>
  <c r="W501"/>
  <c r="AM501"/>
  <c r="AD648"/>
  <c r="W648"/>
  <c r="AM648"/>
  <c r="AD640"/>
  <c r="W640"/>
  <c r="AM640"/>
  <c r="Y602"/>
  <c r="Y670"/>
  <c r="Y525"/>
  <c r="AB525"/>
  <c r="AC133"/>
  <c r="AC139"/>
  <c r="L176"/>
  <c r="N248"/>
  <c r="AC360"/>
  <c r="AC433"/>
  <c r="G553"/>
  <c r="AD489"/>
  <c r="W489"/>
  <c r="AM489"/>
  <c r="S503"/>
  <c r="AD505"/>
  <c r="W505"/>
  <c r="AM505"/>
  <c r="N521"/>
  <c r="AD511"/>
  <c r="W511"/>
  <c r="AM511"/>
  <c r="AD519"/>
  <c r="W519"/>
  <c r="AM519"/>
  <c r="AC535"/>
  <c r="AC552"/>
  <c r="AD632"/>
  <c r="W632"/>
  <c r="AM632"/>
  <c r="N93"/>
  <c r="AC121"/>
  <c r="N129"/>
  <c r="N133"/>
  <c r="N135"/>
  <c r="P667"/>
  <c r="P683"/>
  <c r="V306"/>
  <c r="AC370"/>
  <c r="N433"/>
  <c r="AC445"/>
  <c r="AC469"/>
  <c r="AD449"/>
  <c r="W449"/>
  <c r="AM449"/>
  <c r="AD451"/>
  <c r="W451"/>
  <c r="AM451"/>
  <c r="AD455"/>
  <c r="W455"/>
  <c r="AM455"/>
  <c r="AC495"/>
  <c r="AD491"/>
  <c r="W491"/>
  <c r="AM491"/>
  <c r="AC507"/>
  <c r="N552"/>
  <c r="AD544"/>
  <c r="W544"/>
  <c r="AM544"/>
  <c r="AC602"/>
  <c r="AC670"/>
  <c r="AD566"/>
  <c r="W566"/>
  <c r="AM566"/>
  <c r="AD574"/>
  <c r="W574"/>
  <c r="AM574"/>
  <c r="AD582"/>
  <c r="W582"/>
  <c r="AM582"/>
  <c r="AD634"/>
  <c r="W634"/>
  <c r="AM634"/>
  <c r="AD644"/>
  <c r="W644"/>
  <c r="Y662"/>
  <c r="Y671"/>
  <c r="AA525"/>
  <c r="AC23"/>
  <c r="H23"/>
  <c r="W189"/>
  <c r="W665"/>
  <c r="L121"/>
  <c r="N178"/>
  <c r="AC226"/>
  <c r="AC280"/>
  <c r="N298"/>
  <c r="L360"/>
  <c r="N370"/>
  <c r="L389"/>
  <c r="AC421"/>
  <c r="AD439"/>
  <c r="W439"/>
  <c r="AM439"/>
  <c r="P553"/>
  <c r="P668"/>
  <c r="P684"/>
  <c r="AC481"/>
  <c r="AD493"/>
  <c r="W493"/>
  <c r="AM493"/>
  <c r="AD499"/>
  <c r="W499"/>
  <c r="AM499"/>
  <c r="AD588"/>
  <c r="W588"/>
  <c r="AM588"/>
  <c r="AD620"/>
  <c r="W620"/>
  <c r="AM620"/>
  <c r="AD624"/>
  <c r="W624"/>
  <c r="AM624"/>
  <c r="X624"/>
  <c r="Z624"/>
  <c r="AA624"/>
  <c r="AB624"/>
  <c r="AD630"/>
  <c r="W630"/>
  <c r="AM630"/>
  <c r="X630"/>
  <c r="Z630"/>
  <c r="AA630"/>
  <c r="AB630"/>
  <c r="AD638"/>
  <c r="W638"/>
  <c r="AM638"/>
  <c r="AA360"/>
  <c r="P5" i="24"/>
  <c r="Q5"/>
  <c r="AA202" i="21"/>
  <c r="AA23"/>
  <c r="AA405"/>
  <c r="AA226"/>
  <c r="AA379"/>
  <c r="AA421"/>
  <c r="I142"/>
  <c r="N141"/>
  <c r="V149"/>
  <c r="V254"/>
  <c r="AC296"/>
  <c r="V318"/>
  <c r="H328"/>
  <c r="AD447"/>
  <c r="W447"/>
  <c r="AM447"/>
  <c r="AD477"/>
  <c r="W477"/>
  <c r="AM477"/>
  <c r="AD485"/>
  <c r="W485"/>
  <c r="AM485"/>
  <c r="AD513"/>
  <c r="W513"/>
  <c r="AM513"/>
  <c r="AD533"/>
  <c r="W533"/>
  <c r="AM533"/>
  <c r="AD570"/>
  <c r="W570"/>
  <c r="AM570"/>
  <c r="AD590"/>
  <c r="W590"/>
  <c r="AD600"/>
  <c r="W600"/>
  <c r="AM600"/>
  <c r="AD628"/>
  <c r="W628"/>
  <c r="X628"/>
  <c r="AD656"/>
  <c r="W656"/>
  <c r="AM656"/>
  <c r="V135"/>
  <c r="AC169"/>
  <c r="V274"/>
  <c r="V304"/>
  <c r="V308"/>
  <c r="V312"/>
  <c r="V320"/>
  <c r="V322"/>
  <c r="AD322"/>
  <c r="V324"/>
  <c r="V409"/>
  <c r="S443"/>
  <c r="S455"/>
  <c r="AD467"/>
  <c r="W467"/>
  <c r="AM467"/>
  <c r="AD487"/>
  <c r="W487"/>
  <c r="AM487"/>
  <c r="AD515"/>
  <c r="W515"/>
  <c r="AM515"/>
  <c r="AD568"/>
  <c r="W568"/>
  <c r="AM568"/>
  <c r="AD584"/>
  <c r="W584"/>
  <c r="AM584"/>
  <c r="V91"/>
  <c r="X91"/>
  <c r="AB91"/>
  <c r="AD111"/>
  <c r="V198"/>
  <c r="V208"/>
  <c r="V262"/>
  <c r="V326"/>
  <c r="V332"/>
  <c r="V417"/>
  <c r="AD453"/>
  <c r="W453"/>
  <c r="AM453"/>
  <c r="AD457"/>
  <c r="W457"/>
  <c r="AM457"/>
  <c r="AD459"/>
  <c r="W459"/>
  <c r="AM459"/>
  <c r="AD461"/>
  <c r="W461"/>
  <c r="AM461"/>
  <c r="AD465"/>
  <c r="W465"/>
  <c r="AM465"/>
  <c r="AD509"/>
  <c r="W509"/>
  <c r="AD517"/>
  <c r="W517"/>
  <c r="AM517"/>
  <c r="AD529"/>
  <c r="W529"/>
  <c r="AM529"/>
  <c r="AD546"/>
  <c r="W546"/>
  <c r="AM546"/>
  <c r="AD548"/>
  <c r="W548"/>
  <c r="AM548"/>
  <c r="AD610"/>
  <c r="W610"/>
  <c r="AM610"/>
  <c r="AD618"/>
  <c r="W618"/>
  <c r="AD646"/>
  <c r="W646"/>
  <c r="AD652"/>
  <c r="W652"/>
  <c r="AM652"/>
  <c r="V165"/>
  <c r="V224"/>
  <c r="V310"/>
  <c r="V419"/>
  <c r="S439"/>
  <c r="N469"/>
  <c r="AD475"/>
  <c r="W475"/>
  <c r="AM475"/>
  <c r="S499"/>
  <c r="AD531"/>
  <c r="W531"/>
  <c r="AM531"/>
  <c r="AD572"/>
  <c r="W572"/>
  <c r="AM572"/>
  <c r="AD580"/>
  <c r="W580"/>
  <c r="AM580"/>
  <c r="V103"/>
  <c r="V167"/>
  <c r="V222"/>
  <c r="V11"/>
  <c r="X11"/>
  <c r="N69"/>
  <c r="I95"/>
  <c r="X214"/>
  <c r="AB214"/>
  <c r="Y214"/>
  <c r="Z214"/>
  <c r="AB216"/>
  <c r="Y216"/>
  <c r="Z216"/>
  <c r="X218"/>
  <c r="AB218"/>
  <c r="Y218"/>
  <c r="Z218"/>
  <c r="AB220"/>
  <c r="Y220"/>
  <c r="Z220"/>
  <c r="N13"/>
  <c r="G15"/>
  <c r="V163"/>
  <c r="V252"/>
  <c r="X302"/>
  <c r="AB302"/>
  <c r="Y302"/>
  <c r="V27"/>
  <c r="X31"/>
  <c r="V35"/>
  <c r="V43"/>
  <c r="V51"/>
  <c r="X51"/>
  <c r="AB51"/>
  <c r="Y51"/>
  <c r="V57"/>
  <c r="V73"/>
  <c r="V77"/>
  <c r="V81"/>
  <c r="P95"/>
  <c r="V99"/>
  <c r="O159"/>
  <c r="L169"/>
  <c r="V272"/>
  <c r="V316"/>
  <c r="N328"/>
  <c r="V55"/>
  <c r="V65"/>
  <c r="P67"/>
  <c r="V87"/>
  <c r="X87"/>
  <c r="AB87"/>
  <c r="H95"/>
  <c r="V107"/>
  <c r="X107"/>
  <c r="V111"/>
  <c r="X111"/>
  <c r="V115"/>
  <c r="I121"/>
  <c r="N127"/>
  <c r="V131"/>
  <c r="N139"/>
  <c r="V145"/>
  <c r="V153"/>
  <c r="V157"/>
  <c r="H176"/>
  <c r="L183"/>
  <c r="AD191"/>
  <c r="AD204"/>
  <c r="V25"/>
  <c r="V29"/>
  <c r="X29"/>
  <c r="V33"/>
  <c r="X33"/>
  <c r="V39"/>
  <c r="V45"/>
  <c r="X45"/>
  <c r="V49"/>
  <c r="X49"/>
  <c r="V59"/>
  <c r="O67"/>
  <c r="O682"/>
  <c r="V71"/>
  <c r="V75"/>
  <c r="X79"/>
  <c r="X109"/>
  <c r="AB109"/>
  <c r="Y109"/>
  <c r="X123"/>
  <c r="AB123"/>
  <c r="Y123"/>
  <c r="V125"/>
  <c r="X125"/>
  <c r="X137"/>
  <c r="X155"/>
  <c r="V161"/>
  <c r="X161"/>
  <c r="N172"/>
  <c r="V200"/>
  <c r="V206"/>
  <c r="V256"/>
  <c r="V268"/>
  <c r="X268"/>
  <c r="V276"/>
  <c r="X276"/>
  <c r="AB276"/>
  <c r="Y276"/>
  <c r="V288"/>
  <c r="V292"/>
  <c r="X292"/>
  <c r="AB292"/>
  <c r="Y292"/>
  <c r="Z292"/>
  <c r="V294"/>
  <c r="V300"/>
  <c r="AD300"/>
  <c r="X332"/>
  <c r="Z332"/>
  <c r="AB332"/>
  <c r="Y332"/>
  <c r="V334"/>
  <c r="X334"/>
  <c r="V336"/>
  <c r="V338"/>
  <c r="X338"/>
  <c r="AB338"/>
  <c r="Y338"/>
  <c r="V340"/>
  <c r="X340"/>
  <c r="L405"/>
  <c r="N391"/>
  <c r="V230"/>
  <c r="X230"/>
  <c r="AB230"/>
  <c r="V232"/>
  <c r="V234"/>
  <c r="X236"/>
  <c r="X240"/>
  <c r="AB240"/>
  <c r="Y240"/>
  <c r="X244"/>
  <c r="L251"/>
  <c r="L280"/>
  <c r="V260"/>
  <c r="X270"/>
  <c r="AB270"/>
  <c r="Y270"/>
  <c r="V286"/>
  <c r="V290"/>
  <c r="X256"/>
  <c r="AB256"/>
  <c r="Y256"/>
  <c r="Z256"/>
  <c r="AC328"/>
  <c r="N330"/>
  <c r="N344"/>
  <c r="V352"/>
  <c r="X352"/>
  <c r="AB352"/>
  <c r="Y352"/>
  <c r="V383"/>
  <c r="V393"/>
  <c r="X393"/>
  <c r="V423"/>
  <c r="X423"/>
  <c r="N425"/>
  <c r="S437"/>
  <c r="AD437"/>
  <c r="S441"/>
  <c r="N445"/>
  <c r="S451"/>
  <c r="X342"/>
  <c r="Z342"/>
  <c r="AB342"/>
  <c r="Y342"/>
  <c r="V350"/>
  <c r="X350"/>
  <c r="AB350"/>
  <c r="Y350"/>
  <c r="Z350"/>
  <c r="V358"/>
  <c r="V362"/>
  <c r="X375"/>
  <c r="AB375"/>
  <c r="Y375"/>
  <c r="V377"/>
  <c r="X397"/>
  <c r="AB397"/>
  <c r="Y397"/>
  <c r="Z397"/>
  <c r="V399"/>
  <c r="V401"/>
  <c r="V415"/>
  <c r="AD415"/>
  <c r="W415"/>
  <c r="AM415"/>
  <c r="V427"/>
  <c r="V431"/>
  <c r="S453"/>
  <c r="X354"/>
  <c r="AB354"/>
  <c r="Y354"/>
  <c r="X366"/>
  <c r="AB366"/>
  <c r="Y366"/>
  <c r="Z366"/>
  <c r="X385"/>
  <c r="AB385"/>
  <c r="Y385"/>
  <c r="AC389"/>
  <c r="X403"/>
  <c r="AB403"/>
  <c r="Y403"/>
  <c r="Z403"/>
  <c r="X411"/>
  <c r="AB411"/>
  <c r="Y411"/>
  <c r="Z411"/>
  <c r="V346"/>
  <c r="X346"/>
  <c r="AB346"/>
  <c r="Y346"/>
  <c r="V413"/>
  <c r="V429"/>
  <c r="L469"/>
  <c r="L553"/>
  <c r="S449"/>
  <c r="S463"/>
  <c r="AD463"/>
  <c r="W463"/>
  <c r="AM463"/>
  <c r="S527"/>
  <c r="AN527"/>
  <c r="AD527"/>
  <c r="S531"/>
  <c r="N535"/>
  <c r="S538"/>
  <c r="AD538"/>
  <c r="S542"/>
  <c r="AD542"/>
  <c r="S546"/>
  <c r="S550"/>
  <c r="AD555"/>
  <c r="S457"/>
  <c r="S465"/>
  <c r="S471"/>
  <c r="AD471"/>
  <c r="S475"/>
  <c r="AD479"/>
  <c r="W479"/>
  <c r="AM479"/>
  <c r="S483"/>
  <c r="AN483"/>
  <c r="AD483"/>
  <c r="S487"/>
  <c r="S491"/>
  <c r="N495"/>
  <c r="AD503"/>
  <c r="W503"/>
  <c r="AM503"/>
  <c r="N507"/>
  <c r="S511"/>
  <c r="S515"/>
  <c r="S519"/>
  <c r="AC521"/>
  <c r="S459"/>
  <c r="S467"/>
  <c r="S529"/>
  <c r="S533"/>
  <c r="AN533"/>
  <c r="S544"/>
  <c r="S548"/>
  <c r="S461"/>
  <c r="S473"/>
  <c r="S481"/>
  <c r="S477"/>
  <c r="S485"/>
  <c r="S489"/>
  <c r="S493"/>
  <c r="AN493"/>
  <c r="S497"/>
  <c r="AD497"/>
  <c r="S501"/>
  <c r="S505"/>
  <c r="S509"/>
  <c r="S513"/>
  <c r="S517"/>
  <c r="X592"/>
  <c r="Z592"/>
  <c r="AA592"/>
  <c r="AB592"/>
  <c r="AD586"/>
  <c r="W586"/>
  <c r="AD594"/>
  <c r="W594"/>
  <c r="AM594"/>
  <c r="AD604"/>
  <c r="W604"/>
  <c r="AD608"/>
  <c r="W608"/>
  <c r="AM608"/>
  <c r="AD612"/>
  <c r="W612"/>
  <c r="AM612"/>
  <c r="AD616"/>
  <c r="W616"/>
  <c r="AM616"/>
  <c r="AD642"/>
  <c r="W642"/>
  <c r="AM642"/>
  <c r="AD650"/>
  <c r="W650"/>
  <c r="AM650"/>
  <c r="AD658"/>
  <c r="W658"/>
  <c r="AM658"/>
  <c r="O662"/>
  <c r="O671"/>
  <c r="O685"/>
  <c r="A10" i="20"/>
  <c r="D19" i="17"/>
  <c r="N662" i="21"/>
  <c r="S618"/>
  <c r="S634"/>
  <c r="X634"/>
  <c r="Z634"/>
  <c r="AA634"/>
  <c r="AB634"/>
  <c r="S638"/>
  <c r="AD564"/>
  <c r="AD602"/>
  <c r="O6" i="24"/>
  <c r="G62"/>
  <c r="O7"/>
  <c r="M6"/>
  <c r="L7"/>
  <c r="K19"/>
  <c r="K18"/>
  <c r="C21"/>
  <c r="E50" i="17"/>
  <c r="F50"/>
  <c r="F6" i="24"/>
  <c r="F7"/>
  <c r="F8"/>
  <c r="F9"/>
  <c r="F10"/>
  <c r="F11"/>
  <c r="F12"/>
  <c r="F13"/>
  <c r="F14"/>
  <c r="F15"/>
  <c r="F16"/>
  <c r="G16"/>
  <c r="E47" i="17"/>
  <c r="D49" i="24"/>
  <c r="E49"/>
  <c r="C72"/>
  <c r="C82"/>
  <c r="C50"/>
  <c r="C51"/>
  <c r="D6"/>
  <c r="D7"/>
  <c r="E7"/>
  <c r="Q76"/>
  <c r="B72"/>
  <c r="B77"/>
  <c r="B82"/>
  <c r="B71"/>
  <c r="B76"/>
  <c r="B81"/>
  <c r="B70"/>
  <c r="B75"/>
  <c r="B80"/>
  <c r="Q71"/>
  <c r="G75" i="17"/>
  <c r="T20" i="23"/>
  <c r="D29" i="24"/>
  <c r="C29"/>
  <c r="C30"/>
  <c r="E30"/>
  <c r="C31"/>
  <c r="C32"/>
  <c r="C33"/>
  <c r="C34"/>
  <c r="C35"/>
  <c r="C36"/>
  <c r="C37"/>
  <c r="C38"/>
  <c r="C39"/>
  <c r="C28"/>
  <c r="F41"/>
  <c r="F42"/>
  <c r="F43"/>
  <c r="F44"/>
  <c r="AK99" i="21"/>
  <c r="AL99"/>
  <c r="AO533"/>
  <c r="AP533"/>
  <c r="AS533"/>
  <c r="AI533"/>
  <c r="AQ533"/>
  <c r="AJ533"/>
  <c r="AO527"/>
  <c r="AJ527"/>
  <c r="AQ527"/>
  <c r="AP527"/>
  <c r="AS527"/>
  <c r="AI527"/>
  <c r="AP505"/>
  <c r="AS505"/>
  <c r="AI505"/>
  <c r="AQ505"/>
  <c r="AJ505"/>
  <c r="AN505"/>
  <c r="AO505"/>
  <c r="AI501"/>
  <c r="AP501"/>
  <c r="AQ501"/>
  <c r="AJ501"/>
  <c r="AN501"/>
  <c r="AO501"/>
  <c r="AN497"/>
  <c r="AO497"/>
  <c r="AP497"/>
  <c r="AI497"/>
  <c r="AJ497"/>
  <c r="AQ497"/>
  <c r="AS497"/>
  <c r="AP493"/>
  <c r="AI493"/>
  <c r="AQ493"/>
  <c r="AJ493"/>
  <c r="AP483"/>
  <c r="AS483"/>
  <c r="AI483"/>
  <c r="AJ483"/>
  <c r="AQ483"/>
  <c r="AO483"/>
  <c r="AP471"/>
  <c r="AI471"/>
  <c r="AQ471"/>
  <c r="AJ471"/>
  <c r="AO471"/>
  <c r="AN471"/>
  <c r="H26" i="27"/>
  <c r="I48" i="20"/>
  <c r="BC57" i="27"/>
  <c r="BE57"/>
  <c r="BH57"/>
  <c r="BI57"/>
  <c r="G87"/>
  <c r="H40" i="20"/>
  <c r="H15"/>
  <c r="BK57" i="27"/>
  <c r="BC61"/>
  <c r="BE61"/>
  <c r="BH61"/>
  <c r="BI61"/>
  <c r="BK61"/>
  <c r="BL61"/>
  <c r="BU17"/>
  <c r="BW17"/>
  <c r="BZ17"/>
  <c r="CA17"/>
  <c r="I28"/>
  <c r="J50" i="20"/>
  <c r="CC17" i="27"/>
  <c r="CD17"/>
  <c r="CF17"/>
  <c r="CI17"/>
  <c r="CJ17"/>
  <c r="BC65"/>
  <c r="BE65"/>
  <c r="BH65"/>
  <c r="BI65"/>
  <c r="BK65"/>
  <c r="BT65"/>
  <c r="BU9"/>
  <c r="BW9"/>
  <c r="BZ9"/>
  <c r="CA9"/>
  <c r="CC9"/>
  <c r="CD9"/>
  <c r="CF9"/>
  <c r="CI9"/>
  <c r="CJ9"/>
  <c r="BU10"/>
  <c r="BW10"/>
  <c r="BZ10"/>
  <c r="CA10"/>
  <c r="CC10"/>
  <c r="CD10"/>
  <c r="CF10"/>
  <c r="CI10"/>
  <c r="CJ10"/>
  <c r="BC60"/>
  <c r="BE60"/>
  <c r="BH60"/>
  <c r="BI60"/>
  <c r="G88"/>
  <c r="H41" i="20"/>
  <c r="BK60" i="27"/>
  <c r="BL58"/>
  <c r="BN58"/>
  <c r="BQ58"/>
  <c r="BR58"/>
  <c r="BT58"/>
  <c r="BU58"/>
  <c r="BU18"/>
  <c r="BW18"/>
  <c r="BZ18"/>
  <c r="CA18"/>
  <c r="DN18"/>
  <c r="CC18"/>
  <c r="CD18"/>
  <c r="CF18"/>
  <c r="CI18"/>
  <c r="CJ18"/>
  <c r="BB63"/>
  <c r="AT63"/>
  <c r="AV63"/>
  <c r="AY63"/>
  <c r="AZ63"/>
  <c r="F89"/>
  <c r="BB55"/>
  <c r="AT55"/>
  <c r="AV55"/>
  <c r="AY55"/>
  <c r="AZ55"/>
  <c r="Q28"/>
  <c r="W300" i="22"/>
  <c r="AM300"/>
  <c r="AS407"/>
  <c r="O665"/>
  <c r="O664"/>
  <c r="AI447"/>
  <c r="AI469"/>
  <c r="AI668"/>
  <c r="AQ196"/>
  <c r="AS196"/>
  <c r="AS358"/>
  <c r="Z294"/>
  <c r="AB75"/>
  <c r="Y75"/>
  <c r="Z75"/>
  <c r="V202"/>
  <c r="AD55"/>
  <c r="X429"/>
  <c r="AB429"/>
  <c r="Y429"/>
  <c r="Z429"/>
  <c r="AL196"/>
  <c r="AD91"/>
  <c r="AS330"/>
  <c r="X286"/>
  <c r="AB286"/>
  <c r="Y286"/>
  <c r="Z286"/>
  <c r="AD433"/>
  <c r="AK196"/>
  <c r="V67"/>
  <c r="AS610"/>
  <c r="AS198"/>
  <c r="AD115"/>
  <c r="AG391"/>
  <c r="AD157"/>
  <c r="V172"/>
  <c r="V176"/>
  <c r="AS461"/>
  <c r="AS479"/>
  <c r="AS240"/>
  <c r="AB41"/>
  <c r="Y41"/>
  <c r="AS75"/>
  <c r="AS453"/>
  <c r="Z306"/>
  <c r="AS25"/>
  <c r="AD421"/>
  <c r="AS612"/>
  <c r="AQ282"/>
  <c r="AS608"/>
  <c r="AS316"/>
  <c r="AD370"/>
  <c r="AD153"/>
  <c r="AS149"/>
  <c r="AS234"/>
  <c r="AK41"/>
  <c r="AL41"/>
  <c r="Z157"/>
  <c r="AS477"/>
  <c r="AS475"/>
  <c r="AH391"/>
  <c r="AJ391"/>
  <c r="V296"/>
  <c r="AD43"/>
  <c r="AD31"/>
  <c r="AB31"/>
  <c r="Y31"/>
  <c r="Z31"/>
  <c r="AS270"/>
  <c r="AD379"/>
  <c r="N405"/>
  <c r="N434"/>
  <c r="AK282"/>
  <c r="AB332"/>
  <c r="Y332"/>
  <c r="Z332"/>
  <c r="AB79"/>
  <c r="Y79"/>
  <c r="Z79"/>
  <c r="AD79"/>
  <c r="AS262"/>
  <c r="AS278"/>
  <c r="Z399"/>
  <c r="AL282"/>
  <c r="AB135"/>
  <c r="Y135"/>
  <c r="Z135"/>
  <c r="AD135"/>
  <c r="AD139"/>
  <c r="X139"/>
  <c r="AB125"/>
  <c r="Y125"/>
  <c r="Z125"/>
  <c r="AD125"/>
  <c r="AD127"/>
  <c r="AJ161"/>
  <c r="AQ161"/>
  <c r="AD35"/>
  <c r="AB35"/>
  <c r="Y35"/>
  <c r="Z35"/>
  <c r="AJ135"/>
  <c r="AQ135"/>
  <c r="AL228"/>
  <c r="X228"/>
  <c r="AB228"/>
  <c r="Y228"/>
  <c r="AK228"/>
  <c r="AI178"/>
  <c r="AP178"/>
  <c r="N176"/>
  <c r="AQ119"/>
  <c r="AS119"/>
  <c r="AJ119"/>
  <c r="X161"/>
  <c r="AB161"/>
  <c r="AK161"/>
  <c r="AL161"/>
  <c r="X178"/>
  <c r="AD178"/>
  <c r="V180"/>
  <c r="AK178"/>
  <c r="AL178"/>
  <c r="AS63"/>
  <c r="Z77"/>
  <c r="AI671"/>
  <c r="AH172"/>
  <c r="AJ172"/>
  <c r="AD27"/>
  <c r="AB27"/>
  <c r="Y27"/>
  <c r="Z27"/>
  <c r="AP161"/>
  <c r="AI161"/>
  <c r="AQ228"/>
  <c r="AS228"/>
  <c r="AJ228"/>
  <c r="AL119"/>
  <c r="AK119"/>
  <c r="X119"/>
  <c r="AL135"/>
  <c r="V139"/>
  <c r="AK135"/>
  <c r="AJ178"/>
  <c r="AQ178"/>
  <c r="AB145"/>
  <c r="Y145"/>
  <c r="Z145"/>
  <c r="AS155"/>
  <c r="AS352"/>
  <c r="AS143"/>
  <c r="AS135"/>
  <c r="AS153"/>
  <c r="AS236"/>
  <c r="X127"/>
  <c r="AB206"/>
  <c r="Y206"/>
  <c r="AJ97"/>
  <c r="AQ97"/>
  <c r="AB373"/>
  <c r="Y373"/>
  <c r="W226"/>
  <c r="AM204"/>
  <c r="X204"/>
  <c r="AB288"/>
  <c r="Y288"/>
  <c r="Z288"/>
  <c r="AS258"/>
  <c r="AB397"/>
  <c r="Y397"/>
  <c r="Z397"/>
  <c r="AD63"/>
  <c r="AB63"/>
  <c r="Y63"/>
  <c r="Z63"/>
  <c r="AB224"/>
  <c r="Y224"/>
  <c r="Z224"/>
  <c r="AM509"/>
  <c r="W521"/>
  <c r="X509"/>
  <c r="AD61"/>
  <c r="AB61"/>
  <c r="Y61"/>
  <c r="Z61"/>
  <c r="AP141"/>
  <c r="AI141"/>
  <c r="AL182"/>
  <c r="V184"/>
  <c r="AK182"/>
  <c r="AP129"/>
  <c r="AI129"/>
  <c r="X360"/>
  <c r="AB346"/>
  <c r="W405"/>
  <c r="AM401"/>
  <c r="X401"/>
  <c r="AM604"/>
  <c r="W662"/>
  <c r="W671"/>
  <c r="X604"/>
  <c r="AM538"/>
  <c r="W540"/>
  <c r="X538"/>
  <c r="Z538"/>
  <c r="AM234"/>
  <c r="W248"/>
  <c r="Y123"/>
  <c r="Y127"/>
  <c r="AB127"/>
  <c r="AB113"/>
  <c r="Y113"/>
  <c r="Z113"/>
  <c r="AG15"/>
  <c r="AH15"/>
  <c r="V15"/>
  <c r="AL15"/>
  <c r="AD97"/>
  <c r="AB97"/>
  <c r="W193"/>
  <c r="X191"/>
  <c r="W421"/>
  <c r="AM413"/>
  <c r="X413"/>
  <c r="AD83"/>
  <c r="AB83"/>
  <c r="Y83"/>
  <c r="Z83"/>
  <c r="Y316"/>
  <c r="Z471"/>
  <c r="AA471"/>
  <c r="AB471"/>
  <c r="X481"/>
  <c r="AD99"/>
  <c r="AB99"/>
  <c r="AJ141"/>
  <c r="AQ141"/>
  <c r="AP172"/>
  <c r="AI172"/>
  <c r="AM322"/>
  <c r="W328"/>
  <c r="X322"/>
  <c r="V405"/>
  <c r="AK391"/>
  <c r="AL391"/>
  <c r="AM555"/>
  <c r="AM669"/>
  <c r="W557"/>
  <c r="W669"/>
  <c r="X555"/>
  <c r="N95"/>
  <c r="AH69"/>
  <c r="AJ69"/>
  <c r="AG69"/>
  <c r="AP69"/>
  <c r="V69"/>
  <c r="AJ182"/>
  <c r="AQ182"/>
  <c r="AJ129"/>
  <c r="AQ129"/>
  <c r="AI346"/>
  <c r="AP346"/>
  <c r="AP250"/>
  <c r="AI250"/>
  <c r="AI103"/>
  <c r="AP103"/>
  <c r="AB230"/>
  <c r="Y230"/>
  <c r="AB415"/>
  <c r="Y415"/>
  <c r="AF17"/>
  <c r="G19"/>
  <c r="K18"/>
  <c r="AE17"/>
  <c r="AI97"/>
  <c r="AP97"/>
  <c r="AS97"/>
  <c r="W202"/>
  <c r="AM198"/>
  <c r="X198"/>
  <c r="X202"/>
  <c r="AJ373"/>
  <c r="AQ373"/>
  <c r="V379"/>
  <c r="AK373"/>
  <c r="AL373"/>
  <c r="AA437"/>
  <c r="AM381"/>
  <c r="W389"/>
  <c r="X381"/>
  <c r="AB155"/>
  <c r="Y155"/>
  <c r="Z155"/>
  <c r="AD155"/>
  <c r="W535"/>
  <c r="AM527"/>
  <c r="X527"/>
  <c r="Z527"/>
  <c r="AA527"/>
  <c r="Y25"/>
  <c r="V159"/>
  <c r="AK141"/>
  <c r="AL141"/>
  <c r="AB375"/>
  <c r="Y375"/>
  <c r="Z375"/>
  <c r="Y330"/>
  <c r="AM362"/>
  <c r="W370"/>
  <c r="X362"/>
  <c r="AI391"/>
  <c r="AP391"/>
  <c r="AD65"/>
  <c r="AB65"/>
  <c r="Y65"/>
  <c r="Z65"/>
  <c r="V360"/>
  <c r="AK346"/>
  <c r="AL346"/>
  <c r="AB250"/>
  <c r="W433"/>
  <c r="AM427"/>
  <c r="X427"/>
  <c r="AM447"/>
  <c r="X447"/>
  <c r="Z447"/>
  <c r="AA447"/>
  <c r="AB447"/>
  <c r="AM497"/>
  <c r="W507"/>
  <c r="X497"/>
  <c r="AS395"/>
  <c r="X234"/>
  <c r="AS151"/>
  <c r="AJ671"/>
  <c r="AS350"/>
  <c r="AO671"/>
  <c r="AS455"/>
  <c r="AP671"/>
  <c r="AS282"/>
  <c r="AS324"/>
  <c r="AS256"/>
  <c r="AS467"/>
  <c r="AS606"/>
  <c r="AS45"/>
  <c r="X182"/>
  <c r="AS385"/>
  <c r="AS463"/>
  <c r="AS485"/>
  <c r="Y196"/>
  <c r="AB352"/>
  <c r="Y352"/>
  <c r="Z352"/>
  <c r="K22"/>
  <c r="N21"/>
  <c r="AH21"/>
  <c r="AF21"/>
  <c r="G562"/>
  <c r="AF562"/>
  <c r="G602"/>
  <c r="G663"/>
  <c r="AF560"/>
  <c r="K561"/>
  <c r="N560"/>
  <c r="AE560"/>
  <c r="AK97"/>
  <c r="AL97"/>
  <c r="AI373"/>
  <c r="AP373"/>
  <c r="AS373"/>
  <c r="AB151"/>
  <c r="Y151"/>
  <c r="Z151"/>
  <c r="AD151"/>
  <c r="AB147"/>
  <c r="Y147"/>
  <c r="Z147"/>
  <c r="AD147"/>
  <c r="AB356"/>
  <c r="Y356"/>
  <c r="Z356"/>
  <c r="AB254"/>
  <c r="Y254"/>
  <c r="Z254"/>
  <c r="Y298"/>
  <c r="W481"/>
  <c r="AM471"/>
  <c r="Y407"/>
  <c r="AD81"/>
  <c r="AB81"/>
  <c r="Y81"/>
  <c r="Z81"/>
  <c r="AB200"/>
  <c r="Y200"/>
  <c r="Z200"/>
  <c r="AM377"/>
  <c r="W379"/>
  <c r="X377"/>
  <c r="AM542"/>
  <c r="W552"/>
  <c r="X542"/>
  <c r="Z542"/>
  <c r="AA542"/>
  <c r="AB39"/>
  <c r="Y39"/>
  <c r="AD39"/>
  <c r="AP182"/>
  <c r="AI182"/>
  <c r="AK129"/>
  <c r="V133"/>
  <c r="AL129"/>
  <c r="AQ346"/>
  <c r="AJ346"/>
  <c r="AH280"/>
  <c r="AJ250"/>
  <c r="AJ280"/>
  <c r="AQ250"/>
  <c r="AK250"/>
  <c r="AL250"/>
  <c r="AB425"/>
  <c r="Y423"/>
  <c r="Y425"/>
  <c r="AA483"/>
  <c r="AS483"/>
  <c r="AQ671"/>
  <c r="AS397"/>
  <c r="AS53"/>
  <c r="AS117"/>
  <c r="AS276"/>
  <c r="X141"/>
  <c r="Z320"/>
  <c r="X391"/>
  <c r="X129"/>
  <c r="X133"/>
  <c r="AS356"/>
  <c r="AS387"/>
  <c r="AS451"/>
  <c r="X493" i="21"/>
  <c r="Z493"/>
  <c r="AA493"/>
  <c r="AB493"/>
  <c r="X501"/>
  <c r="Z501"/>
  <c r="AA501"/>
  <c r="AB501"/>
  <c r="X648"/>
  <c r="Z648"/>
  <c r="AA648"/>
  <c r="AB648"/>
  <c r="V41"/>
  <c r="X447"/>
  <c r="Z628"/>
  <c r="AA628"/>
  <c r="AB628"/>
  <c r="V119"/>
  <c r="V282"/>
  <c r="N296"/>
  <c r="N67"/>
  <c r="X622"/>
  <c r="Z622"/>
  <c r="AA622"/>
  <c r="AB622"/>
  <c r="X578"/>
  <c r="Z578"/>
  <c r="AA578"/>
  <c r="AB578"/>
  <c r="N314"/>
  <c r="X588"/>
  <c r="Z588"/>
  <c r="AA588"/>
  <c r="AB588"/>
  <c r="V298"/>
  <c r="X582"/>
  <c r="Z582"/>
  <c r="AA582"/>
  <c r="AB582"/>
  <c r="X485"/>
  <c r="Z485"/>
  <c r="AA485"/>
  <c r="AB485"/>
  <c r="X660"/>
  <c r="Z660"/>
  <c r="AA660"/>
  <c r="AB660"/>
  <c r="X274"/>
  <c r="AB274"/>
  <c r="Y274"/>
  <c r="X656"/>
  <c r="Z656"/>
  <c r="AA656"/>
  <c r="AB656"/>
  <c r="V210"/>
  <c r="X210"/>
  <c r="N226"/>
  <c r="X572"/>
  <c r="Z572"/>
  <c r="AA572"/>
  <c r="AB572"/>
  <c r="X568"/>
  <c r="Z568"/>
  <c r="AA568"/>
  <c r="AB568"/>
  <c r="X600"/>
  <c r="Z600"/>
  <c r="AA600"/>
  <c r="AB600"/>
  <c r="X576"/>
  <c r="Z576"/>
  <c r="AA576"/>
  <c r="AB576"/>
  <c r="X544"/>
  <c r="Z544"/>
  <c r="AA544"/>
  <c r="AB544"/>
  <c r="X529"/>
  <c r="Z529"/>
  <c r="AA529"/>
  <c r="AB529"/>
  <c r="X467"/>
  <c r="Z467"/>
  <c r="AA467"/>
  <c r="AB467"/>
  <c r="X409"/>
  <c r="AB409"/>
  <c r="Y409"/>
  <c r="Z409"/>
  <c r="X149"/>
  <c r="AB149"/>
  <c r="Y149"/>
  <c r="Z149"/>
  <c r="X640"/>
  <c r="Z640"/>
  <c r="AA640"/>
  <c r="AB640"/>
  <c r="N379"/>
  <c r="X652"/>
  <c r="Z652"/>
  <c r="AA652"/>
  <c r="AB652"/>
  <c r="X546"/>
  <c r="Z546"/>
  <c r="AA546"/>
  <c r="AB546"/>
  <c r="AD324"/>
  <c r="W324"/>
  <c r="AM324"/>
  <c r="X324"/>
  <c r="AB324"/>
  <c r="Y324"/>
  <c r="X320"/>
  <c r="AB320"/>
  <c r="Y320"/>
  <c r="N180"/>
  <c r="V178"/>
  <c r="V97"/>
  <c r="X570"/>
  <c r="Z570"/>
  <c r="AA570"/>
  <c r="AB570"/>
  <c r="X503"/>
  <c r="Z503"/>
  <c r="AA503"/>
  <c r="AB503"/>
  <c r="X453"/>
  <c r="Z453"/>
  <c r="AA453"/>
  <c r="AB453"/>
  <c r="V129"/>
  <c r="V139"/>
  <c r="N202"/>
  <c r="X580"/>
  <c r="Z580"/>
  <c r="AA580"/>
  <c r="AB580"/>
  <c r="X505"/>
  <c r="Z505"/>
  <c r="AA505"/>
  <c r="AB505"/>
  <c r="AB507"/>
  <c r="X477"/>
  <c r="Z477"/>
  <c r="AA477"/>
  <c r="AB477"/>
  <c r="X457"/>
  <c r="Z457"/>
  <c r="AA457"/>
  <c r="AB457"/>
  <c r="X326"/>
  <c r="X254"/>
  <c r="AB254"/>
  <c r="Y254"/>
  <c r="V196"/>
  <c r="Z525"/>
  <c r="X439"/>
  <c r="Z439"/>
  <c r="AA439"/>
  <c r="AB439"/>
  <c r="X574"/>
  <c r="Z574"/>
  <c r="AA574"/>
  <c r="AB574"/>
  <c r="X443"/>
  <c r="Z443"/>
  <c r="AA443"/>
  <c r="AB443"/>
  <c r="Y230"/>
  <c r="Z230"/>
  <c r="X425"/>
  <c r="AB423"/>
  <c r="Y423"/>
  <c r="AD87"/>
  <c r="Y87"/>
  <c r="Z87"/>
  <c r="AD49"/>
  <c r="AB49"/>
  <c r="Y49"/>
  <c r="Z49"/>
  <c r="P189"/>
  <c r="P682"/>
  <c r="AD31"/>
  <c r="AB31"/>
  <c r="Y31"/>
  <c r="Z31"/>
  <c r="X306"/>
  <c r="AB306"/>
  <c r="Y306"/>
  <c r="Z306"/>
  <c r="N121"/>
  <c r="Z346"/>
  <c r="AD45"/>
  <c r="AB45"/>
  <c r="Y45"/>
  <c r="Z45"/>
  <c r="AD198"/>
  <c r="W198"/>
  <c r="AM198"/>
  <c r="O189"/>
  <c r="O665"/>
  <c r="AD155"/>
  <c r="AB155"/>
  <c r="Y155"/>
  <c r="AD137"/>
  <c r="AB137"/>
  <c r="Y137"/>
  <c r="Z137"/>
  <c r="AD125"/>
  <c r="AB125"/>
  <c r="Y125"/>
  <c r="Y127"/>
  <c r="AD79"/>
  <c r="AB79"/>
  <c r="Y79"/>
  <c r="Z79"/>
  <c r="AD33"/>
  <c r="AB33"/>
  <c r="Y33"/>
  <c r="X499"/>
  <c r="Z499"/>
  <c r="AA499"/>
  <c r="AB499"/>
  <c r="AC553"/>
  <c r="AC668"/>
  <c r="AD521"/>
  <c r="X455"/>
  <c r="Z455"/>
  <c r="AA455"/>
  <c r="AB455"/>
  <c r="W322"/>
  <c r="AM322"/>
  <c r="Q6" i="24"/>
  <c r="R6"/>
  <c r="AA434" i="21"/>
  <c r="AA667"/>
  <c r="Z123"/>
  <c r="X419"/>
  <c r="AB419"/>
  <c r="Y419"/>
  <c r="Z419"/>
  <c r="X308"/>
  <c r="AB308"/>
  <c r="Y308"/>
  <c r="Z308"/>
  <c r="X165"/>
  <c r="X135"/>
  <c r="AD135"/>
  <c r="X139"/>
  <c r="I159"/>
  <c r="AD469"/>
  <c r="X304"/>
  <c r="AB304"/>
  <c r="Y304"/>
  <c r="Z304"/>
  <c r="X417"/>
  <c r="AB417"/>
  <c r="Y417"/>
  <c r="X208"/>
  <c r="AB208"/>
  <c r="Y208"/>
  <c r="X312"/>
  <c r="W300"/>
  <c r="AM300"/>
  <c r="AD314"/>
  <c r="AD670"/>
  <c r="W564"/>
  <c r="S521"/>
  <c r="X449"/>
  <c r="Z449"/>
  <c r="AA449"/>
  <c r="AB449"/>
  <c r="V433"/>
  <c r="N250"/>
  <c r="V202"/>
  <c r="N176"/>
  <c r="V172"/>
  <c r="X172"/>
  <c r="AD172"/>
  <c r="X153"/>
  <c r="AB153"/>
  <c r="V328"/>
  <c r="V13"/>
  <c r="X13"/>
  <c r="Z13"/>
  <c r="AB13"/>
  <c r="N95"/>
  <c r="V69"/>
  <c r="X608"/>
  <c r="Z608"/>
  <c r="AA608"/>
  <c r="AB608"/>
  <c r="X489"/>
  <c r="Z489"/>
  <c r="AA489"/>
  <c r="AB489"/>
  <c r="X650"/>
  <c r="Z650"/>
  <c r="AA650"/>
  <c r="AB650"/>
  <c r="X533"/>
  <c r="Z533"/>
  <c r="AA533"/>
  <c r="AB533"/>
  <c r="X479"/>
  <c r="Z479"/>
  <c r="AA479"/>
  <c r="AB479"/>
  <c r="S469"/>
  <c r="N553"/>
  <c r="X358"/>
  <c r="AB358"/>
  <c r="Y358"/>
  <c r="X415"/>
  <c r="AB415"/>
  <c r="Y415"/>
  <c r="Z415"/>
  <c r="W469"/>
  <c r="AD234"/>
  <c r="X55"/>
  <c r="AB55"/>
  <c r="AD495"/>
  <c r="W483"/>
  <c r="AM483"/>
  <c r="X465"/>
  <c r="Z465"/>
  <c r="AA465"/>
  <c r="AB465"/>
  <c r="S540"/>
  <c r="V330"/>
  <c r="X330"/>
  <c r="AB330"/>
  <c r="X473"/>
  <c r="Z473"/>
  <c r="AA473"/>
  <c r="AB473"/>
  <c r="X491"/>
  <c r="Z491"/>
  <c r="AA491"/>
  <c r="AB491"/>
  <c r="X431"/>
  <c r="AB431"/>
  <c r="Y431"/>
  <c r="Z431"/>
  <c r="X39"/>
  <c r="X115"/>
  <c r="AD206"/>
  <c r="W206"/>
  <c r="V127"/>
  <c r="AD200"/>
  <c r="W200"/>
  <c r="X638"/>
  <c r="Z638"/>
  <c r="AA638"/>
  <c r="AB638"/>
  <c r="S507"/>
  <c r="X548"/>
  <c r="Z548"/>
  <c r="AA548"/>
  <c r="AB548"/>
  <c r="AD481"/>
  <c r="W471"/>
  <c r="AM471"/>
  <c r="S552"/>
  <c r="AD540"/>
  <c r="W538"/>
  <c r="AM538"/>
  <c r="W527"/>
  <c r="AD535"/>
  <c r="S445"/>
  <c r="X127"/>
  <c r="AD123"/>
  <c r="AD127"/>
  <c r="N182"/>
  <c r="L184"/>
  <c r="X131"/>
  <c r="X594"/>
  <c r="Z594"/>
  <c r="AA594"/>
  <c r="AB594"/>
  <c r="X612"/>
  <c r="Z612"/>
  <c r="AA612"/>
  <c r="AB612"/>
  <c r="X658"/>
  <c r="Z658"/>
  <c r="AA658"/>
  <c r="AB658"/>
  <c r="X616"/>
  <c r="Z616"/>
  <c r="AA616"/>
  <c r="AB616"/>
  <c r="X463"/>
  <c r="Z463"/>
  <c r="AA463"/>
  <c r="AB463"/>
  <c r="X515"/>
  <c r="Z515"/>
  <c r="AA515"/>
  <c r="AB515"/>
  <c r="AD362"/>
  <c r="X531"/>
  <c r="Z531"/>
  <c r="AA531"/>
  <c r="AB531"/>
  <c r="AD377"/>
  <c r="X75"/>
  <c r="X25"/>
  <c r="AD25"/>
  <c r="AB25"/>
  <c r="Y25"/>
  <c r="AD290"/>
  <c r="W290"/>
  <c r="X163"/>
  <c r="X81"/>
  <c r="X103"/>
  <c r="AD507"/>
  <c r="W497"/>
  <c r="AM497"/>
  <c r="AD557"/>
  <c r="AD669"/>
  <c r="W555"/>
  <c r="AD552"/>
  <c r="W542"/>
  <c r="X451"/>
  <c r="W437"/>
  <c r="AM437"/>
  <c r="AD445"/>
  <c r="AD553"/>
  <c r="V425"/>
  <c r="N405"/>
  <c r="V391"/>
  <c r="X391"/>
  <c r="AB391"/>
  <c r="V169"/>
  <c r="W204"/>
  <c r="AM204"/>
  <c r="AD193"/>
  <c r="AD666"/>
  <c r="W191"/>
  <c r="AM191"/>
  <c r="AM666"/>
  <c r="X157"/>
  <c r="AB157"/>
  <c r="X145"/>
  <c r="X517"/>
  <c r="Z517"/>
  <c r="AA517"/>
  <c r="AB517"/>
  <c r="X509"/>
  <c r="Z509"/>
  <c r="AA509"/>
  <c r="X461"/>
  <c r="Z461"/>
  <c r="AA461"/>
  <c r="AB461"/>
  <c r="X550"/>
  <c r="Z550"/>
  <c r="AA550"/>
  <c r="AB550"/>
  <c r="X511"/>
  <c r="Z511"/>
  <c r="AA511"/>
  <c r="AB511"/>
  <c r="X475"/>
  <c r="Z475"/>
  <c r="AA475"/>
  <c r="AB475"/>
  <c r="AD401"/>
  <c r="AD429"/>
  <c r="W429"/>
  <c r="AD260"/>
  <c r="X71"/>
  <c r="X59"/>
  <c r="X43"/>
  <c r="X99"/>
  <c r="AB99"/>
  <c r="Y99"/>
  <c r="X35"/>
  <c r="AB35"/>
  <c r="X167"/>
  <c r="C62" i="24"/>
  <c r="C52"/>
  <c r="D30"/>
  <c r="H29"/>
  <c r="F47" i="17"/>
  <c r="I52" i="24"/>
  <c r="I50"/>
  <c r="O8"/>
  <c r="N9"/>
  <c r="L8"/>
  <c r="M7"/>
  <c r="D50"/>
  <c r="D51"/>
  <c r="H51"/>
  <c r="I51"/>
  <c r="E77"/>
  <c r="O77"/>
  <c r="F45"/>
  <c r="G43"/>
  <c r="E29"/>
  <c r="E32"/>
  <c r="I32"/>
  <c r="I42"/>
  <c r="E33"/>
  <c r="I33"/>
  <c r="E34"/>
  <c r="I34"/>
  <c r="I43"/>
  <c r="E35"/>
  <c r="I35"/>
  <c r="E36"/>
  <c r="I36"/>
  <c r="E28"/>
  <c r="C71"/>
  <c r="C43"/>
  <c r="C42"/>
  <c r="C41"/>
  <c r="C20"/>
  <c r="C19"/>
  <c r="F48" i="17"/>
  <c r="C18" i="24"/>
  <c r="E48" i="17"/>
  <c r="C17" i="24"/>
  <c r="G15"/>
  <c r="G14"/>
  <c r="G13"/>
  <c r="G12"/>
  <c r="G11"/>
  <c r="G10"/>
  <c r="G9"/>
  <c r="G8"/>
  <c r="G19"/>
  <c r="G7"/>
  <c r="G6"/>
  <c r="E6"/>
  <c r="G5"/>
  <c r="E5"/>
  <c r="U17" i="23"/>
  <c r="U51"/>
  <c r="Y48"/>
  <c r="AG48"/>
  <c r="U45"/>
  <c r="U46"/>
  <c r="T43"/>
  <c r="C41"/>
  <c r="U49"/>
  <c r="U39"/>
  <c r="C20"/>
  <c r="BC58"/>
  <c r="BD58"/>
  <c r="BE58"/>
  <c r="BC57"/>
  <c r="BC54"/>
  <c r="BC56"/>
  <c r="BD56"/>
  <c r="BN56"/>
  <c r="BB54"/>
  <c r="BD53"/>
  <c r="BE53"/>
  <c r="BC53"/>
  <c r="BC52"/>
  <c r="BD52"/>
  <c r="BC51"/>
  <c r="BD51"/>
  <c r="BC50"/>
  <c r="BD50"/>
  <c r="BC49"/>
  <c r="BC48"/>
  <c r="BD47"/>
  <c r="BE47"/>
  <c r="BF47"/>
  <c r="BG47"/>
  <c r="BH47"/>
  <c r="BC47"/>
  <c r="BC46"/>
  <c r="BD46"/>
  <c r="BC45"/>
  <c r="BD45"/>
  <c r="BC44"/>
  <c r="BD44"/>
  <c r="BC43"/>
  <c r="BD43"/>
  <c r="BE43"/>
  <c r="BC42"/>
  <c r="BD42"/>
  <c r="BC41"/>
  <c r="BD41"/>
  <c r="BC40"/>
  <c r="BD40"/>
  <c r="BE40"/>
  <c r="BC39"/>
  <c r="BC38"/>
  <c r="BD38"/>
  <c r="BC37"/>
  <c r="BB37"/>
  <c r="BB32"/>
  <c r="BC36"/>
  <c r="BD36"/>
  <c r="BC35"/>
  <c r="BC32"/>
  <c r="BD35"/>
  <c r="BC34"/>
  <c r="BD34"/>
  <c r="BE33"/>
  <c r="BF33"/>
  <c r="BC33"/>
  <c r="BD33"/>
  <c r="BC31"/>
  <c r="BD31"/>
  <c r="BE31"/>
  <c r="BC30"/>
  <c r="BD30"/>
  <c r="BC29"/>
  <c r="BD29"/>
  <c r="BE29"/>
  <c r="BC28"/>
  <c r="BD28"/>
  <c r="BC27"/>
  <c r="BD27"/>
  <c r="BC26"/>
  <c r="BD26"/>
  <c r="BC25"/>
  <c r="BD25"/>
  <c r="BB24"/>
  <c r="BC23"/>
  <c r="BD23"/>
  <c r="BD22"/>
  <c r="BE22"/>
  <c r="BC22"/>
  <c r="BC20"/>
  <c r="BC19"/>
  <c r="BD19"/>
  <c r="BC18"/>
  <c r="BD18"/>
  <c r="BC17"/>
  <c r="BD17"/>
  <c r="BC16"/>
  <c r="BD16"/>
  <c r="BC15"/>
  <c r="BD15"/>
  <c r="BC14"/>
  <c r="BD14"/>
  <c r="BE14"/>
  <c r="BF14"/>
  <c r="BG14"/>
  <c r="BH14"/>
  <c r="BC13"/>
  <c r="BD13"/>
  <c r="BC12"/>
  <c r="BD12"/>
  <c r="BC11"/>
  <c r="BD11"/>
  <c r="BC10"/>
  <c r="BD10"/>
  <c r="BN10"/>
  <c r="BB9"/>
  <c r="AL56"/>
  <c r="AM56"/>
  <c r="AN56"/>
  <c r="AL57"/>
  <c r="AM57"/>
  <c r="AN57"/>
  <c r="AL58"/>
  <c r="AM58"/>
  <c r="AN58"/>
  <c r="AO58"/>
  <c r="AL55"/>
  <c r="AM55"/>
  <c r="AL39"/>
  <c r="AM39"/>
  <c r="AW39"/>
  <c r="AL40"/>
  <c r="AM40"/>
  <c r="AN40"/>
  <c r="AL41"/>
  <c r="AL42"/>
  <c r="AM42"/>
  <c r="AL43"/>
  <c r="AM43"/>
  <c r="AN43"/>
  <c r="AL44"/>
  <c r="AL45"/>
  <c r="AM45"/>
  <c r="AN45"/>
  <c r="AO45"/>
  <c r="AL46"/>
  <c r="AM46"/>
  <c r="AL47"/>
  <c r="AM47"/>
  <c r="AL48"/>
  <c r="AL49"/>
  <c r="AM49"/>
  <c r="AL50"/>
  <c r="AM50"/>
  <c r="AN50"/>
  <c r="AL51"/>
  <c r="AM51"/>
  <c r="AL52"/>
  <c r="AM52"/>
  <c r="AL53"/>
  <c r="AM53"/>
  <c r="AL38"/>
  <c r="AL34"/>
  <c r="AM34"/>
  <c r="AN34"/>
  <c r="AL35"/>
  <c r="AL36"/>
  <c r="AM36"/>
  <c r="AL33"/>
  <c r="AM33"/>
  <c r="AN33"/>
  <c r="AL26"/>
  <c r="AM26"/>
  <c r="AN26"/>
  <c r="AL27"/>
  <c r="AM27"/>
  <c r="AN27"/>
  <c r="AL28"/>
  <c r="AM28"/>
  <c r="AL29"/>
  <c r="AM29"/>
  <c r="AL30"/>
  <c r="AM30"/>
  <c r="AN30"/>
  <c r="AL31"/>
  <c r="AM31"/>
  <c r="AL25"/>
  <c r="AM25"/>
  <c r="AL23"/>
  <c r="AL22"/>
  <c r="AL20"/>
  <c r="AM20"/>
  <c r="AN20"/>
  <c r="AL19"/>
  <c r="AM19"/>
  <c r="AN19"/>
  <c r="AL18"/>
  <c r="AM18"/>
  <c r="AL17"/>
  <c r="AM17"/>
  <c r="AL16"/>
  <c r="AM16"/>
  <c r="AL15"/>
  <c r="AM15"/>
  <c r="AN15"/>
  <c r="AL14"/>
  <c r="AL13"/>
  <c r="AM13"/>
  <c r="AL12"/>
  <c r="AM12"/>
  <c r="AL11"/>
  <c r="AM11"/>
  <c r="AN11"/>
  <c r="AL10"/>
  <c r="AM10"/>
  <c r="V56"/>
  <c r="W56"/>
  <c r="X56"/>
  <c r="U57"/>
  <c r="D57"/>
  <c r="U58"/>
  <c r="V58"/>
  <c r="V55"/>
  <c r="W55"/>
  <c r="U40"/>
  <c r="U42"/>
  <c r="V42"/>
  <c r="U44"/>
  <c r="U47"/>
  <c r="V47"/>
  <c r="U50"/>
  <c r="V50"/>
  <c r="U52"/>
  <c r="D52"/>
  <c r="U53"/>
  <c r="U38"/>
  <c r="V38"/>
  <c r="U34"/>
  <c r="V34"/>
  <c r="U35"/>
  <c r="V35"/>
  <c r="U36"/>
  <c r="V36"/>
  <c r="W36"/>
  <c r="U33"/>
  <c r="D33"/>
  <c r="U26"/>
  <c r="V26"/>
  <c r="U27"/>
  <c r="V27"/>
  <c r="U28"/>
  <c r="V28"/>
  <c r="U29"/>
  <c r="V29"/>
  <c r="U30"/>
  <c r="V30"/>
  <c r="U31"/>
  <c r="V31"/>
  <c r="U11"/>
  <c r="V11"/>
  <c r="U12"/>
  <c r="U13"/>
  <c r="U14"/>
  <c r="D14"/>
  <c r="U15"/>
  <c r="U16"/>
  <c r="U18"/>
  <c r="V18"/>
  <c r="U19"/>
  <c r="D19"/>
  <c r="U20"/>
  <c r="U23"/>
  <c r="U10"/>
  <c r="D10"/>
  <c r="C56"/>
  <c r="C57"/>
  <c r="C58"/>
  <c r="D55"/>
  <c r="C55"/>
  <c r="C54"/>
  <c r="C40"/>
  <c r="D40"/>
  <c r="C42"/>
  <c r="C43"/>
  <c r="C45"/>
  <c r="C47"/>
  <c r="D47"/>
  <c r="C48"/>
  <c r="C49"/>
  <c r="C50"/>
  <c r="C52"/>
  <c r="C53"/>
  <c r="C38"/>
  <c r="C34"/>
  <c r="D34"/>
  <c r="C35"/>
  <c r="D35"/>
  <c r="C36"/>
  <c r="D36"/>
  <c r="C33"/>
  <c r="C26"/>
  <c r="D26"/>
  <c r="C27"/>
  <c r="D27"/>
  <c r="C28"/>
  <c r="D28"/>
  <c r="C29"/>
  <c r="D29"/>
  <c r="C30"/>
  <c r="D30"/>
  <c r="C31"/>
  <c r="D31"/>
  <c r="C13"/>
  <c r="C14"/>
  <c r="C15"/>
  <c r="C16"/>
  <c r="C17"/>
  <c r="C18"/>
  <c r="C19"/>
  <c r="C22"/>
  <c r="C23"/>
  <c r="C12"/>
  <c r="C11"/>
  <c r="C7"/>
  <c r="BN58"/>
  <c r="BN53"/>
  <c r="BN47"/>
  <c r="BN33"/>
  <c r="BN31"/>
  <c r="BN22"/>
  <c r="BN14"/>
  <c r="BQ7"/>
  <c r="BP7"/>
  <c r="BO7"/>
  <c r="BN7"/>
  <c r="BQ6"/>
  <c r="BP6"/>
  <c r="BO6"/>
  <c r="BN6"/>
  <c r="BQ5"/>
  <c r="BP5"/>
  <c r="BO5"/>
  <c r="BN5"/>
  <c r="AW57"/>
  <c r="AW56"/>
  <c r="AL54"/>
  <c r="AK54"/>
  <c r="AW43"/>
  <c r="AW40"/>
  <c r="AL37"/>
  <c r="AK37"/>
  <c r="AW34"/>
  <c r="AW33"/>
  <c r="AK32"/>
  <c r="AW27"/>
  <c r="AW26"/>
  <c r="AL24"/>
  <c r="AK24"/>
  <c r="AK9"/>
  <c r="AZ7"/>
  <c r="AY7"/>
  <c r="AX7"/>
  <c r="AW7"/>
  <c r="AZ6"/>
  <c r="AY6"/>
  <c r="AX6"/>
  <c r="BA6"/>
  <c r="AW6"/>
  <c r="AZ5"/>
  <c r="AY5"/>
  <c r="AX5"/>
  <c r="AW5"/>
  <c r="BA5"/>
  <c r="T54"/>
  <c r="AF48"/>
  <c r="D83" i="17"/>
  <c r="G47"/>
  <c r="H47"/>
  <c r="F51"/>
  <c r="V53" i="23"/>
  <c r="E53"/>
  <c r="AF55"/>
  <c r="X55"/>
  <c r="D42"/>
  <c r="BN55"/>
  <c r="D32" i="4"/>
  <c r="H43" i="8"/>
  <c r="AL32" i="23"/>
  <c r="D50"/>
  <c r="Y99" i="22"/>
  <c r="Z99"/>
  <c r="X527" i="21"/>
  <c r="Z527"/>
  <c r="AS501"/>
  <c r="X497"/>
  <c r="X507"/>
  <c r="Z497"/>
  <c r="Z507"/>
  <c r="AA497"/>
  <c r="AB497"/>
  <c r="AS471"/>
  <c r="D53" i="23"/>
  <c r="BC63" i="27"/>
  <c r="BE63"/>
  <c r="BH63"/>
  <c r="BI63"/>
  <c r="BK63"/>
  <c r="BL65"/>
  <c r="BN65"/>
  <c r="BQ65"/>
  <c r="BR65"/>
  <c r="BL57"/>
  <c r="BN57"/>
  <c r="BQ57"/>
  <c r="BR57"/>
  <c r="BT57"/>
  <c r="BL60"/>
  <c r="BN60"/>
  <c r="BQ60"/>
  <c r="BR60"/>
  <c r="BT60"/>
  <c r="BC55"/>
  <c r="BE55"/>
  <c r="BH55"/>
  <c r="BI55"/>
  <c r="BK55"/>
  <c r="BW58"/>
  <c r="BZ58"/>
  <c r="CA58"/>
  <c r="CC58"/>
  <c r="CD58"/>
  <c r="CF58"/>
  <c r="CI58"/>
  <c r="CJ58"/>
  <c r="BT61"/>
  <c r="BN61"/>
  <c r="BQ61"/>
  <c r="BR61"/>
  <c r="X300" i="22"/>
  <c r="AK172"/>
  <c r="X172"/>
  <c r="AD172"/>
  <c r="AD176"/>
  <c r="AL172"/>
  <c r="AS182"/>
  <c r="AQ391"/>
  <c r="AQ172"/>
  <c r="AS161"/>
  <c r="AS178"/>
  <c r="AB139"/>
  <c r="AB119"/>
  <c r="Y119"/>
  <c r="AD119"/>
  <c r="AB178"/>
  <c r="AD180"/>
  <c r="X180"/>
  <c r="AD161"/>
  <c r="AB129"/>
  <c r="AD129"/>
  <c r="AD133"/>
  <c r="AB483"/>
  <c r="X552"/>
  <c r="Z407"/>
  <c r="AB234"/>
  <c r="Y234"/>
  <c r="Z497"/>
  <c r="AB362"/>
  <c r="Z25"/>
  <c r="AQ69"/>
  <c r="AB322"/>
  <c r="AB191"/>
  <c r="AB401"/>
  <c r="Y401"/>
  <c r="Z401"/>
  <c r="Z509"/>
  <c r="AS141"/>
  <c r="AB377"/>
  <c r="Y377"/>
  <c r="Z377"/>
  <c r="Z298"/>
  <c r="Z330"/>
  <c r="AI69"/>
  <c r="Y97"/>
  <c r="AP15"/>
  <c r="AI15"/>
  <c r="Z123"/>
  <c r="Z127"/>
  <c r="Y346"/>
  <c r="AS346"/>
  <c r="AS129"/>
  <c r="X405"/>
  <c r="AB391"/>
  <c r="X159"/>
  <c r="AB141"/>
  <c r="Y141"/>
  <c r="Y159"/>
  <c r="AD141"/>
  <c r="AD159"/>
  <c r="Z423"/>
  <c r="Z425"/>
  <c r="AG21"/>
  <c r="X21"/>
  <c r="Z196"/>
  <c r="AB427"/>
  <c r="X433"/>
  <c r="X389"/>
  <c r="AB381"/>
  <c r="AB437"/>
  <c r="AB198"/>
  <c r="AB202"/>
  <c r="AS250"/>
  <c r="AL69"/>
  <c r="AK69"/>
  <c r="X557"/>
  <c r="X669"/>
  <c r="Z481"/>
  <c r="AB413"/>
  <c r="AB421"/>
  <c r="X421"/>
  <c r="AB300"/>
  <c r="W666"/>
  <c r="AJ15"/>
  <c r="AQ15"/>
  <c r="X540"/>
  <c r="X379"/>
  <c r="AB172"/>
  <c r="AF670"/>
  <c r="K563"/>
  <c r="N562"/>
  <c r="AH562"/>
  <c r="AJ562"/>
  <c r="AE562"/>
  <c r="AE670"/>
  <c r="AD182"/>
  <c r="AD184"/>
  <c r="X184"/>
  <c r="AB182"/>
  <c r="AB184"/>
  <c r="Y250"/>
  <c r="AF19"/>
  <c r="K20"/>
  <c r="AE19"/>
  <c r="AE665"/>
  <c r="AE664"/>
  <c r="AE676"/>
  <c r="G23"/>
  <c r="Z316"/>
  <c r="AM666"/>
  <c r="AK15"/>
  <c r="Z604"/>
  <c r="AB204"/>
  <c r="X69"/>
  <c r="V314" i="21"/>
  <c r="X178"/>
  <c r="V180"/>
  <c r="AD149"/>
  <c r="X119"/>
  <c r="AD119"/>
  <c r="AD282"/>
  <c r="W282"/>
  <c r="AM282"/>
  <c r="X282"/>
  <c r="AB282"/>
  <c r="X129"/>
  <c r="X196"/>
  <c r="AB196"/>
  <c r="Y196"/>
  <c r="X535"/>
  <c r="AD35"/>
  <c r="Y35"/>
  <c r="Z35"/>
  <c r="AD157"/>
  <c r="Y157"/>
  <c r="Z157"/>
  <c r="AD55"/>
  <c r="Y55"/>
  <c r="Z55"/>
  <c r="AD167"/>
  <c r="AB167"/>
  <c r="Y167"/>
  <c r="Z167"/>
  <c r="AD59"/>
  <c r="AD145"/>
  <c r="AB145"/>
  <c r="Y145"/>
  <c r="AD163"/>
  <c r="AB163"/>
  <c r="AD153"/>
  <c r="Y153"/>
  <c r="Z153"/>
  <c r="AB425"/>
  <c r="AD328"/>
  <c r="AD43"/>
  <c r="Z451"/>
  <c r="AA451"/>
  <c r="AB451"/>
  <c r="AD103"/>
  <c r="AB103"/>
  <c r="Y103"/>
  <c r="AD81"/>
  <c r="AB81"/>
  <c r="Y81"/>
  <c r="Z81"/>
  <c r="AD39"/>
  <c r="AB39"/>
  <c r="Y39"/>
  <c r="Z39"/>
  <c r="AD165"/>
  <c r="AB165"/>
  <c r="Y165"/>
  <c r="Z165"/>
  <c r="AB127"/>
  <c r="AD71"/>
  <c r="AB71"/>
  <c r="Y71"/>
  <c r="Z71"/>
  <c r="Y391"/>
  <c r="AD75"/>
  <c r="AB75"/>
  <c r="Y75"/>
  <c r="AD131"/>
  <c r="AB131"/>
  <c r="Y131"/>
  <c r="Y133"/>
  <c r="AD115"/>
  <c r="AB115"/>
  <c r="Y115"/>
  <c r="AD29"/>
  <c r="AB29"/>
  <c r="Y29"/>
  <c r="AB172"/>
  <c r="AD139"/>
  <c r="AB135"/>
  <c r="AD91"/>
  <c r="Y91"/>
  <c r="Z91"/>
  <c r="Z25"/>
  <c r="R5" i="24"/>
  <c r="C75"/>
  <c r="D75"/>
  <c r="V141" i="21"/>
  <c r="X141"/>
  <c r="AU99"/>
  <c r="AD99"/>
  <c r="W495"/>
  <c r="N280"/>
  <c r="V250"/>
  <c r="X204"/>
  <c r="AB204"/>
  <c r="W445"/>
  <c r="W557"/>
  <c r="W669"/>
  <c r="W507"/>
  <c r="X483"/>
  <c r="Z483"/>
  <c r="AA483"/>
  <c r="N184"/>
  <c r="V182"/>
  <c r="X182"/>
  <c r="G560"/>
  <c r="K16"/>
  <c r="N15"/>
  <c r="G17"/>
  <c r="W260"/>
  <c r="AD280"/>
  <c r="AD405"/>
  <c r="W401"/>
  <c r="W193"/>
  <c r="AD370"/>
  <c r="W362"/>
  <c r="AM362"/>
  <c r="W481"/>
  <c r="X471"/>
  <c r="X481"/>
  <c r="Z471"/>
  <c r="AA471"/>
  <c r="AB471"/>
  <c r="AB481"/>
  <c r="W202"/>
  <c r="X198"/>
  <c r="AB198"/>
  <c r="Y198"/>
  <c r="Z198"/>
  <c r="AD668"/>
  <c r="X169"/>
  <c r="W552"/>
  <c r="AD379"/>
  <c r="W377"/>
  <c r="W540"/>
  <c r="X538"/>
  <c r="Z538"/>
  <c r="AA538"/>
  <c r="W328"/>
  <c r="X322"/>
  <c r="AD248"/>
  <c r="W234"/>
  <c r="AM234"/>
  <c r="W602"/>
  <c r="W670"/>
  <c r="W314"/>
  <c r="X437"/>
  <c r="E50" i="24"/>
  <c r="D72"/>
  <c r="D82"/>
  <c r="C53"/>
  <c r="C54"/>
  <c r="D31"/>
  <c r="D37"/>
  <c r="H30"/>
  <c r="I53"/>
  <c r="I30"/>
  <c r="G30"/>
  <c r="E71"/>
  <c r="I29"/>
  <c r="D71"/>
  <c r="I28"/>
  <c r="N10"/>
  <c r="O9"/>
  <c r="M8"/>
  <c r="L9"/>
  <c r="L10"/>
  <c r="M10"/>
  <c r="D52"/>
  <c r="G20"/>
  <c r="C22"/>
  <c r="E43"/>
  <c r="E41"/>
  <c r="E18"/>
  <c r="G18"/>
  <c r="G21"/>
  <c r="G17"/>
  <c r="F17"/>
  <c r="D51" i="23"/>
  <c r="C51"/>
  <c r="V45"/>
  <c r="D45"/>
  <c r="V46"/>
  <c r="AF46"/>
  <c r="D46"/>
  <c r="C46"/>
  <c r="U41"/>
  <c r="D41"/>
  <c r="C44"/>
  <c r="V49"/>
  <c r="D49"/>
  <c r="D39"/>
  <c r="V39"/>
  <c r="W39"/>
  <c r="C39"/>
  <c r="BG33"/>
  <c r="BF53"/>
  <c r="BG53"/>
  <c r="BH53"/>
  <c r="BE13"/>
  <c r="BF13"/>
  <c r="BN13"/>
  <c r="BE38"/>
  <c r="BN38"/>
  <c r="BN15"/>
  <c r="BE15"/>
  <c r="BE35"/>
  <c r="BF35"/>
  <c r="BN35"/>
  <c r="BN40"/>
  <c r="BN43"/>
  <c r="BE46"/>
  <c r="BN46"/>
  <c r="BF22"/>
  <c r="BG22"/>
  <c r="BH22"/>
  <c r="BI22"/>
  <c r="BJ22"/>
  <c r="BO22"/>
  <c r="BE30"/>
  <c r="BN30"/>
  <c r="BE42"/>
  <c r="BN42"/>
  <c r="BE56"/>
  <c r="BR5"/>
  <c r="BR6"/>
  <c r="BR7"/>
  <c r="BD57"/>
  <c r="AW58"/>
  <c r="D58"/>
  <c r="AW45"/>
  <c r="AN42"/>
  <c r="AO42"/>
  <c r="AW42"/>
  <c r="AN53"/>
  <c r="AW53"/>
  <c r="AW50"/>
  <c r="AN31"/>
  <c r="AW31"/>
  <c r="AW19"/>
  <c r="AL9"/>
  <c r="U54"/>
  <c r="E56"/>
  <c r="AF56"/>
  <c r="W50"/>
  <c r="AF50"/>
  <c r="W46"/>
  <c r="AF36"/>
  <c r="V16"/>
  <c r="AF16"/>
  <c r="D16"/>
  <c r="V23"/>
  <c r="AF23"/>
  <c r="V19"/>
  <c r="V15"/>
  <c r="D15"/>
  <c r="D11"/>
  <c r="V20"/>
  <c r="AF20"/>
  <c r="D20"/>
  <c r="AF21"/>
  <c r="V17"/>
  <c r="D17"/>
  <c r="V13"/>
  <c r="D13"/>
  <c r="D12"/>
  <c r="V12"/>
  <c r="AF12"/>
  <c r="V22"/>
  <c r="W22"/>
  <c r="D22"/>
  <c r="D18"/>
  <c r="V14"/>
  <c r="W14"/>
  <c r="U9"/>
  <c r="V10"/>
  <c r="AF10"/>
  <c r="C10"/>
  <c r="C9"/>
  <c r="T9"/>
  <c r="I9" i="17"/>
  <c r="I10"/>
  <c r="O53" i="23"/>
  <c r="W53"/>
  <c r="AA507" i="21"/>
  <c r="AB483"/>
  <c r="AA481"/>
  <c r="BU60" i="27"/>
  <c r="BW60"/>
  <c r="BZ60"/>
  <c r="CA60"/>
  <c r="CC60"/>
  <c r="CD60"/>
  <c r="CF60"/>
  <c r="CI60"/>
  <c r="CJ60"/>
  <c r="BL55"/>
  <c r="BN55"/>
  <c r="BQ55"/>
  <c r="BR55"/>
  <c r="BT55"/>
  <c r="CC65"/>
  <c r="CD65"/>
  <c r="CF65"/>
  <c r="CI65"/>
  <c r="CJ65"/>
  <c r="BU65"/>
  <c r="BW65"/>
  <c r="BZ65"/>
  <c r="CA65"/>
  <c r="BU57"/>
  <c r="BW57"/>
  <c r="BZ57"/>
  <c r="CA57"/>
  <c r="I87"/>
  <c r="J40" i="20"/>
  <c r="CC57" i="27"/>
  <c r="CD57"/>
  <c r="CF57"/>
  <c r="CI57"/>
  <c r="CJ57"/>
  <c r="J87"/>
  <c r="K40" i="20"/>
  <c r="BL63" i="27"/>
  <c r="BN63"/>
  <c r="BQ63"/>
  <c r="BR63"/>
  <c r="H89"/>
  <c r="BT63"/>
  <c r="X176" i="22"/>
  <c r="AF663"/>
  <c r="Y161"/>
  <c r="Y139"/>
  <c r="Z139"/>
  <c r="Y178"/>
  <c r="Y180"/>
  <c r="AB180"/>
  <c r="Y204"/>
  <c r="Y182"/>
  <c r="Y184"/>
  <c r="AI21"/>
  <c r="AP21"/>
  <c r="Z346"/>
  <c r="AB133"/>
  <c r="Y129"/>
  <c r="AB379"/>
  <c r="AE663"/>
  <c r="AA604"/>
  <c r="Z540"/>
  <c r="AA538"/>
  <c r="AA481"/>
  <c r="AB481"/>
  <c r="AB557"/>
  <c r="AB669"/>
  <c r="AB21"/>
  <c r="Z21"/>
  <c r="Y391"/>
  <c r="Z97"/>
  <c r="Y379"/>
  <c r="Z373"/>
  <c r="Z379"/>
  <c r="Y362"/>
  <c r="Z362"/>
  <c r="N19"/>
  <c r="AH19"/>
  <c r="Z250"/>
  <c r="Y300"/>
  <c r="Y198"/>
  <c r="AB389"/>
  <c r="Y381"/>
  <c r="Y389"/>
  <c r="AJ21"/>
  <c r="AQ21"/>
  <c r="AA497"/>
  <c r="Z552"/>
  <c r="AD69"/>
  <c r="AB69"/>
  <c r="Z230"/>
  <c r="AG562"/>
  <c r="X562"/>
  <c r="Z562"/>
  <c r="AA562"/>
  <c r="AB562"/>
  <c r="AB176"/>
  <c r="Y172"/>
  <c r="Y176"/>
  <c r="Y413"/>
  <c r="Y427"/>
  <c r="AB159"/>
  <c r="AS15"/>
  <c r="AA509"/>
  <c r="AB193"/>
  <c r="AB666"/>
  <c r="Y191"/>
  <c r="Y322"/>
  <c r="X180" i="21"/>
  <c r="AB119"/>
  <c r="Y119"/>
  <c r="X133"/>
  <c r="AB129"/>
  <c r="AB133"/>
  <c r="AB322"/>
  <c r="Y204"/>
  <c r="Y425"/>
  <c r="Z423"/>
  <c r="Z425"/>
  <c r="Y163"/>
  <c r="X540"/>
  <c r="Y330"/>
  <c r="Y172"/>
  <c r="AB139"/>
  <c r="Y135"/>
  <c r="Y139"/>
  <c r="Z391"/>
  <c r="I19" i="17"/>
  <c r="V15" i="21"/>
  <c r="X401"/>
  <c r="G19"/>
  <c r="K18"/>
  <c r="V184"/>
  <c r="W248"/>
  <c r="X234"/>
  <c r="W370"/>
  <c r="X362"/>
  <c r="W666"/>
  <c r="X260"/>
  <c r="K561"/>
  <c r="N560"/>
  <c r="G562"/>
  <c r="AD182"/>
  <c r="AD184"/>
  <c r="W379"/>
  <c r="D76" i="24"/>
  <c r="D74"/>
  <c r="AL21" i="23"/>
  <c r="G29" i="24"/>
  <c r="E76"/>
  <c r="H31"/>
  <c r="E31"/>
  <c r="I31"/>
  <c r="C76"/>
  <c r="G63"/>
  <c r="O71"/>
  <c r="N11"/>
  <c r="O10"/>
  <c r="M9"/>
  <c r="E52"/>
  <c r="F72"/>
  <c r="F82"/>
  <c r="D53"/>
  <c r="D54"/>
  <c r="G22"/>
  <c r="O19"/>
  <c r="M18"/>
  <c r="O18"/>
  <c r="W45" i="23"/>
  <c r="X45"/>
  <c r="Y45"/>
  <c r="V41"/>
  <c r="AF41"/>
  <c r="U37"/>
  <c r="W49"/>
  <c r="X49"/>
  <c r="C37"/>
  <c r="BF42"/>
  <c r="BG42"/>
  <c r="BH42"/>
  <c r="BF46"/>
  <c r="BG46"/>
  <c r="BH46"/>
  <c r="BF38"/>
  <c r="BG38"/>
  <c r="BF30"/>
  <c r="BG30"/>
  <c r="BG35"/>
  <c r="BO35"/>
  <c r="BG13"/>
  <c r="BH13"/>
  <c r="BI13"/>
  <c r="BO13"/>
  <c r="BF56"/>
  <c r="BG56"/>
  <c r="BF15"/>
  <c r="BG15"/>
  <c r="BH15"/>
  <c r="BI15"/>
  <c r="BJ15"/>
  <c r="BK15"/>
  <c r="BH33"/>
  <c r="BI33"/>
  <c r="BE57"/>
  <c r="BN57"/>
  <c r="BF40"/>
  <c r="BG40"/>
  <c r="BE54"/>
  <c r="BD54"/>
  <c r="AP58"/>
  <c r="AX58"/>
  <c r="AO53"/>
  <c r="AX42"/>
  <c r="AP42"/>
  <c r="AQ42"/>
  <c r="AO50"/>
  <c r="AP50"/>
  <c r="AQ50"/>
  <c r="AP45"/>
  <c r="AX45"/>
  <c r="AQ45"/>
  <c r="AR45"/>
  <c r="AO31"/>
  <c r="AP31"/>
  <c r="AQ31"/>
  <c r="AW15"/>
  <c r="AW20"/>
  <c r="D9"/>
  <c r="AW11"/>
  <c r="AA55"/>
  <c r="F53"/>
  <c r="X53"/>
  <c r="X46"/>
  <c r="X50"/>
  <c r="X36"/>
  <c r="W12"/>
  <c r="W13"/>
  <c r="X13"/>
  <c r="W16"/>
  <c r="W17"/>
  <c r="W11"/>
  <c r="W15"/>
  <c r="X15"/>
  <c r="E15"/>
  <c r="O15"/>
  <c r="W18"/>
  <c r="X18"/>
  <c r="W19"/>
  <c r="X19"/>
  <c r="AF11"/>
  <c r="W20"/>
  <c r="X20"/>
  <c r="W23"/>
  <c r="AF18"/>
  <c r="AF17"/>
  <c r="V9"/>
  <c r="W10"/>
  <c r="D127" i="8"/>
  <c r="BU63" i="27"/>
  <c r="BW63"/>
  <c r="BZ63"/>
  <c r="CA63"/>
  <c r="I89"/>
  <c r="J42" i="20"/>
  <c r="CC63" i="27"/>
  <c r="CD63"/>
  <c r="CF63"/>
  <c r="CI63"/>
  <c r="CJ63"/>
  <c r="BU55"/>
  <c r="BW55"/>
  <c r="BZ55"/>
  <c r="CA55"/>
  <c r="CC55"/>
  <c r="CD55"/>
  <c r="CF55"/>
  <c r="CI55"/>
  <c r="Z161" i="22"/>
  <c r="Z178"/>
  <c r="Z180"/>
  <c r="Z141"/>
  <c r="Z159"/>
  <c r="Y69"/>
  <c r="AA552"/>
  <c r="AB542"/>
  <c r="AB552"/>
  <c r="Z381"/>
  <c r="Z389"/>
  <c r="Z391"/>
  <c r="Y557"/>
  <c r="Y669"/>
  <c r="Z555"/>
  <c r="Z557"/>
  <c r="Z669"/>
  <c r="AA540"/>
  <c r="AB538"/>
  <c r="AB540"/>
  <c r="Y133"/>
  <c r="Z129"/>
  <c r="Z133"/>
  <c r="Y193"/>
  <c r="Y666"/>
  <c r="Z427"/>
  <c r="Z172"/>
  <c r="Z176"/>
  <c r="AP562"/>
  <c r="AI562"/>
  <c r="Z198"/>
  <c r="Z202"/>
  <c r="Z322"/>
  <c r="AB509"/>
  <c r="Z413"/>
  <c r="AQ562"/>
  <c r="AB497"/>
  <c r="AB527"/>
  <c r="AB604"/>
  <c r="Z204"/>
  <c r="V19"/>
  <c r="AG19"/>
  <c r="Z182"/>
  <c r="Z184"/>
  <c r="Y129" i="21"/>
  <c r="Z172"/>
  <c r="Y535"/>
  <c r="AB557"/>
  <c r="AB669"/>
  <c r="Y521"/>
  <c r="Z204"/>
  <c r="Y322"/>
  <c r="AB362"/>
  <c r="Z358"/>
  <c r="Z330"/>
  <c r="AB401"/>
  <c r="Y282"/>
  <c r="AB234"/>
  <c r="Z135"/>
  <c r="Z139"/>
  <c r="Z163"/>
  <c r="Y507"/>
  <c r="K563"/>
  <c r="N562"/>
  <c r="G602"/>
  <c r="G663"/>
  <c r="D38" i="24"/>
  <c r="H37"/>
  <c r="C74"/>
  <c r="O76"/>
  <c r="F71"/>
  <c r="P71"/>
  <c r="E42"/>
  <c r="I55"/>
  <c r="O11"/>
  <c r="N12"/>
  <c r="L11"/>
  <c r="E53"/>
  <c r="G72"/>
  <c r="G82"/>
  <c r="H54"/>
  <c r="I54"/>
  <c r="H77"/>
  <c r="P77"/>
  <c r="W41" i="23"/>
  <c r="X39"/>
  <c r="BF57"/>
  <c r="BF54"/>
  <c r="BP15"/>
  <c r="BO38"/>
  <c r="BJ13"/>
  <c r="BP13"/>
  <c r="AR50"/>
  <c r="AS50"/>
  <c r="AT50"/>
  <c r="AU50"/>
  <c r="AV50"/>
  <c r="AS45"/>
  <c r="AT45"/>
  <c r="AG56"/>
  <c r="Y53"/>
  <c r="G53"/>
  <c r="Y50"/>
  <c r="Y46"/>
  <c r="AG53"/>
  <c r="Y36"/>
  <c r="X16"/>
  <c r="X12"/>
  <c r="X23"/>
  <c r="X11"/>
  <c r="X22"/>
  <c r="X17"/>
  <c r="X14"/>
  <c r="X10"/>
  <c r="W9"/>
  <c r="D105" i="8"/>
  <c r="N102"/>
  <c r="BO55" i="23"/>
  <c r="E32" i="4"/>
  <c r="AY50" i="23"/>
  <c r="AQ19" i="22"/>
  <c r="AJ19"/>
  <c r="AK19"/>
  <c r="AL19"/>
  <c r="Z69"/>
  <c r="AI19"/>
  <c r="AP19"/>
  <c r="X19"/>
  <c r="AS562"/>
  <c r="Y445" i="21"/>
  <c r="Z437"/>
  <c r="AA437"/>
  <c r="AB437"/>
  <c r="Y234"/>
  <c r="Y401"/>
  <c r="Y362"/>
  <c r="Z322"/>
  <c r="Y495"/>
  <c r="Y540"/>
  <c r="Z540"/>
  <c r="Z282"/>
  <c r="Z481"/>
  <c r="Y481"/>
  <c r="Y552"/>
  <c r="Y557"/>
  <c r="Y669"/>
  <c r="X562"/>
  <c r="Z562"/>
  <c r="AA562"/>
  <c r="AB562"/>
  <c r="I63" i="24"/>
  <c r="D39"/>
  <c r="H38"/>
  <c r="E38"/>
  <c r="G31"/>
  <c r="G42"/>
  <c r="F76"/>
  <c r="AK21" i="23"/>
  <c r="I56" i="24"/>
  <c r="M19"/>
  <c r="N13"/>
  <c r="L12"/>
  <c r="M11"/>
  <c r="D55"/>
  <c r="X41" i="23"/>
  <c r="Y39"/>
  <c r="BH38"/>
  <c r="BH56"/>
  <c r="BG57"/>
  <c r="BO57"/>
  <c r="BH40"/>
  <c r="BO40"/>
  <c r="BL15"/>
  <c r="BM15"/>
  <c r="BQ15"/>
  <c r="BJ33"/>
  <c r="AU45"/>
  <c r="AV45"/>
  <c r="AB55"/>
  <c r="Z46"/>
  <c r="Z45"/>
  <c r="AG45"/>
  <c r="AG46"/>
  <c r="Z50"/>
  <c r="Z53"/>
  <c r="AG50"/>
  <c r="AG36"/>
  <c r="Y11"/>
  <c r="Y17"/>
  <c r="AG11"/>
  <c r="Y18"/>
  <c r="AG18"/>
  <c r="Y15"/>
  <c r="Y14"/>
  <c r="Y22"/>
  <c r="Y12"/>
  <c r="Y16"/>
  <c r="Y20"/>
  <c r="Y23"/>
  <c r="AG23"/>
  <c r="Y13"/>
  <c r="Y19"/>
  <c r="X9"/>
  <c r="Y10"/>
  <c r="AG10"/>
  <c r="D36" i="4"/>
  <c r="E36"/>
  <c r="G35"/>
  <c r="I45" i="8"/>
  <c r="D12" i="20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C13"/>
  <c r="C12"/>
  <c r="R114"/>
  <c r="Q114"/>
  <c r="P114"/>
  <c r="S114"/>
  <c r="O114"/>
  <c r="R110"/>
  <c r="Q110"/>
  <c r="P110"/>
  <c r="O110"/>
  <c r="S110"/>
  <c r="R109"/>
  <c r="Q109"/>
  <c r="P109"/>
  <c r="O109"/>
  <c r="S109"/>
  <c r="N125"/>
  <c r="M125"/>
  <c r="L125"/>
  <c r="R125"/>
  <c r="K125"/>
  <c r="J125"/>
  <c r="I125"/>
  <c r="H125"/>
  <c r="G125"/>
  <c r="F125"/>
  <c r="E125"/>
  <c r="D125"/>
  <c r="O125"/>
  <c r="C125"/>
  <c r="R106"/>
  <c r="Q106"/>
  <c r="P106"/>
  <c r="O106"/>
  <c r="S106"/>
  <c r="R102"/>
  <c r="Q102"/>
  <c r="P102"/>
  <c r="O102"/>
  <c r="R101"/>
  <c r="Q101"/>
  <c r="P101"/>
  <c r="O101"/>
  <c r="R90"/>
  <c r="Q90"/>
  <c r="P90"/>
  <c r="O90"/>
  <c r="R86"/>
  <c r="Q86"/>
  <c r="P86"/>
  <c r="O86"/>
  <c r="O85"/>
  <c r="R72"/>
  <c r="Q72"/>
  <c r="P72"/>
  <c r="O72"/>
  <c r="R71"/>
  <c r="Q71"/>
  <c r="P71"/>
  <c r="O71"/>
  <c r="R70"/>
  <c r="Q70"/>
  <c r="P70"/>
  <c r="O70"/>
  <c r="R69"/>
  <c r="Q69"/>
  <c r="P69"/>
  <c r="O69"/>
  <c r="R66"/>
  <c r="Q66"/>
  <c r="P66"/>
  <c r="O66"/>
  <c r="S66"/>
  <c r="R65"/>
  <c r="Q65"/>
  <c r="P65"/>
  <c r="O65"/>
  <c r="D55"/>
  <c r="D59"/>
  <c r="D119"/>
  <c r="C59"/>
  <c r="C119"/>
  <c r="R58"/>
  <c r="Q58"/>
  <c r="P58"/>
  <c r="O58"/>
  <c r="R57"/>
  <c r="Q57"/>
  <c r="P57"/>
  <c r="O57"/>
  <c r="R56"/>
  <c r="Q56"/>
  <c r="P56"/>
  <c r="O56"/>
  <c r="R54"/>
  <c r="Q54"/>
  <c r="P54"/>
  <c r="O54"/>
  <c r="R53"/>
  <c r="Q53"/>
  <c r="P53"/>
  <c r="O53"/>
  <c r="R46"/>
  <c r="Q46"/>
  <c r="P46"/>
  <c r="O46"/>
  <c r="R45"/>
  <c r="Q45"/>
  <c r="P45"/>
  <c r="O45"/>
  <c r="P37"/>
  <c r="Q37"/>
  <c r="P38"/>
  <c r="Q38"/>
  <c r="R38"/>
  <c r="O38"/>
  <c r="R37"/>
  <c r="O37"/>
  <c r="E22" i="13"/>
  <c r="E21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2"/>
  <c r="E93"/>
  <c r="E94"/>
  <c r="E95"/>
  <c r="E96"/>
  <c r="E97"/>
  <c r="E99"/>
  <c r="E100"/>
  <c r="E101"/>
  <c r="E102"/>
  <c r="E103"/>
  <c r="E104"/>
  <c r="E106"/>
  <c r="E107"/>
  <c r="E108"/>
  <c r="E109"/>
  <c r="E110"/>
  <c r="E105"/>
  <c r="E111"/>
  <c r="E112"/>
  <c r="E113"/>
  <c r="E114"/>
  <c r="E115"/>
  <c r="E116"/>
  <c r="E117"/>
  <c r="E118"/>
  <c r="E120"/>
  <c r="E121"/>
  <c r="E122"/>
  <c r="E123"/>
  <c r="E119"/>
  <c r="E124"/>
  <c r="E126"/>
  <c r="E127"/>
  <c r="E128"/>
  <c r="E129"/>
  <c r="E130"/>
  <c r="E125"/>
  <c r="E131"/>
  <c r="E132"/>
  <c r="E133"/>
  <c r="E134"/>
  <c r="E135"/>
  <c r="E136"/>
  <c r="F49" i="17"/>
  <c r="I78" i="8"/>
  <c r="J78"/>
  <c r="K78"/>
  <c r="H78"/>
  <c r="I92"/>
  <c r="I95"/>
  <c r="I96"/>
  <c r="I97"/>
  <c r="J92"/>
  <c r="T92"/>
  <c r="J95"/>
  <c r="J96"/>
  <c r="J97"/>
  <c r="K92"/>
  <c r="K95"/>
  <c r="K96"/>
  <c r="K97"/>
  <c r="H92"/>
  <c r="H95"/>
  <c r="H96"/>
  <c r="H70"/>
  <c r="R70"/>
  <c r="I68"/>
  <c r="J68"/>
  <c r="K68"/>
  <c r="H68"/>
  <c r="I69"/>
  <c r="I79"/>
  <c r="J69"/>
  <c r="J79"/>
  <c r="K69"/>
  <c r="K79"/>
  <c r="H69"/>
  <c r="H79"/>
  <c r="J42"/>
  <c r="J19" i="17"/>
  <c r="J20"/>
  <c r="AL20"/>
  <c r="AL18"/>
  <c r="AL16"/>
  <c r="AL21"/>
  <c r="AL14"/>
  <c r="AL12"/>
  <c r="AL10"/>
  <c r="F85"/>
  <c r="G85"/>
  <c r="H85"/>
  <c r="K86" i="8"/>
  <c r="F84" i="17"/>
  <c r="G84"/>
  <c r="H84"/>
  <c r="E39" i="4"/>
  <c r="F39"/>
  <c r="G39"/>
  <c r="K47" i="8"/>
  <c r="D38" i="4"/>
  <c r="E38"/>
  <c r="D37"/>
  <c r="E37"/>
  <c r="F37" i="17"/>
  <c r="F40"/>
  <c r="F43"/>
  <c r="F62"/>
  <c r="I66" i="8"/>
  <c r="F31" i="17"/>
  <c r="I63" i="8"/>
  <c r="G37" i="17"/>
  <c r="G40"/>
  <c r="G43"/>
  <c r="G62"/>
  <c r="J66" i="8"/>
  <c r="G31" i="17"/>
  <c r="J63" i="8"/>
  <c r="H37" i="17"/>
  <c r="H40"/>
  <c r="D40"/>
  <c r="H43"/>
  <c r="H62"/>
  <c r="K66" i="8"/>
  <c r="H31" i="17"/>
  <c r="K63" i="8"/>
  <c r="E37" i="17"/>
  <c r="E40"/>
  <c r="E43"/>
  <c r="E62"/>
  <c r="H66" i="8"/>
  <c r="E31" i="17"/>
  <c r="H63" i="8"/>
  <c r="H18" i="4"/>
  <c r="K18"/>
  <c r="H20"/>
  <c r="I43" i="8"/>
  <c r="J9" i="17"/>
  <c r="K9"/>
  <c r="K10"/>
  <c r="J128" i="8"/>
  <c r="D30" i="17"/>
  <c r="D98"/>
  <c r="D97"/>
  <c r="A97"/>
  <c r="D95"/>
  <c r="A95"/>
  <c r="D94"/>
  <c r="A94"/>
  <c r="D91"/>
  <c r="B91"/>
  <c r="A91"/>
  <c r="D90"/>
  <c r="B90"/>
  <c r="A90"/>
  <c r="D89"/>
  <c r="B89"/>
  <c r="A89"/>
  <c r="D88"/>
  <c r="B88"/>
  <c r="A88"/>
  <c r="D87"/>
  <c r="B87"/>
  <c r="A87"/>
  <c r="D86"/>
  <c r="B86"/>
  <c r="A86"/>
  <c r="D82"/>
  <c r="A82"/>
  <c r="D81"/>
  <c r="A81"/>
  <c r="D78"/>
  <c r="A78"/>
  <c r="D77"/>
  <c r="A77"/>
  <c r="C147" i="13"/>
  <c r="D162"/>
  <c r="C163"/>
  <c r="C143"/>
  <c r="E156"/>
  <c r="G111" i="8"/>
  <c r="Q111"/>
  <c r="G110"/>
  <c r="G109"/>
  <c r="Q109"/>
  <c r="G108"/>
  <c r="G107"/>
  <c r="Q107"/>
  <c r="G106"/>
  <c r="Q106"/>
  <c r="G104"/>
  <c r="Q104"/>
  <c r="G103"/>
  <c r="Q103"/>
  <c r="I99"/>
  <c r="J99"/>
  <c r="K99"/>
  <c r="I88"/>
  <c r="J88"/>
  <c r="K88"/>
  <c r="K42"/>
  <c r="G148"/>
  <c r="D102"/>
  <c r="D107"/>
  <c r="D91"/>
  <c r="N72"/>
  <c r="D76"/>
  <c r="D62"/>
  <c r="D48"/>
  <c r="D44"/>
  <c r="D40"/>
  <c r="H33" i="4"/>
  <c r="H31"/>
  <c r="H83" i="17"/>
  <c r="K77" i="8"/>
  <c r="F83" i="17"/>
  <c r="I77" i="8"/>
  <c r="G83" i="17"/>
  <c r="J77" i="8"/>
  <c r="E164" i="13"/>
  <c r="H42" i="8"/>
  <c r="H45"/>
  <c r="H46"/>
  <c r="H47"/>
  <c r="I47"/>
  <c r="H50"/>
  <c r="I50"/>
  <c r="H86"/>
  <c r="H88"/>
  <c r="H98"/>
  <c r="I98"/>
  <c r="J98"/>
  <c r="K98"/>
  <c r="H99"/>
  <c r="E107"/>
  <c r="O107"/>
  <c r="F164" i="13"/>
  <c r="E163"/>
  <c r="D163"/>
  <c r="D164"/>
  <c r="C164"/>
  <c r="F163"/>
  <c r="D6" i="10"/>
  <c r="E6"/>
  <c r="F6"/>
  <c r="G6"/>
  <c r="C6"/>
  <c r="B7"/>
  <c r="B8"/>
  <c r="B9"/>
  <c r="B6"/>
  <c r="D61" i="17"/>
  <c r="D54"/>
  <c r="D42"/>
  <c r="D39"/>
  <c r="D36"/>
  <c r="H34" i="4"/>
  <c r="D31" i="17"/>
  <c r="D43"/>
  <c r="D37"/>
  <c r="G92" i="8"/>
  <c r="F92"/>
  <c r="R92"/>
  <c r="AZ50" i="23"/>
  <c r="I64" i="8"/>
  <c r="J64"/>
  <c r="P125" i="20"/>
  <c r="Q125"/>
  <c r="AB19" i="22"/>
  <c r="Y19"/>
  <c r="AS19"/>
  <c r="Z234" i="21"/>
  <c r="Z401"/>
  <c r="Z362"/>
  <c r="I38" i="24"/>
  <c r="M71"/>
  <c r="P76"/>
  <c r="AK8" i="23"/>
  <c r="AK4"/>
  <c r="AK3"/>
  <c r="H39" i="24"/>
  <c r="E39"/>
  <c r="J86" i="8"/>
  <c r="G64" i="24"/>
  <c r="G66"/>
  <c r="N14"/>
  <c r="N15"/>
  <c r="N16"/>
  <c r="L13"/>
  <c r="D56"/>
  <c r="Y41" i="23"/>
  <c r="AG39"/>
  <c r="Z39"/>
  <c r="BH57"/>
  <c r="BI38"/>
  <c r="BK33"/>
  <c r="BP33"/>
  <c r="BI56"/>
  <c r="BH54"/>
  <c r="BI40"/>
  <c r="BG54"/>
  <c r="AZ45"/>
  <c r="AA56"/>
  <c r="AC55"/>
  <c r="AD55"/>
  <c r="AH55"/>
  <c r="AA53"/>
  <c r="AA45"/>
  <c r="AH48"/>
  <c r="AA50"/>
  <c r="AA46"/>
  <c r="AB46"/>
  <c r="Z13"/>
  <c r="AG13"/>
  <c r="Z20"/>
  <c r="AG20"/>
  <c r="Z12"/>
  <c r="AG12"/>
  <c r="Z22"/>
  <c r="AG22"/>
  <c r="Z15"/>
  <c r="AA15"/>
  <c r="AB15"/>
  <c r="AC15"/>
  <c r="AD15"/>
  <c r="Z17"/>
  <c r="AG15"/>
  <c r="Z19"/>
  <c r="AG19"/>
  <c r="Z23"/>
  <c r="AG17"/>
  <c r="Z16"/>
  <c r="AG16"/>
  <c r="AG21"/>
  <c r="Z14"/>
  <c r="AG14"/>
  <c r="Z18"/>
  <c r="Z11"/>
  <c r="AA11"/>
  <c r="Y9"/>
  <c r="Z10"/>
  <c r="AG9"/>
  <c r="G40" i="4"/>
  <c r="K50" i="8"/>
  <c r="J50"/>
  <c r="F36" i="4"/>
  <c r="I49" i="8"/>
  <c r="H49"/>
  <c r="H105"/>
  <c r="J45"/>
  <c r="S125" i="20"/>
  <c r="Q12"/>
  <c r="S65"/>
  <c r="S69"/>
  <c r="S70"/>
  <c r="S71"/>
  <c r="S72"/>
  <c r="S101"/>
  <c r="S102"/>
  <c r="S86"/>
  <c r="S90"/>
  <c r="Q85"/>
  <c r="P85"/>
  <c r="S85"/>
  <c r="R85"/>
  <c r="S53"/>
  <c r="P12"/>
  <c r="S9" i="17"/>
  <c r="S10"/>
  <c r="S54" i="20"/>
  <c r="Q13"/>
  <c r="T11" i="17"/>
  <c r="T12"/>
  <c r="R12" i="20"/>
  <c r="U9" i="17"/>
  <c r="P13" i="20"/>
  <c r="S11" i="17"/>
  <c r="S12"/>
  <c r="E55" i="20"/>
  <c r="O12"/>
  <c r="O55"/>
  <c r="S56"/>
  <c r="S57"/>
  <c r="S58"/>
  <c r="S37"/>
  <c r="I73" i="8"/>
  <c r="F156" i="13"/>
  <c r="I20" i="17"/>
  <c r="R133" i="8"/>
  <c r="I42"/>
  <c r="D62" i="17"/>
  <c r="K64" i="8"/>
  <c r="D84" i="17"/>
  <c r="J47" i="8"/>
  <c r="H97"/>
  <c r="D96" i="17"/>
  <c r="A96"/>
  <c r="H64" i="8"/>
  <c r="U86"/>
  <c r="AN10" i="17"/>
  <c r="AO10"/>
  <c r="H39" i="4"/>
  <c r="AM10" i="17"/>
  <c r="AM17"/>
  <c r="AM19"/>
  <c r="AP9"/>
  <c r="I133" i="8"/>
  <c r="S133"/>
  <c r="R97"/>
  <c r="R9" i="17"/>
  <c r="R10"/>
  <c r="M76" i="24"/>
  <c r="G38"/>
  <c r="I58"/>
  <c r="L14"/>
  <c r="L15"/>
  <c r="D57"/>
  <c r="H57"/>
  <c r="I57"/>
  <c r="K77"/>
  <c r="Q77"/>
  <c r="AG41" i="23"/>
  <c r="Z41"/>
  <c r="AA39"/>
  <c r="BJ38"/>
  <c r="BL33"/>
  <c r="BI57"/>
  <c r="BJ40"/>
  <c r="BP40"/>
  <c r="BP38"/>
  <c r="AB56"/>
  <c r="AH56"/>
  <c r="AB50"/>
  <c r="AB53"/>
  <c r="AH53"/>
  <c r="AB45"/>
  <c r="AA16"/>
  <c r="AA17"/>
  <c r="AA18"/>
  <c r="AA12"/>
  <c r="AA14"/>
  <c r="AB14"/>
  <c r="AC14"/>
  <c r="AA13"/>
  <c r="AB13"/>
  <c r="AA22"/>
  <c r="AA10"/>
  <c r="Z9"/>
  <c r="I105" i="8"/>
  <c r="H40" i="4"/>
  <c r="J49" i="8"/>
  <c r="K45"/>
  <c r="E59" i="20"/>
  <c r="E119"/>
  <c r="F55"/>
  <c r="AM14" i="17"/>
  <c r="AN17"/>
  <c r="AO17"/>
  <c r="AM18"/>
  <c r="D85"/>
  <c r="B85"/>
  <c r="A85"/>
  <c r="AN19"/>
  <c r="AO19"/>
  <c r="AO20"/>
  <c r="AM20"/>
  <c r="AM12"/>
  <c r="AM16"/>
  <c r="C7" i="10"/>
  <c r="H39" i="8"/>
  <c r="BP55" i="23"/>
  <c r="F32" i="4"/>
  <c r="J43" i="8"/>
  <c r="Z19" i="22"/>
  <c r="I64" i="24"/>
  <c r="I59"/>
  <c r="D58"/>
  <c r="D59"/>
  <c r="AA41" i="23"/>
  <c r="AB39"/>
  <c r="BK40"/>
  <c r="BJ57"/>
  <c r="BK57"/>
  <c r="BM33"/>
  <c r="BK38"/>
  <c r="AC56"/>
  <c r="AD56"/>
  <c r="AE56"/>
  <c r="AI56"/>
  <c r="AC45"/>
  <c r="AC46"/>
  <c r="AD46"/>
  <c r="AH46"/>
  <c r="AC50"/>
  <c r="AH50"/>
  <c r="AC53"/>
  <c r="AB18"/>
  <c r="AB22"/>
  <c r="AH15"/>
  <c r="AH14"/>
  <c r="AB12"/>
  <c r="AB10"/>
  <c r="P686" i="21"/>
  <c r="H35" i="4"/>
  <c r="O104" i="20"/>
  <c r="D107"/>
  <c r="C107"/>
  <c r="O119"/>
  <c r="O59"/>
  <c r="G55"/>
  <c r="F59"/>
  <c r="F119"/>
  <c r="AP20" i="17"/>
  <c r="AN20"/>
  <c r="AO18"/>
  <c r="AN18"/>
  <c r="AN14"/>
  <c r="AN16"/>
  <c r="AP16"/>
  <c r="AN12"/>
  <c r="AP18"/>
  <c r="AP19"/>
  <c r="G65" i="24"/>
  <c r="L16"/>
  <c r="AB41" i="23"/>
  <c r="AC41"/>
  <c r="BL38"/>
  <c r="BQ33"/>
  <c r="BP57"/>
  <c r="BQ55"/>
  <c r="G32" i="4"/>
  <c r="K43" i="8"/>
  <c r="AD50" i="23"/>
  <c r="AI48"/>
  <c r="AJ48"/>
  <c r="AC12"/>
  <c r="AH12"/>
  <c r="AC22"/>
  <c r="AH21"/>
  <c r="AH18"/>
  <c r="AC13"/>
  <c r="AH13"/>
  <c r="O103" i="20"/>
  <c r="G59"/>
  <c r="G119"/>
  <c r="H55"/>
  <c r="AO12" i="17"/>
  <c r="AP12"/>
  <c r="AP11"/>
  <c r="AO16"/>
  <c r="AP15"/>
  <c r="AO14"/>
  <c r="AO21"/>
  <c r="AP13"/>
  <c r="O112" i="20"/>
  <c r="O80"/>
  <c r="D60" i="24"/>
  <c r="E60"/>
  <c r="H60"/>
  <c r="I60"/>
  <c r="I65"/>
  <c r="AH41" i="23"/>
  <c r="BM38"/>
  <c r="BQ38"/>
  <c r="AE50"/>
  <c r="AE46"/>
  <c r="AD22"/>
  <c r="AE22"/>
  <c r="AD12"/>
  <c r="R79" i="20"/>
  <c r="H59"/>
  <c r="I55"/>
  <c r="I59"/>
  <c r="P55"/>
  <c r="U10" i="17"/>
  <c r="AP14"/>
  <c r="AI50" i="23"/>
  <c r="AJ50"/>
  <c r="L115" i="20"/>
  <c r="L126"/>
  <c r="N72" i="24"/>
  <c r="AD41" i="23"/>
  <c r="AI46"/>
  <c r="AE15"/>
  <c r="AE12"/>
  <c r="O105" i="20"/>
  <c r="E107"/>
  <c r="G107"/>
  <c r="P59"/>
  <c r="H119"/>
  <c r="J55"/>
  <c r="O73"/>
  <c r="AE41" i="23"/>
  <c r="AI21"/>
  <c r="AJ21"/>
  <c r="AI15"/>
  <c r="O107" i="20"/>
  <c r="P104"/>
  <c r="F107"/>
  <c r="P103"/>
  <c r="Q104"/>
  <c r="P80"/>
  <c r="P112"/>
  <c r="R78"/>
  <c r="C25" i="23"/>
  <c r="U25"/>
  <c r="T24"/>
  <c r="T8"/>
  <c r="R111" i="20"/>
  <c r="I107"/>
  <c r="R113"/>
  <c r="O111"/>
  <c r="S111"/>
  <c r="O82"/>
  <c r="V25" i="23"/>
  <c r="D25"/>
  <c r="D24"/>
  <c r="U24"/>
  <c r="U8"/>
  <c r="C75" i="20"/>
  <c r="C24"/>
  <c r="L83"/>
  <c r="L122"/>
  <c r="R82"/>
  <c r="O79"/>
  <c r="O78"/>
  <c r="J107"/>
  <c r="P105"/>
  <c r="H107"/>
  <c r="M83"/>
  <c r="M122"/>
  <c r="R122"/>
  <c r="W25" i="23"/>
  <c r="R77" i="20"/>
  <c r="P73"/>
  <c r="O74"/>
  <c r="D75"/>
  <c r="D121"/>
  <c r="O121"/>
  <c r="D24"/>
  <c r="C121"/>
  <c r="P107"/>
  <c r="R104"/>
  <c r="S104"/>
  <c r="Q105"/>
  <c r="K107"/>
  <c r="Q103"/>
  <c r="Q80"/>
  <c r="Q112"/>
  <c r="N115"/>
  <c r="N126"/>
  <c r="M115"/>
  <c r="M126"/>
  <c r="E75"/>
  <c r="E24"/>
  <c r="O24"/>
  <c r="R80"/>
  <c r="R81"/>
  <c r="R112"/>
  <c r="R115"/>
  <c r="P111"/>
  <c r="N83"/>
  <c r="N122"/>
  <c r="E121"/>
  <c r="O75"/>
  <c r="F75"/>
  <c r="F24"/>
  <c r="P78"/>
  <c r="P79"/>
  <c r="P82"/>
  <c r="L107"/>
  <c r="M107"/>
  <c r="R103"/>
  <c r="R83"/>
  <c r="Q79"/>
  <c r="S79"/>
  <c r="G75"/>
  <c r="G121"/>
  <c r="G24"/>
  <c r="P24"/>
  <c r="X19" i="17"/>
  <c r="X20"/>
  <c r="Q73" i="20"/>
  <c r="F121"/>
  <c r="N107"/>
  <c r="Q111"/>
  <c r="Q82"/>
  <c r="S82"/>
  <c r="Q78"/>
  <c r="S78"/>
  <c r="H75"/>
  <c r="H121"/>
  <c r="H24"/>
  <c r="L23"/>
  <c r="R23"/>
  <c r="P74"/>
  <c r="R126"/>
  <c r="R105"/>
  <c r="I24"/>
  <c r="Q24"/>
  <c r="I75"/>
  <c r="M23"/>
  <c r="R73"/>
  <c r="S73"/>
  <c r="N23"/>
  <c r="J24"/>
  <c r="J75"/>
  <c r="J121"/>
  <c r="Q121"/>
  <c r="I121"/>
  <c r="Z17" i="17"/>
  <c r="Z18"/>
  <c r="Q74" i="20"/>
  <c r="S74"/>
  <c r="K24"/>
  <c r="K75"/>
  <c r="K121"/>
  <c r="Y19" i="17"/>
  <c r="Y20"/>
  <c r="L24" i="20"/>
  <c r="L75"/>
  <c r="L121"/>
  <c r="M24"/>
  <c r="M75"/>
  <c r="M121"/>
  <c r="N24"/>
  <c r="R24"/>
  <c r="Z19" i="17"/>
  <c r="Z20"/>
  <c r="N75" i="20"/>
  <c r="N121"/>
  <c r="R121"/>
  <c r="R74"/>
  <c r="R75"/>
  <c r="Z447" i="21"/>
  <c r="AA447"/>
  <c r="AB447"/>
  <c r="Y469"/>
  <c r="Y553"/>
  <c r="Y668"/>
  <c r="O77" i="20"/>
  <c r="C115"/>
  <c r="C126"/>
  <c r="D115"/>
  <c r="D126"/>
  <c r="C23"/>
  <c r="C83"/>
  <c r="C122"/>
  <c r="D23"/>
  <c r="D83"/>
  <c r="D122"/>
  <c r="O81"/>
  <c r="P77"/>
  <c r="O113"/>
  <c r="E115"/>
  <c r="E126"/>
  <c r="F115"/>
  <c r="F126"/>
  <c r="P126"/>
  <c r="E23"/>
  <c r="E83"/>
  <c r="E122"/>
  <c r="O23"/>
  <c r="W17" i="17"/>
  <c r="W18"/>
  <c r="G115" i="20"/>
  <c r="G126"/>
  <c r="O122"/>
  <c r="O126"/>
  <c r="O115"/>
  <c r="F23"/>
  <c r="F83"/>
  <c r="G23"/>
  <c r="G83"/>
  <c r="G122"/>
  <c r="Q77"/>
  <c r="S77"/>
  <c r="P113"/>
  <c r="H115"/>
  <c r="H23"/>
  <c r="H83"/>
  <c r="H122"/>
  <c r="P81"/>
  <c r="I23"/>
  <c r="I83"/>
  <c r="I115"/>
  <c r="J115"/>
  <c r="P23"/>
  <c r="X17" i="17"/>
  <c r="X18"/>
  <c r="H126" i="20"/>
  <c r="P115"/>
  <c r="J23"/>
  <c r="J83"/>
  <c r="J122"/>
  <c r="I126"/>
  <c r="I122"/>
  <c r="Q122"/>
  <c r="Q81"/>
  <c r="S81"/>
  <c r="K115"/>
  <c r="K126"/>
  <c r="K23"/>
  <c r="K83"/>
  <c r="Q113"/>
  <c r="S113"/>
  <c r="Q23"/>
  <c r="Y17" i="17"/>
  <c r="K122" i="20"/>
  <c r="Q83"/>
  <c r="R128" i="8"/>
  <c r="H128"/>
  <c r="J10" i="17"/>
  <c r="C19" i="10"/>
  <c r="L17" i="20"/>
  <c r="S46"/>
  <c r="H32" i="26"/>
  <c r="AJ56" i="23"/>
  <c r="F109" i="8"/>
  <c r="P109"/>
  <c r="BN54" i="23"/>
  <c r="T64" i="8"/>
  <c r="U68"/>
  <c r="U64"/>
  <c r="T45"/>
  <c r="T50"/>
  <c r="U98"/>
  <c r="R50"/>
  <c r="R45"/>
  <c r="S43"/>
  <c r="S66"/>
  <c r="R79"/>
  <c r="T79"/>
  <c r="R68"/>
  <c r="U97"/>
  <c r="T97"/>
  <c r="S92"/>
  <c r="S78"/>
  <c r="R88"/>
  <c r="T88"/>
  <c r="U43"/>
  <c r="T43"/>
  <c r="H102"/>
  <c r="P92"/>
  <c r="T47"/>
  <c r="E92"/>
  <c r="T98"/>
  <c r="S99"/>
  <c r="T63"/>
  <c r="U47"/>
  <c r="R69"/>
  <c r="T69"/>
  <c r="R96"/>
  <c r="U96"/>
  <c r="T96"/>
  <c r="S97"/>
  <c r="R78"/>
  <c r="S45"/>
  <c r="J105"/>
  <c r="T86"/>
  <c r="R99"/>
  <c r="R98"/>
  <c r="R46"/>
  <c r="U88"/>
  <c r="U99"/>
  <c r="R63"/>
  <c r="U66"/>
  <c r="T66"/>
  <c r="T42"/>
  <c r="U69"/>
  <c r="S69"/>
  <c r="S68"/>
  <c r="U92"/>
  <c r="S95"/>
  <c r="T78"/>
  <c r="U70"/>
  <c r="R39"/>
  <c r="U45"/>
  <c r="I102"/>
  <c r="S42"/>
  <c r="S73"/>
  <c r="S49"/>
  <c r="S64"/>
  <c r="S98"/>
  <c r="R86"/>
  <c r="R47"/>
  <c r="U77"/>
  <c r="U42"/>
  <c r="S88"/>
  <c r="U63"/>
  <c r="U79"/>
  <c r="S79"/>
  <c r="T68"/>
  <c r="R95"/>
  <c r="U95"/>
  <c r="T95"/>
  <c r="S96"/>
  <c r="U78"/>
  <c r="F19" i="4"/>
  <c r="E4"/>
  <c r="D7" i="10"/>
  <c r="F37" i="4"/>
  <c r="I46" i="8"/>
  <c r="R13" i="20"/>
  <c r="U11" i="17"/>
  <c r="U12"/>
  <c r="O13" i="20"/>
  <c r="F52" i="17"/>
  <c r="S45" i="20"/>
  <c r="J17"/>
  <c r="W35" i="23"/>
  <c r="AF35"/>
  <c r="AW12"/>
  <c r="E12"/>
  <c r="AN47"/>
  <c r="AW47"/>
  <c r="BE19"/>
  <c r="BN19"/>
  <c r="Y49"/>
  <c r="Z49"/>
  <c r="AA49"/>
  <c r="E58"/>
  <c r="W58"/>
  <c r="AF58"/>
  <c r="AN52"/>
  <c r="AW52"/>
  <c r="BN18"/>
  <c r="BE18"/>
  <c r="BE41"/>
  <c r="BF41"/>
  <c r="BG41"/>
  <c r="BH41"/>
  <c r="BN41"/>
  <c r="BE44"/>
  <c r="BN44"/>
  <c r="BE50"/>
  <c r="F50"/>
  <c r="E50"/>
  <c r="BN50"/>
  <c r="BP46"/>
  <c r="BI46"/>
  <c r="BJ46"/>
  <c r="BK46"/>
  <c r="E26"/>
  <c r="O26"/>
  <c r="AF26"/>
  <c r="W26"/>
  <c r="E42"/>
  <c r="O42"/>
  <c r="W42"/>
  <c r="AN16"/>
  <c r="E16"/>
  <c r="O16"/>
  <c r="AW16"/>
  <c r="AN55"/>
  <c r="AW55"/>
  <c r="AW54"/>
  <c r="AM54"/>
  <c r="E55"/>
  <c r="O55"/>
  <c r="BE12"/>
  <c r="BF12"/>
  <c r="BG12"/>
  <c r="BH12"/>
  <c r="BN12"/>
  <c r="BE26"/>
  <c r="BF26"/>
  <c r="BG26"/>
  <c r="BN26"/>
  <c r="BE36"/>
  <c r="BF36"/>
  <c r="BG36"/>
  <c r="BH36"/>
  <c r="BN36"/>
  <c r="BE45"/>
  <c r="BN45"/>
  <c r="BN51"/>
  <c r="BE51"/>
  <c r="AF38"/>
  <c r="W38"/>
  <c r="AN49"/>
  <c r="AW49"/>
  <c r="BI14"/>
  <c r="BJ14"/>
  <c r="BK14"/>
  <c r="BN17"/>
  <c r="BE17"/>
  <c r="BF17"/>
  <c r="BG17"/>
  <c r="BO17"/>
  <c r="BE28"/>
  <c r="BN28"/>
  <c r="AT59"/>
  <c r="AY59"/>
  <c r="BI42"/>
  <c r="BJ42"/>
  <c r="BK42"/>
  <c r="BP22"/>
  <c r="BK22"/>
  <c r="BL22"/>
  <c r="BM22"/>
  <c r="AF29"/>
  <c r="W29"/>
  <c r="AW28"/>
  <c r="AN28"/>
  <c r="AN36"/>
  <c r="E36"/>
  <c r="O36"/>
  <c r="AW36"/>
  <c r="BE16"/>
  <c r="BN16"/>
  <c r="BE23"/>
  <c r="BN23"/>
  <c r="BE27"/>
  <c r="BN27"/>
  <c r="BF31"/>
  <c r="BG31"/>
  <c r="BH31"/>
  <c r="BI31"/>
  <c r="BJ31"/>
  <c r="BO31"/>
  <c r="BE34"/>
  <c r="BN34"/>
  <c r="BE52"/>
  <c r="BF52"/>
  <c r="BG52"/>
  <c r="BH52"/>
  <c r="BI52"/>
  <c r="BJ52"/>
  <c r="BN52"/>
  <c r="AJ46"/>
  <c r="AF39"/>
  <c r="V24"/>
  <c r="V8"/>
  <c r="BR55"/>
  <c r="BK13"/>
  <c r="BL13"/>
  <c r="BM13"/>
  <c r="BQ13"/>
  <c r="BR13"/>
  <c r="E19"/>
  <c r="O19"/>
  <c r="D23"/>
  <c r="BC24"/>
  <c r="BO46"/>
  <c r="AF19"/>
  <c r="AM23"/>
  <c r="AY45"/>
  <c r="BA45"/>
  <c r="E45"/>
  <c r="O45"/>
  <c r="AM44"/>
  <c r="AN44"/>
  <c r="J102" i="8"/>
  <c r="L9" i="17"/>
  <c r="L10"/>
  <c r="H48" i="8"/>
  <c r="H133"/>
  <c r="G79"/>
  <c r="I70"/>
  <c r="J70"/>
  <c r="G70"/>
  <c r="S38" i="20"/>
  <c r="R11" i="17"/>
  <c r="S13" i="20"/>
  <c r="G45" i="8"/>
  <c r="G88"/>
  <c r="R105"/>
  <c r="G50" i="17"/>
  <c r="H50"/>
  <c r="F104" i="8"/>
  <c r="P104"/>
  <c r="F111"/>
  <c r="P111"/>
  <c r="D72"/>
  <c r="G98"/>
  <c r="Q98"/>
  <c r="G68"/>
  <c r="Q92"/>
  <c r="G96"/>
  <c r="G97"/>
  <c r="G95"/>
  <c r="G69"/>
  <c r="S105"/>
  <c r="G78"/>
  <c r="K76"/>
  <c r="G99"/>
  <c r="G42"/>
  <c r="AA17" i="17"/>
  <c r="AA18"/>
  <c r="Y18"/>
  <c r="F122" i="20"/>
  <c r="P122"/>
  <c r="S122"/>
  <c r="P83"/>
  <c r="S115"/>
  <c r="S126"/>
  <c r="W19" i="17"/>
  <c r="S24" i="20"/>
  <c r="S77" i="8"/>
  <c r="I76"/>
  <c r="J126" i="20"/>
  <c r="Q126"/>
  <c r="Q115"/>
  <c r="S23"/>
  <c r="K55"/>
  <c r="J59"/>
  <c r="J119"/>
  <c r="AC10" i="23"/>
  <c r="AH10"/>
  <c r="AD53"/>
  <c r="BL40"/>
  <c r="BM40"/>
  <c r="AE55"/>
  <c r="BR38"/>
  <c r="T70" i="8"/>
  <c r="G36" i="4"/>
  <c r="K49" i="8"/>
  <c r="AA19" i="23"/>
  <c r="AH22"/>
  <c r="AH39"/>
  <c r="N71" i="24"/>
  <c r="I39"/>
  <c r="Q108" i="8"/>
  <c r="F108"/>
  <c r="R107" i="20"/>
  <c r="Q107"/>
  <c r="S103"/>
  <c r="R49" i="8"/>
  <c r="D165" i="13"/>
  <c r="G43" i="8"/>
  <c r="I119" i="20"/>
  <c r="AC39" i="23"/>
  <c r="AB17"/>
  <c r="F19" i="10"/>
  <c r="U50" i="8"/>
  <c r="AA20" i="23"/>
  <c r="AH49"/>
  <c r="AB49"/>
  <c r="F75" i="17"/>
  <c r="Q110" i="8"/>
  <c r="F110"/>
  <c r="P110"/>
  <c r="O83" i="20"/>
  <c r="S83"/>
  <c r="Q75"/>
  <c r="P75"/>
  <c r="S75"/>
  <c r="P121"/>
  <c r="S121"/>
  <c r="C24" i="23"/>
  <c r="N77" i="24"/>
  <c r="R77"/>
  <c r="P119" i="20"/>
  <c r="AN21" i="17"/>
  <c r="O92" i="8"/>
  <c r="R42"/>
  <c r="G66"/>
  <c r="X25" i="23"/>
  <c r="AI12"/>
  <c r="AJ12"/>
  <c r="AC18"/>
  <c r="BL57"/>
  <c r="BM57"/>
  <c r="AD14"/>
  <c r="T128" i="8"/>
  <c r="AM21" i="17"/>
  <c r="AP21"/>
  <c r="AP10"/>
  <c r="G64" i="8"/>
  <c r="I39"/>
  <c r="T9" i="17"/>
  <c r="T10"/>
  <c r="S12" i="20"/>
  <c r="Q69" i="8"/>
  <c r="E69"/>
  <c r="Q79"/>
  <c r="E79"/>
  <c r="AA9" i="23"/>
  <c r="AB11"/>
  <c r="AA23"/>
  <c r="AH17"/>
  <c r="BJ56"/>
  <c r="BI54"/>
  <c r="BP56"/>
  <c r="BP54"/>
  <c r="I48" i="8"/>
  <c r="G50"/>
  <c r="T77"/>
  <c r="J76"/>
  <c r="F148"/>
  <c r="E148"/>
  <c r="Q99"/>
  <c r="F99"/>
  <c r="E157" i="13"/>
  <c r="J57" i="8"/>
  <c r="S63"/>
  <c r="G63"/>
  <c r="S112" i="20"/>
  <c r="S77" i="24"/>
  <c r="Q88" i="8"/>
  <c r="G47"/>
  <c r="I44"/>
  <c r="E25" i="23"/>
  <c r="AF25"/>
  <c r="AD13"/>
  <c r="AI22"/>
  <c r="AD45"/>
  <c r="Q128" i="8"/>
  <c r="G128"/>
  <c r="U128"/>
  <c r="K128"/>
  <c r="J48"/>
  <c r="T49"/>
  <c r="AB16" i="23"/>
  <c r="AH45"/>
  <c r="H44" i="8"/>
  <c r="N80"/>
  <c r="D80"/>
  <c r="N81"/>
  <c r="D81"/>
  <c r="S105" i="20"/>
  <c r="N82" i="24"/>
  <c r="S80" i="20"/>
  <c r="AI41" i="23"/>
  <c r="AJ41"/>
  <c r="AP17" i="17"/>
  <c r="R64" i="8"/>
  <c r="F157" i="13"/>
  <c r="K57" i="8"/>
  <c r="S50"/>
  <c r="S47"/>
  <c r="T99"/>
  <c r="F103"/>
  <c r="F106"/>
  <c r="P106"/>
  <c r="I42" i="20"/>
  <c r="BI41" i="23"/>
  <c r="BJ41"/>
  <c r="BK41"/>
  <c r="AD141" i="21"/>
  <c r="AB141"/>
  <c r="Z196"/>
  <c r="H87" i="27"/>
  <c r="E92" i="17"/>
  <c r="W30" i="23"/>
  <c r="AF30"/>
  <c r="E30"/>
  <c r="O30"/>
  <c r="W27"/>
  <c r="W24"/>
  <c r="W8"/>
  <c r="E27"/>
  <c r="AF27"/>
  <c r="W34"/>
  <c r="E34"/>
  <c r="AF34"/>
  <c r="AN10"/>
  <c r="AW10"/>
  <c r="AW13"/>
  <c r="E13"/>
  <c r="O13"/>
  <c r="AN13"/>
  <c r="AO20"/>
  <c r="AO30"/>
  <c r="AP30"/>
  <c r="AQ30"/>
  <c r="AO27"/>
  <c r="AP27"/>
  <c r="AQ27"/>
  <c r="AX27"/>
  <c r="AW51"/>
  <c r="AN51"/>
  <c r="AO43"/>
  <c r="AP43"/>
  <c r="AQ43"/>
  <c r="AO40"/>
  <c r="AP40"/>
  <c r="AQ40"/>
  <c r="AN54"/>
  <c r="F55"/>
  <c r="AO55"/>
  <c r="E11"/>
  <c r="BE11"/>
  <c r="Z228" i="22"/>
  <c r="E162" i="13"/>
  <c r="J94" i="8"/>
  <c r="J75"/>
  <c r="T75"/>
  <c r="R43"/>
  <c r="R66"/>
  <c r="F38" i="4"/>
  <c r="K19" i="17"/>
  <c r="DN65" i="27"/>
  <c r="AR42" i="23"/>
  <c r="AS42"/>
  <c r="AT42"/>
  <c r="BI12"/>
  <c r="BJ12"/>
  <c r="BK12"/>
  <c r="BP12"/>
  <c r="BI53"/>
  <c r="BJ53"/>
  <c r="BK53"/>
  <c r="W31"/>
  <c r="E31"/>
  <c r="O31"/>
  <c r="AF31"/>
  <c r="AF28"/>
  <c r="W28"/>
  <c r="E28"/>
  <c r="F16"/>
  <c r="AO16"/>
  <c r="AO19"/>
  <c r="AN46"/>
  <c r="AW46"/>
  <c r="F56"/>
  <c r="AO56"/>
  <c r="Z39" i="22"/>
  <c r="AH560"/>
  <c r="N602"/>
  <c r="AG560"/>
  <c r="X560"/>
  <c r="Z206"/>
  <c r="C162" i="13"/>
  <c r="C156"/>
  <c r="D156"/>
  <c r="I86" i="8"/>
  <c r="Z36" i="23"/>
  <c r="G89" i="27"/>
  <c r="H42" i="20"/>
  <c r="H17"/>
  <c r="J26" i="27"/>
  <c r="K48" i="20"/>
  <c r="K15"/>
  <c r="BH30" i="23"/>
  <c r="BO30"/>
  <c r="AG560" i="21"/>
  <c r="AH560"/>
  <c r="N602"/>
  <c r="X560"/>
  <c r="BI47" i="23"/>
  <c r="BJ47"/>
  <c r="BK47"/>
  <c r="E54" i="24"/>
  <c r="C55"/>
  <c r="C63"/>
  <c r="AA527" i="21"/>
  <c r="Z535"/>
  <c r="X35" i="23"/>
  <c r="E47"/>
  <c r="O47"/>
  <c r="W47"/>
  <c r="AF47"/>
  <c r="F15"/>
  <c r="AO15"/>
  <c r="AN18"/>
  <c r="E18"/>
  <c r="O18"/>
  <c r="AW18"/>
  <c r="AO33"/>
  <c r="AO34"/>
  <c r="AP34"/>
  <c r="AQ34"/>
  <c r="AX34"/>
  <c r="AO57"/>
  <c r="AP57"/>
  <c r="AQ57"/>
  <c r="AM206" i="21"/>
  <c r="X206"/>
  <c r="Z415" i="22"/>
  <c r="Z421"/>
  <c r="Y421"/>
  <c r="F162" i="13"/>
  <c r="M81" i="24"/>
  <c r="H32" i="4"/>
  <c r="J89" i="27"/>
  <c r="K42" i="20"/>
  <c r="H88" i="27"/>
  <c r="DN10"/>
  <c r="AR31" i="23"/>
  <c r="AS31"/>
  <c r="AT31"/>
  <c r="BK31"/>
  <c r="BP31"/>
  <c r="BI36"/>
  <c r="BJ36"/>
  <c r="BK36"/>
  <c r="AO11"/>
  <c r="F11"/>
  <c r="AN17"/>
  <c r="AW17"/>
  <c r="AN25"/>
  <c r="AM24"/>
  <c r="AN29"/>
  <c r="AW29"/>
  <c r="E29"/>
  <c r="O29"/>
  <c r="AO26"/>
  <c r="AP26"/>
  <c r="AQ26"/>
  <c r="AO47"/>
  <c r="AP47"/>
  <c r="AQ47"/>
  <c r="BE25"/>
  <c r="BD24"/>
  <c r="BN25"/>
  <c r="BF27"/>
  <c r="BG27"/>
  <c r="BH27"/>
  <c r="F45"/>
  <c r="BF45"/>
  <c r="BF58"/>
  <c r="AM290" i="21"/>
  <c r="X290"/>
  <c r="J28" i="27"/>
  <c r="K50" i="20"/>
  <c r="AE19" i="21"/>
  <c r="AF19"/>
  <c r="K20"/>
  <c r="X314" i="22"/>
  <c r="Z300"/>
  <c r="BU61" i="27"/>
  <c r="BW61"/>
  <c r="BZ61"/>
  <c r="CA61"/>
  <c r="DN61"/>
  <c r="CC61"/>
  <c r="CD61"/>
  <c r="CF61"/>
  <c r="CI61"/>
  <c r="CJ61"/>
  <c r="J88"/>
  <c r="K41" i="20"/>
  <c r="D44" i="23"/>
  <c r="V44"/>
  <c r="AM41"/>
  <c r="AN41"/>
  <c r="BE10"/>
  <c r="BD9"/>
  <c r="BF29"/>
  <c r="BG29"/>
  <c r="BH29"/>
  <c r="V51"/>
  <c r="AM429" i="21"/>
  <c r="X429"/>
  <c r="AM542"/>
  <c r="X542"/>
  <c r="AM200"/>
  <c r="X200"/>
  <c r="AL129"/>
  <c r="AK129"/>
  <c r="AK97"/>
  <c r="AL97"/>
  <c r="AS69" i="22"/>
  <c r="C44" i="24"/>
  <c r="C45"/>
  <c r="E37"/>
  <c r="Z340" i="21"/>
  <c r="AB340"/>
  <c r="Y340"/>
  <c r="AB111"/>
  <c r="Y111"/>
  <c r="Z111"/>
  <c r="AF14" i="23"/>
  <c r="AF22"/>
  <c r="AJ22"/>
  <c r="O11"/>
  <c r="F58"/>
  <c r="AF45"/>
  <c r="O12"/>
  <c r="O34"/>
  <c r="O50"/>
  <c r="O58"/>
  <c r="AG55"/>
  <c r="V57"/>
  <c r="AN39"/>
  <c r="BO14"/>
  <c r="BO41"/>
  <c r="BO47"/>
  <c r="Z103" i="21"/>
  <c r="Z131"/>
  <c r="Z326"/>
  <c r="Y202" i="22"/>
  <c r="Z119"/>
  <c r="W314"/>
  <c r="Z155" i="21"/>
  <c r="Z33"/>
  <c r="AS21" i="22"/>
  <c r="BF50" i="23"/>
  <c r="AG15" i="21"/>
  <c r="AH15"/>
  <c r="X15"/>
  <c r="AK182"/>
  <c r="AL182"/>
  <c r="AD129"/>
  <c r="AD133"/>
  <c r="Z129"/>
  <c r="Z133"/>
  <c r="V40" i="23"/>
  <c r="AF40"/>
  <c r="BD39"/>
  <c r="BN39"/>
  <c r="BF43"/>
  <c r="BG43"/>
  <c r="BH43"/>
  <c r="BD49"/>
  <c r="BE49"/>
  <c r="BN49"/>
  <c r="AB509" i="21"/>
  <c r="X193" i="22"/>
  <c r="X666"/>
  <c r="Z191"/>
  <c r="Z193"/>
  <c r="Z666"/>
  <c r="G42" i="20"/>
  <c r="O89" i="27"/>
  <c r="AM618" i="21"/>
  <c r="X618"/>
  <c r="Z618"/>
  <c r="AA618"/>
  <c r="AB618"/>
  <c r="AG141"/>
  <c r="AH141"/>
  <c r="N159"/>
  <c r="BQ22" i="23"/>
  <c r="BR22"/>
  <c r="AP53"/>
  <c r="AQ58"/>
  <c r="BH35"/>
  <c r="BH17"/>
  <c r="E17"/>
  <c r="O17"/>
  <c r="F46"/>
  <c r="BO53"/>
  <c r="D81" i="24"/>
  <c r="AF13" i="23"/>
  <c r="V33"/>
  <c r="V52"/>
  <c r="AN12"/>
  <c r="AW25"/>
  <c r="AX50"/>
  <c r="BA50"/>
  <c r="B84" i="17"/>
  <c r="A84"/>
  <c r="BN29" i="23"/>
  <c r="BO36"/>
  <c r="U43"/>
  <c r="C81" i="24"/>
  <c r="I62"/>
  <c r="I66"/>
  <c r="U66"/>
  <c r="Z145" i="21"/>
  <c r="Z75"/>
  <c r="X300"/>
  <c r="AB326"/>
  <c r="Y326"/>
  <c r="V133"/>
  <c r="X97"/>
  <c r="Z320"/>
  <c r="AB210"/>
  <c r="Y210"/>
  <c r="Z210"/>
  <c r="Z274"/>
  <c r="AF665" i="22"/>
  <c r="AF664"/>
  <c r="AF676"/>
  <c r="Z234"/>
  <c r="K23"/>
  <c r="AS172"/>
  <c r="X15"/>
  <c r="I26" i="27"/>
  <c r="AE562" i="21"/>
  <c r="AF562"/>
  <c r="G28" i="24"/>
  <c r="G41"/>
  <c r="I41"/>
  <c r="AM401" i="21"/>
  <c r="W405"/>
  <c r="AE17"/>
  <c r="AF17"/>
  <c r="N17"/>
  <c r="AB182"/>
  <c r="X184"/>
  <c r="F26" i="23"/>
  <c r="X26"/>
  <c r="E83" i="17"/>
  <c r="H77" i="8"/>
  <c r="A83" i="17"/>
  <c r="AM38" i="23"/>
  <c r="D38"/>
  <c r="D37"/>
  <c r="AM48"/>
  <c r="D48"/>
  <c r="BD48"/>
  <c r="BE48"/>
  <c r="AL391" i="21"/>
  <c r="AK391"/>
  <c r="AM555"/>
  <c r="X555"/>
  <c r="AH182"/>
  <c r="AG182"/>
  <c r="AM527"/>
  <c r="W535"/>
  <c r="AL330"/>
  <c r="AK330"/>
  <c r="V344"/>
  <c r="AK69"/>
  <c r="AL69"/>
  <c r="X69"/>
  <c r="AM564"/>
  <c r="X564"/>
  <c r="Z564"/>
  <c r="AA564"/>
  <c r="AB564"/>
  <c r="AK196"/>
  <c r="AL196"/>
  <c r="AK298"/>
  <c r="AL298"/>
  <c r="X298"/>
  <c r="AK282"/>
  <c r="AL282"/>
  <c r="AL41"/>
  <c r="AK41"/>
  <c r="X41"/>
  <c r="AM604"/>
  <c r="X604"/>
  <c r="AM646"/>
  <c r="X646"/>
  <c r="Z646"/>
  <c r="AA646"/>
  <c r="AB646"/>
  <c r="AM509"/>
  <c r="W521"/>
  <c r="W553"/>
  <c r="W668"/>
  <c r="AM590"/>
  <c r="X590"/>
  <c r="Z590"/>
  <c r="AA590"/>
  <c r="AB590"/>
  <c r="AB260"/>
  <c r="Y260"/>
  <c r="Z260"/>
  <c r="E10" i="23"/>
  <c r="F29"/>
  <c r="AL8"/>
  <c r="AL4"/>
  <c r="AL3"/>
  <c r="BO56"/>
  <c r="BO42"/>
  <c r="E49"/>
  <c r="O49"/>
  <c r="E46"/>
  <c r="O46"/>
  <c r="BA7"/>
  <c r="O27"/>
  <c r="C32"/>
  <c r="AF53"/>
  <c r="AF42"/>
  <c r="D56"/>
  <c r="O56"/>
  <c r="AM35"/>
  <c r="BC9"/>
  <c r="BD20"/>
  <c r="BE20"/>
  <c r="Z99" i="21"/>
  <c r="AB312"/>
  <c r="Y312"/>
  <c r="Z312"/>
  <c r="Z208"/>
  <c r="Q7" i="24"/>
  <c r="Z324" i="21"/>
  <c r="E51" i="24"/>
  <c r="Z125" i="21"/>
  <c r="Z127"/>
  <c r="A7" i="20"/>
  <c r="Z29" i="21"/>
  <c r="N17" i="22"/>
  <c r="AG562" i="21"/>
  <c r="AH562"/>
  <c r="AK15"/>
  <c r="AL15"/>
  <c r="AM377"/>
  <c r="X377"/>
  <c r="AM260"/>
  <c r="W280"/>
  <c r="AE560"/>
  <c r="AF560"/>
  <c r="AL250"/>
  <c r="AK250"/>
  <c r="AL141"/>
  <c r="AK141"/>
  <c r="AB178"/>
  <c r="AD178"/>
  <c r="AD180"/>
  <c r="E49" i="17"/>
  <c r="E51"/>
  <c r="AH250" i="21"/>
  <c r="AG250"/>
  <c r="X250"/>
  <c r="P663"/>
  <c r="P687"/>
  <c r="P665"/>
  <c r="P664"/>
  <c r="AM586"/>
  <c r="X586"/>
  <c r="Z586"/>
  <c r="AA586"/>
  <c r="AB586"/>
  <c r="Z107"/>
  <c r="AB107"/>
  <c r="Y107"/>
  <c r="AF15"/>
  <c r="AE15"/>
  <c r="G21"/>
  <c r="F81" i="24"/>
  <c r="P81"/>
  <c r="F12" i="23"/>
  <c r="AX31"/>
  <c r="BO15"/>
  <c r="BR15"/>
  <c r="E41"/>
  <c r="O41"/>
  <c r="E75" i="17"/>
  <c r="BO12" i="23"/>
  <c r="E81" i="24"/>
  <c r="Z119" i="21"/>
  <c r="O28" i="23"/>
  <c r="AF15"/>
  <c r="AJ15"/>
  <c r="AM14"/>
  <c r="AW14"/>
  <c r="AM22"/>
  <c r="AW30"/>
  <c r="BN11"/>
  <c r="BO33"/>
  <c r="BO52"/>
  <c r="AF49"/>
  <c r="Z115" i="21"/>
  <c r="Z417"/>
  <c r="AD202"/>
  <c r="Z254"/>
  <c r="AS391" i="22"/>
  <c r="AN509" i="21"/>
  <c r="AO509"/>
  <c r="AN477"/>
  <c r="AO477"/>
  <c r="AN544"/>
  <c r="AO544"/>
  <c r="AN459"/>
  <c r="AO459"/>
  <c r="AN515"/>
  <c r="AO515"/>
  <c r="AN542"/>
  <c r="AO542"/>
  <c r="AO531"/>
  <c r="AN531"/>
  <c r="AN453"/>
  <c r="AO453"/>
  <c r="AK423"/>
  <c r="AL423"/>
  <c r="AK393"/>
  <c r="AL393"/>
  <c r="AK383"/>
  <c r="AL383"/>
  <c r="AL352"/>
  <c r="AK352"/>
  <c r="AL290"/>
  <c r="AK290"/>
  <c r="AL232"/>
  <c r="AK232"/>
  <c r="X232"/>
  <c r="AG391"/>
  <c r="AH391"/>
  <c r="AK288"/>
  <c r="AL288"/>
  <c r="AD288"/>
  <c r="W288"/>
  <c r="AK276"/>
  <c r="AL276"/>
  <c r="AK268"/>
  <c r="AL268"/>
  <c r="AG172"/>
  <c r="AH172"/>
  <c r="AK125"/>
  <c r="AL125"/>
  <c r="AK59"/>
  <c r="AL59"/>
  <c r="AK33"/>
  <c r="AL33"/>
  <c r="AK145"/>
  <c r="AL145"/>
  <c r="AK87"/>
  <c r="AL87"/>
  <c r="AL55"/>
  <c r="AK55"/>
  <c r="AK81"/>
  <c r="AL81"/>
  <c r="AL57"/>
  <c r="AK57"/>
  <c r="X57"/>
  <c r="AK51"/>
  <c r="AL51"/>
  <c r="AK165"/>
  <c r="AL165"/>
  <c r="AL332"/>
  <c r="AK332"/>
  <c r="AL324"/>
  <c r="AK324"/>
  <c r="AK308"/>
  <c r="AL308"/>
  <c r="AL135"/>
  <c r="AK135"/>
  <c r="AG129"/>
  <c r="AH129"/>
  <c r="AH119"/>
  <c r="AG119"/>
  <c r="AG373"/>
  <c r="AH373"/>
  <c r="V373"/>
  <c r="AH228"/>
  <c r="AG228"/>
  <c r="AQ447" i="22"/>
  <c r="Z115"/>
  <c r="AB115"/>
  <c r="Y115"/>
  <c r="W260"/>
  <c r="AD280"/>
  <c r="AB216"/>
  <c r="Y216"/>
  <c r="Z216"/>
  <c r="AB208"/>
  <c r="AK31" i="21"/>
  <c r="AL31"/>
  <c r="AG47"/>
  <c r="AH47"/>
  <c r="V47"/>
  <c r="AH53"/>
  <c r="AG53"/>
  <c r="V53"/>
  <c r="AH89"/>
  <c r="AG89"/>
  <c r="V89"/>
  <c r="AG97"/>
  <c r="AH97"/>
  <c r="AH103"/>
  <c r="AG103"/>
  <c r="AH115"/>
  <c r="AG115"/>
  <c r="AG153"/>
  <c r="AH153"/>
  <c r="AL204"/>
  <c r="AK204"/>
  <c r="AK240"/>
  <c r="AL240"/>
  <c r="AH260"/>
  <c r="AG260"/>
  <c r="AH268"/>
  <c r="AG268"/>
  <c r="AH352"/>
  <c r="AG352"/>
  <c r="AH358"/>
  <c r="AG358"/>
  <c r="AK366"/>
  <c r="AL366"/>
  <c r="AG608"/>
  <c r="AH608"/>
  <c r="AM648" i="22"/>
  <c r="X648"/>
  <c r="Z648"/>
  <c r="AA648"/>
  <c r="AB648"/>
  <c r="AM616"/>
  <c r="X616"/>
  <c r="Z616"/>
  <c r="AA616"/>
  <c r="AB616"/>
  <c r="X513"/>
  <c r="Z513"/>
  <c r="AA513"/>
  <c r="AB513"/>
  <c r="AM513"/>
  <c r="AM461"/>
  <c r="X461"/>
  <c r="Z461"/>
  <c r="AA461"/>
  <c r="AB461"/>
  <c r="AM324"/>
  <c r="X324"/>
  <c r="AB268"/>
  <c r="Y268"/>
  <c r="Z268"/>
  <c r="AB85"/>
  <c r="Y85"/>
  <c r="Z85"/>
  <c r="AD85"/>
  <c r="W602"/>
  <c r="W670"/>
  <c r="X564"/>
  <c r="Z564"/>
  <c r="AA564"/>
  <c r="AB564"/>
  <c r="AM600"/>
  <c r="X600"/>
  <c r="Z600"/>
  <c r="AA600"/>
  <c r="AB600"/>
  <c r="AO447"/>
  <c r="AO668"/>
  <c r="AN447"/>
  <c r="S469"/>
  <c r="S553"/>
  <c r="M42" i="20"/>
  <c r="D8" i="24"/>
  <c r="Z338" i="21"/>
  <c r="AM628"/>
  <c r="X606"/>
  <c r="Z606"/>
  <c r="AA606"/>
  <c r="AB606"/>
  <c r="AN513"/>
  <c r="AO513"/>
  <c r="AN485"/>
  <c r="AO485"/>
  <c r="AO548"/>
  <c r="AN548"/>
  <c r="AN467"/>
  <c r="AO467"/>
  <c r="AN519"/>
  <c r="AO519"/>
  <c r="AN487"/>
  <c r="AO487"/>
  <c r="AN475"/>
  <c r="AO475"/>
  <c r="AN457"/>
  <c r="AO457"/>
  <c r="AL413"/>
  <c r="AK413"/>
  <c r="AK399"/>
  <c r="AL399"/>
  <c r="AK358"/>
  <c r="AL358"/>
  <c r="AO441"/>
  <c r="AN441"/>
  <c r="AK200"/>
  <c r="AL200"/>
  <c r="AK153"/>
  <c r="AL153"/>
  <c r="AK65"/>
  <c r="AL65"/>
  <c r="AK316"/>
  <c r="AL316"/>
  <c r="X316"/>
  <c r="AK272"/>
  <c r="AL272"/>
  <c r="AK73"/>
  <c r="AL73"/>
  <c r="AK35"/>
  <c r="AL35"/>
  <c r="AK27"/>
  <c r="AL27"/>
  <c r="AG69"/>
  <c r="AH69"/>
  <c r="AK103"/>
  <c r="AL103"/>
  <c r="AK224"/>
  <c r="AL224"/>
  <c r="AL417"/>
  <c r="AK417"/>
  <c r="AK198"/>
  <c r="AL198"/>
  <c r="AL409"/>
  <c r="AK409"/>
  <c r="AK312"/>
  <c r="AL312"/>
  <c r="AK318"/>
  <c r="AL318"/>
  <c r="AM644"/>
  <c r="X644"/>
  <c r="Z644"/>
  <c r="AA644"/>
  <c r="AB644"/>
  <c r="AK306"/>
  <c r="AL306"/>
  <c r="AG93"/>
  <c r="AH93"/>
  <c r="AO503"/>
  <c r="AN503"/>
  <c r="AK228"/>
  <c r="AL228"/>
  <c r="AM636"/>
  <c r="X636"/>
  <c r="Z636"/>
  <c r="AA636"/>
  <c r="AB636"/>
  <c r="AB210" i="22"/>
  <c r="Y210"/>
  <c r="Z210"/>
  <c r="AB431"/>
  <c r="AP447"/>
  <c r="AG469"/>
  <c r="AG668"/>
  <c r="AD41"/>
  <c r="AD67"/>
  <c r="Z41"/>
  <c r="AB354"/>
  <c r="K12" i="24"/>
  <c r="AH45" i="21"/>
  <c r="AG45"/>
  <c r="AG83"/>
  <c r="AH83"/>
  <c r="V83"/>
  <c r="AK109"/>
  <c r="AL109"/>
  <c r="AG113"/>
  <c r="AH113"/>
  <c r="V113"/>
  <c r="AG151"/>
  <c r="AH151"/>
  <c r="V151"/>
  <c r="AH174"/>
  <c r="AG174"/>
  <c r="V174"/>
  <c r="X174"/>
  <c r="AG258"/>
  <c r="AH258"/>
  <c r="V258"/>
  <c r="AG266"/>
  <c r="AH266"/>
  <c r="V266"/>
  <c r="AH350"/>
  <c r="AG350"/>
  <c r="AG356"/>
  <c r="AH356"/>
  <c r="V356"/>
  <c r="AL385"/>
  <c r="AK385"/>
  <c r="AN447"/>
  <c r="AO447"/>
  <c r="AG606"/>
  <c r="AH606"/>
  <c r="AH614"/>
  <c r="AG614"/>
  <c r="AD614"/>
  <c r="AM644" i="22"/>
  <c r="X644"/>
  <c r="Z644"/>
  <c r="AA644"/>
  <c r="AB644"/>
  <c r="X511"/>
  <c r="AM511"/>
  <c r="AB393"/>
  <c r="AB89"/>
  <c r="Y89"/>
  <c r="Z89"/>
  <c r="AM660"/>
  <c r="X660"/>
  <c r="Z660"/>
  <c r="AA660"/>
  <c r="AB660"/>
  <c r="AM652"/>
  <c r="X652"/>
  <c r="Z652"/>
  <c r="AA652"/>
  <c r="AB652"/>
  <c r="X576"/>
  <c r="Z576"/>
  <c r="AA576"/>
  <c r="AB576"/>
  <c r="AM576"/>
  <c r="Z244" i="21"/>
  <c r="AB538"/>
  <c r="AB540"/>
  <c r="AA540"/>
  <c r="AK172"/>
  <c r="AL172"/>
  <c r="AL178"/>
  <c r="AK178"/>
  <c r="AK210"/>
  <c r="AL210"/>
  <c r="AK119"/>
  <c r="AL119"/>
  <c r="AN618"/>
  <c r="AO618"/>
  <c r="AO465"/>
  <c r="AN465"/>
  <c r="AN546"/>
  <c r="AO546"/>
  <c r="AN538"/>
  <c r="AO538"/>
  <c r="AN449"/>
  <c r="AO449"/>
  <c r="AL427"/>
  <c r="AK427"/>
  <c r="AD427"/>
  <c r="AK401"/>
  <c r="AL401"/>
  <c r="AL377"/>
  <c r="AK377"/>
  <c r="AK350"/>
  <c r="AL350"/>
  <c r="AK286"/>
  <c r="AL286"/>
  <c r="AD286"/>
  <c r="AK294"/>
  <c r="AL294"/>
  <c r="X294"/>
  <c r="AK292"/>
  <c r="AL292"/>
  <c r="AK206"/>
  <c r="AL206"/>
  <c r="AL161"/>
  <c r="AK161"/>
  <c r="AL71"/>
  <c r="AK71"/>
  <c r="AK39"/>
  <c r="AL39"/>
  <c r="AK157"/>
  <c r="AL157"/>
  <c r="AK131"/>
  <c r="AL131"/>
  <c r="AL43"/>
  <c r="AK43"/>
  <c r="AK163"/>
  <c r="AL163"/>
  <c r="AK167"/>
  <c r="AL167"/>
  <c r="AO499"/>
  <c r="AN499"/>
  <c r="AK310"/>
  <c r="AL310"/>
  <c r="X310"/>
  <c r="AL208"/>
  <c r="AK208"/>
  <c r="AK149"/>
  <c r="AL149"/>
  <c r="AG178"/>
  <c r="AH178"/>
  <c r="AG135"/>
  <c r="AH135"/>
  <c r="AG282"/>
  <c r="AH282"/>
  <c r="AG41"/>
  <c r="AH41"/>
  <c r="AB43" i="22"/>
  <c r="W282"/>
  <c r="AD296"/>
  <c r="Z439"/>
  <c r="X445"/>
  <c r="AB91"/>
  <c r="Y91"/>
  <c r="Z91"/>
  <c r="AM290"/>
  <c r="X290"/>
  <c r="AG39" i="21"/>
  <c r="AH39"/>
  <c r="AG43"/>
  <c r="AH43"/>
  <c r="AK79"/>
  <c r="AL79"/>
  <c r="AH101"/>
  <c r="AG101"/>
  <c r="V101"/>
  <c r="AG107"/>
  <c r="AH107"/>
  <c r="AD107"/>
  <c r="AK137"/>
  <c r="AL137"/>
  <c r="AH145"/>
  <c r="AG145"/>
  <c r="AL236"/>
  <c r="AK236"/>
  <c r="AK244"/>
  <c r="AL244"/>
  <c r="AH264"/>
  <c r="AG264"/>
  <c r="V264"/>
  <c r="AG348"/>
  <c r="AH348"/>
  <c r="V348"/>
  <c r="AL375"/>
  <c r="AK375"/>
  <c r="AH383"/>
  <c r="AG383"/>
  <c r="X383"/>
  <c r="AK397"/>
  <c r="AL397"/>
  <c r="AH604"/>
  <c r="AG604"/>
  <c r="AH612"/>
  <c r="AG612"/>
  <c r="AM640" i="22"/>
  <c r="X640"/>
  <c r="Z640"/>
  <c r="AA640"/>
  <c r="AB640"/>
  <c r="X632"/>
  <c r="Z632"/>
  <c r="AA632"/>
  <c r="AB632"/>
  <c r="AM632"/>
  <c r="AM489"/>
  <c r="X489"/>
  <c r="AM531"/>
  <c r="X531"/>
  <c r="X499"/>
  <c r="AM499"/>
  <c r="AD93"/>
  <c r="AB93"/>
  <c r="Y93"/>
  <c r="Z93"/>
  <c r="AM582"/>
  <c r="X582"/>
  <c r="Z582"/>
  <c r="AA582"/>
  <c r="AB582"/>
  <c r="X399" i="21"/>
  <c r="X513"/>
  <c r="X642"/>
  <c r="Z642"/>
  <c r="AA642"/>
  <c r="AB642"/>
  <c r="X441"/>
  <c r="X487"/>
  <c r="S535"/>
  <c r="X519"/>
  <c r="Z519"/>
  <c r="AA519"/>
  <c r="AB519"/>
  <c r="S495"/>
  <c r="X584"/>
  <c r="Z584"/>
  <c r="AA584"/>
  <c r="AB584"/>
  <c r="X459"/>
  <c r="AD224"/>
  <c r="AO493"/>
  <c r="AS493"/>
  <c r="X566"/>
  <c r="Z566"/>
  <c r="AA566"/>
  <c r="AB566"/>
  <c r="AD413"/>
  <c r="AB393"/>
  <c r="Z270"/>
  <c r="AB244"/>
  <c r="Y244"/>
  <c r="AB236"/>
  <c r="Y236"/>
  <c r="Z236"/>
  <c r="AB268"/>
  <c r="Y268"/>
  <c r="Z268"/>
  <c r="X65"/>
  <c r="X272"/>
  <c r="X73"/>
  <c r="X27"/>
  <c r="Z302"/>
  <c r="X610"/>
  <c r="Z610"/>
  <c r="AA610"/>
  <c r="AB610"/>
  <c r="X318"/>
  <c r="P6" i="24"/>
  <c r="P7"/>
  <c r="P8"/>
  <c r="P9"/>
  <c r="P10"/>
  <c r="P11"/>
  <c r="P12"/>
  <c r="P13"/>
  <c r="P14"/>
  <c r="P15"/>
  <c r="P16"/>
  <c r="P17"/>
  <c r="V93" i="21"/>
  <c r="X228"/>
  <c r="F88" i="27"/>
  <c r="AB334" i="21"/>
  <c r="O686" i="22"/>
  <c r="O687"/>
  <c r="AN634" i="21"/>
  <c r="AO634"/>
  <c r="AN473"/>
  <c r="AO473"/>
  <c r="AO511"/>
  <c r="AN511"/>
  <c r="AK431"/>
  <c r="AL431"/>
  <c r="AO451"/>
  <c r="AN451"/>
  <c r="AO437"/>
  <c r="AN437"/>
  <c r="AH330"/>
  <c r="AG330"/>
  <c r="AK260"/>
  <c r="AL260"/>
  <c r="AK340"/>
  <c r="AL340"/>
  <c r="AK336"/>
  <c r="AL336"/>
  <c r="X336"/>
  <c r="AK334"/>
  <c r="AL334"/>
  <c r="AD161"/>
  <c r="AD169"/>
  <c r="AB161"/>
  <c r="AL75"/>
  <c r="AK75"/>
  <c r="AK45"/>
  <c r="AL45"/>
  <c r="AK29"/>
  <c r="AL29"/>
  <c r="AL115"/>
  <c r="AK115"/>
  <c r="AK111"/>
  <c r="AL111"/>
  <c r="AK107"/>
  <c r="AL107"/>
  <c r="AL77"/>
  <c r="AK77"/>
  <c r="X77"/>
  <c r="AK252"/>
  <c r="AL252"/>
  <c r="X252"/>
  <c r="AK222"/>
  <c r="AL222"/>
  <c r="X222"/>
  <c r="AN439"/>
  <c r="AO439"/>
  <c r="AK262"/>
  <c r="AL262"/>
  <c r="AL91"/>
  <c r="AK91"/>
  <c r="AO455"/>
  <c r="AN455"/>
  <c r="AK322"/>
  <c r="AL322"/>
  <c r="AK304"/>
  <c r="AL304"/>
  <c r="AL254"/>
  <c r="AK254"/>
  <c r="AG210"/>
  <c r="AH210"/>
  <c r="AB214" i="22"/>
  <c r="Y214"/>
  <c r="Z214"/>
  <c r="AK37" i="21"/>
  <c r="AL37"/>
  <c r="X37"/>
  <c r="AH61"/>
  <c r="AG61"/>
  <c r="V61"/>
  <c r="AG91"/>
  <c r="AH91"/>
  <c r="AH99"/>
  <c r="AG99"/>
  <c r="AH105"/>
  <c r="AG105"/>
  <c r="V105"/>
  <c r="X105"/>
  <c r="AG143"/>
  <c r="AH143"/>
  <c r="V143"/>
  <c r="V159"/>
  <c r="X143"/>
  <c r="AL155"/>
  <c r="AK155"/>
  <c r="AH191"/>
  <c r="AG191"/>
  <c r="N193"/>
  <c r="V191"/>
  <c r="AH262"/>
  <c r="AG262"/>
  <c r="X262"/>
  <c r="AK270"/>
  <c r="AL270"/>
  <c r="AH278"/>
  <c r="AG278"/>
  <c r="V278"/>
  <c r="AL354"/>
  <c r="AK354"/>
  <c r="AG381"/>
  <c r="AH381"/>
  <c r="N389"/>
  <c r="V381"/>
  <c r="AH387"/>
  <c r="AG387"/>
  <c r="V387"/>
  <c r="AH395"/>
  <c r="AG395"/>
  <c r="V395"/>
  <c r="AH610"/>
  <c r="AG610"/>
  <c r="X505" i="22"/>
  <c r="Z505"/>
  <c r="AA505"/>
  <c r="AB505"/>
  <c r="AM505"/>
  <c r="AM463"/>
  <c r="X463"/>
  <c r="Z463"/>
  <c r="AA463"/>
  <c r="AB463"/>
  <c r="AH103"/>
  <c r="V103"/>
  <c r="AM658"/>
  <c r="X658"/>
  <c r="Z658"/>
  <c r="AA658"/>
  <c r="AB658"/>
  <c r="AM656"/>
  <c r="X656"/>
  <c r="Z656"/>
  <c r="AA656"/>
  <c r="AB656"/>
  <c r="AM612"/>
  <c r="AM671"/>
  <c r="X612"/>
  <c r="X101"/>
  <c r="AK101"/>
  <c r="AL101"/>
  <c r="X107"/>
  <c r="AK107"/>
  <c r="AL107"/>
  <c r="Z385" i="21"/>
  <c r="Z354"/>
  <c r="Z375"/>
  <c r="Z352"/>
  <c r="Z240"/>
  <c r="Z276"/>
  <c r="Z109"/>
  <c r="Z51"/>
  <c r="AM469"/>
  <c r="AM668"/>
  <c r="A9" i="20"/>
  <c r="AD109" i="21"/>
  <c r="AN638"/>
  <c r="AO638"/>
  <c r="AN517"/>
  <c r="AO517"/>
  <c r="AN489"/>
  <c r="AO489"/>
  <c r="AN461"/>
  <c r="AO461"/>
  <c r="AO529"/>
  <c r="AN529"/>
  <c r="AO491"/>
  <c r="AN491"/>
  <c r="AN550"/>
  <c r="AO550"/>
  <c r="AN463"/>
  <c r="AO463"/>
  <c r="AK429"/>
  <c r="AL429"/>
  <c r="AL346"/>
  <c r="AK346"/>
  <c r="AK415"/>
  <c r="AL415"/>
  <c r="AL362"/>
  <c r="AK362"/>
  <c r="AK234"/>
  <c r="AL234"/>
  <c r="AK230"/>
  <c r="AL230"/>
  <c r="AL338"/>
  <c r="AK338"/>
  <c r="AK300"/>
  <c r="AL300"/>
  <c r="AK256"/>
  <c r="AL256"/>
  <c r="AK49"/>
  <c r="AL49"/>
  <c r="AL25"/>
  <c r="AK25"/>
  <c r="AK419"/>
  <c r="AL419"/>
  <c r="AL326"/>
  <c r="AK326"/>
  <c r="AN443"/>
  <c r="AO443"/>
  <c r="AK320"/>
  <c r="AL320"/>
  <c r="AK274"/>
  <c r="AL274"/>
  <c r="AH298"/>
  <c r="AG298"/>
  <c r="AG196"/>
  <c r="AH196"/>
  <c r="AN51"/>
  <c r="AE51"/>
  <c r="AG55"/>
  <c r="AH55"/>
  <c r="AH123"/>
  <c r="AG123"/>
  <c r="AE143"/>
  <c r="AN143"/>
  <c r="AH200"/>
  <c r="AG200"/>
  <c r="AH216"/>
  <c r="AG216"/>
  <c r="AG220"/>
  <c r="AH220"/>
  <c r="AH286"/>
  <c r="AG286"/>
  <c r="AG294"/>
  <c r="AH294"/>
  <c r="AH302"/>
  <c r="AG302"/>
  <c r="AH310"/>
  <c r="AG310"/>
  <c r="AH320"/>
  <c r="AG320"/>
  <c r="AG324"/>
  <c r="AH324"/>
  <c r="AG340"/>
  <c r="AH340"/>
  <c r="AH401"/>
  <c r="AG401"/>
  <c r="AG409"/>
  <c r="AH409"/>
  <c r="AH415"/>
  <c r="AG415"/>
  <c r="AH443"/>
  <c r="AG443"/>
  <c r="AH477"/>
  <c r="AG477"/>
  <c r="AH487"/>
  <c r="AG487"/>
  <c r="AG503"/>
  <c r="AH503"/>
  <c r="AG509"/>
  <c r="AH509"/>
  <c r="AG517"/>
  <c r="AH517"/>
  <c r="AH538"/>
  <c r="AG538"/>
  <c r="AG548"/>
  <c r="AH548"/>
  <c r="AG566"/>
  <c r="AH566"/>
  <c r="AG574"/>
  <c r="AH574"/>
  <c r="AG582"/>
  <c r="AH582"/>
  <c r="AH590"/>
  <c r="AG590"/>
  <c r="AH616"/>
  <c r="AG616"/>
  <c r="AH622"/>
  <c r="AG622"/>
  <c r="AH628"/>
  <c r="AG628"/>
  <c r="AG634"/>
  <c r="AH634"/>
  <c r="AG640"/>
  <c r="AH640"/>
  <c r="AG648"/>
  <c r="AH648"/>
  <c r="AG656"/>
  <c r="AH656"/>
  <c r="AQ473" i="22"/>
  <c r="AS473"/>
  <c r="AJ473"/>
  <c r="BK13" i="27"/>
  <c r="BC13"/>
  <c r="BE13"/>
  <c r="BH13"/>
  <c r="BI13"/>
  <c r="AK54"/>
  <c r="AM54"/>
  <c r="AP54"/>
  <c r="AQ54"/>
  <c r="AS54"/>
  <c r="CS57"/>
  <c r="K87"/>
  <c r="DM57"/>
  <c r="CS61"/>
  <c r="DM61"/>
  <c r="AS67" i="22"/>
  <c r="N407" i="21"/>
  <c r="Z111" i="22"/>
  <c r="X517"/>
  <c r="Z517"/>
  <c r="AA517"/>
  <c r="AB517"/>
  <c r="AB310"/>
  <c r="Y310"/>
  <c r="Z310"/>
  <c r="AB302"/>
  <c r="O344" i="21"/>
  <c r="O434"/>
  <c r="A6" i="20"/>
  <c r="I5" i="24"/>
  <c r="AC51" i="21"/>
  <c r="AD51"/>
  <c r="AC143"/>
  <c r="AC159"/>
  <c r="AK427" i="22"/>
  <c r="AI338"/>
  <c r="AQ292"/>
  <c r="AS292"/>
  <c r="X240"/>
  <c r="AI264"/>
  <c r="X57"/>
  <c r="AL292"/>
  <c r="AB218"/>
  <c r="Y218"/>
  <c r="Z218"/>
  <c r="AG101"/>
  <c r="AI47"/>
  <c r="M26" i="27"/>
  <c r="AS22" i="22"/>
  <c r="AS44"/>
  <c r="AS57"/>
  <c r="AS213"/>
  <c r="AS537"/>
  <c r="AX66" i="27"/>
  <c r="B26"/>
  <c r="AZ9"/>
  <c r="B27"/>
  <c r="AQ12"/>
  <c r="E27"/>
  <c r="Y15"/>
  <c r="P17"/>
  <c r="DN17"/>
  <c r="AF66"/>
  <c r="CZ66"/>
  <c r="AQ58"/>
  <c r="BY66"/>
  <c r="AH60"/>
  <c r="D88"/>
  <c r="E41" i="20"/>
  <c r="E16"/>
  <c r="M88" i="27"/>
  <c r="N41" i="20"/>
  <c r="N16"/>
  <c r="AG27" i="21"/>
  <c r="AH27"/>
  <c r="AH31"/>
  <c r="AG31"/>
  <c r="AH35"/>
  <c r="AG35"/>
  <c r="AF43"/>
  <c r="AO43"/>
  <c r="AH51"/>
  <c r="AG51"/>
  <c r="AO59"/>
  <c r="AF59"/>
  <c r="AG63"/>
  <c r="AH63"/>
  <c r="AG71"/>
  <c r="AH71"/>
  <c r="AG75"/>
  <c r="AH75"/>
  <c r="AG79"/>
  <c r="AH79"/>
  <c r="AF83"/>
  <c r="AO83"/>
  <c r="AH85"/>
  <c r="AG85"/>
  <c r="AG111"/>
  <c r="AH111"/>
  <c r="AG117"/>
  <c r="AH117"/>
  <c r="AK123"/>
  <c r="AL123"/>
  <c r="AH147"/>
  <c r="AG147"/>
  <c r="AH157"/>
  <c r="AG157"/>
  <c r="AG163"/>
  <c r="AH163"/>
  <c r="AG167"/>
  <c r="AH167"/>
  <c r="AH198"/>
  <c r="AG198"/>
  <c r="AG208"/>
  <c r="AH208"/>
  <c r="AH212"/>
  <c r="AG212"/>
  <c r="AK216"/>
  <c r="AL216"/>
  <c r="AK220"/>
  <c r="AL220"/>
  <c r="AH224"/>
  <c r="AG224"/>
  <c r="AG234"/>
  <c r="AH234"/>
  <c r="AG238"/>
  <c r="AH238"/>
  <c r="AH242"/>
  <c r="AG242"/>
  <c r="AG246"/>
  <c r="AH246"/>
  <c r="AG254"/>
  <c r="AH254"/>
  <c r="AG272"/>
  <c r="AH272"/>
  <c r="AG276"/>
  <c r="AH276"/>
  <c r="AH284"/>
  <c r="AG284"/>
  <c r="AH292"/>
  <c r="AG292"/>
  <c r="AK302"/>
  <c r="AL302"/>
  <c r="AH308"/>
  <c r="AG308"/>
  <c r="AG318"/>
  <c r="AH318"/>
  <c r="AH322"/>
  <c r="AG322"/>
  <c r="AG334"/>
  <c r="AH334"/>
  <c r="AG338"/>
  <c r="AH338"/>
  <c r="AG346"/>
  <c r="AH346"/>
  <c r="AH364"/>
  <c r="AG364"/>
  <c r="AH368"/>
  <c r="AG368"/>
  <c r="AG377"/>
  <c r="AH377"/>
  <c r="AH393"/>
  <c r="AG393"/>
  <c r="AG399"/>
  <c r="AH399"/>
  <c r="AG413"/>
  <c r="AH413"/>
  <c r="AH431"/>
  <c r="AG431"/>
  <c r="AG441"/>
  <c r="AH441"/>
  <c r="AH449"/>
  <c r="AG449"/>
  <c r="AH453"/>
  <c r="AG453"/>
  <c r="AH457"/>
  <c r="AG457"/>
  <c r="AH461"/>
  <c r="AG461"/>
  <c r="AG465"/>
  <c r="AH465"/>
  <c r="AH475"/>
  <c r="AG475"/>
  <c r="AG485"/>
  <c r="AH485"/>
  <c r="AH499"/>
  <c r="AG499"/>
  <c r="AH515"/>
  <c r="AG515"/>
  <c r="AG531"/>
  <c r="AH531"/>
  <c r="AH546"/>
  <c r="AG546"/>
  <c r="AG564"/>
  <c r="AH564"/>
  <c r="AG572"/>
  <c r="AH572"/>
  <c r="AH580"/>
  <c r="AG580"/>
  <c r="AH588"/>
  <c r="AG588"/>
  <c r="AH600"/>
  <c r="AG600"/>
  <c r="AH620"/>
  <c r="AG620"/>
  <c r="AK626"/>
  <c r="AE626"/>
  <c r="AN626"/>
  <c r="AG632"/>
  <c r="AH632"/>
  <c r="AG638"/>
  <c r="AH638"/>
  <c r="AH646"/>
  <c r="AG646"/>
  <c r="AH654"/>
  <c r="AG654"/>
  <c r="V167" i="22"/>
  <c r="AH167"/>
  <c r="AG167"/>
  <c r="V222"/>
  <c r="AH222"/>
  <c r="V252"/>
  <c r="AG252"/>
  <c r="L49" i="20"/>
  <c r="BK15" i="27"/>
  <c r="BL15"/>
  <c r="BN15"/>
  <c r="BQ15"/>
  <c r="BR15"/>
  <c r="H28"/>
  <c r="BC15"/>
  <c r="BE15"/>
  <c r="BH15"/>
  <c r="CS54"/>
  <c r="DM54"/>
  <c r="CQ66"/>
  <c r="DM60"/>
  <c r="P60"/>
  <c r="E53" i="17"/>
  <c r="AC83" i="21"/>
  <c r="AC95"/>
  <c r="AC189"/>
  <c r="AC334"/>
  <c r="AC344"/>
  <c r="AC434"/>
  <c r="AC667"/>
  <c r="AC626"/>
  <c r="AZ6" i="27"/>
  <c r="DB55"/>
  <c r="L86"/>
  <c r="AH58"/>
  <c r="K88"/>
  <c r="AH49" i="21"/>
  <c r="AG49"/>
  <c r="AG59"/>
  <c r="AH59"/>
  <c r="AG125"/>
  <c r="AH125"/>
  <c r="AH206"/>
  <c r="AG206"/>
  <c r="AG214"/>
  <c r="AH214"/>
  <c r="AH218"/>
  <c r="AG218"/>
  <c r="AG232"/>
  <c r="AH232"/>
  <c r="AG290"/>
  <c r="AH290"/>
  <c r="AG300"/>
  <c r="AH300"/>
  <c r="AH306"/>
  <c r="AG306"/>
  <c r="AN320"/>
  <c r="AE320"/>
  <c r="AH332"/>
  <c r="AG332"/>
  <c r="AG336"/>
  <c r="AH336"/>
  <c r="AH342"/>
  <c r="AG342"/>
  <c r="AG403"/>
  <c r="AH403"/>
  <c r="AH411"/>
  <c r="AG411"/>
  <c r="AH419"/>
  <c r="AG419"/>
  <c r="AH423"/>
  <c r="AG423"/>
  <c r="AG429"/>
  <c r="AH429"/>
  <c r="AH439"/>
  <c r="AG439"/>
  <c r="AG473"/>
  <c r="AH473"/>
  <c r="AH479"/>
  <c r="AG479"/>
  <c r="AH491"/>
  <c r="AG491"/>
  <c r="AG513"/>
  <c r="AH513"/>
  <c r="AG529"/>
  <c r="AH529"/>
  <c r="AG544"/>
  <c r="AH544"/>
  <c r="AH555"/>
  <c r="AG555"/>
  <c r="AH570"/>
  <c r="AG570"/>
  <c r="AH578"/>
  <c r="AG578"/>
  <c r="AG586"/>
  <c r="AH586"/>
  <c r="AH594"/>
  <c r="AG594"/>
  <c r="AG626"/>
  <c r="AH626"/>
  <c r="AG636"/>
  <c r="AH636"/>
  <c r="AH644"/>
  <c r="AG644"/>
  <c r="AH652"/>
  <c r="AG652"/>
  <c r="AH660"/>
  <c r="AG660"/>
  <c r="AL364" i="22"/>
  <c r="X364"/>
  <c r="AH449"/>
  <c r="AH469"/>
  <c r="AD449"/>
  <c r="N7" i="27"/>
  <c r="M19"/>
  <c r="V7"/>
  <c r="DM58"/>
  <c r="Y58"/>
  <c r="C87"/>
  <c r="AP67" i="22"/>
  <c r="AQ67"/>
  <c r="BS54" i="23"/>
  <c r="V63" i="21"/>
  <c r="V85"/>
  <c r="V117"/>
  <c r="V147"/>
  <c r="V212"/>
  <c r="V238"/>
  <c r="V242"/>
  <c r="V246"/>
  <c r="V284"/>
  <c r="V364"/>
  <c r="V368"/>
  <c r="S620"/>
  <c r="S632"/>
  <c r="X334" i="22"/>
  <c r="AS20"/>
  <c r="AS192"/>
  <c r="AS666"/>
  <c r="AS369"/>
  <c r="AS410"/>
  <c r="AS593"/>
  <c r="AS625"/>
  <c r="AS651"/>
  <c r="D28" i="27"/>
  <c r="E50" i="20"/>
  <c r="E17"/>
  <c r="C26" i="27"/>
  <c r="D48" i="20"/>
  <c r="Y12" i="27"/>
  <c r="DB13"/>
  <c r="E28"/>
  <c r="F28"/>
  <c r="G50" i="20"/>
  <c r="DK57" i="27"/>
  <c r="M87"/>
  <c r="N40" i="20"/>
  <c r="Y60" i="27"/>
  <c r="C88"/>
  <c r="D41" i="20"/>
  <c r="C89" i="27"/>
  <c r="DK63"/>
  <c r="M89"/>
  <c r="N42" i="20"/>
  <c r="N17"/>
  <c r="AG25" i="21"/>
  <c r="AH25"/>
  <c r="AG29"/>
  <c r="AH29"/>
  <c r="AG33"/>
  <c r="AH33"/>
  <c r="AG37"/>
  <c r="AH37"/>
  <c r="AG57"/>
  <c r="AH57"/>
  <c r="AG65"/>
  <c r="AH65"/>
  <c r="AH73"/>
  <c r="AG73"/>
  <c r="AG77"/>
  <c r="AH77"/>
  <c r="AG81"/>
  <c r="AH81"/>
  <c r="AH87"/>
  <c r="AG87"/>
  <c r="AG109"/>
  <c r="AH109"/>
  <c r="AH131"/>
  <c r="AG131"/>
  <c r="AG137"/>
  <c r="AH137"/>
  <c r="AG149"/>
  <c r="AH149"/>
  <c r="AG155"/>
  <c r="AH155"/>
  <c r="AG161"/>
  <c r="AH161"/>
  <c r="AG165"/>
  <c r="AH165"/>
  <c r="AG204"/>
  <c r="AH204"/>
  <c r="AL214"/>
  <c r="AK214"/>
  <c r="AK218"/>
  <c r="AL218"/>
  <c r="AG222"/>
  <c r="AH222"/>
  <c r="AH230"/>
  <c r="AG230"/>
  <c r="AG236"/>
  <c r="AH236"/>
  <c r="AH240"/>
  <c r="AG240"/>
  <c r="AH244"/>
  <c r="AG244"/>
  <c r="AH252"/>
  <c r="AG252"/>
  <c r="AH256"/>
  <c r="AG256"/>
  <c r="AH270"/>
  <c r="AG270"/>
  <c r="AH274"/>
  <c r="AG274"/>
  <c r="AH288"/>
  <c r="AG288"/>
  <c r="AG304"/>
  <c r="AH304"/>
  <c r="AG312"/>
  <c r="AH312"/>
  <c r="AG316"/>
  <c r="AH316"/>
  <c r="AG326"/>
  <c r="AH326"/>
  <c r="AE334"/>
  <c r="AN334"/>
  <c r="AL342"/>
  <c r="AK342"/>
  <c r="AG354"/>
  <c r="AH354"/>
  <c r="AG362"/>
  <c r="AH362"/>
  <c r="AH366"/>
  <c r="AG366"/>
  <c r="AG375"/>
  <c r="AH375"/>
  <c r="AG385"/>
  <c r="AH385"/>
  <c r="AG397"/>
  <c r="AH397"/>
  <c r="AK403"/>
  <c r="AL403"/>
  <c r="AK411"/>
  <c r="AL411"/>
  <c r="AG417"/>
  <c r="AH417"/>
  <c r="AG427"/>
  <c r="AH427"/>
  <c r="AG437"/>
  <c r="AH437"/>
  <c r="AH447"/>
  <c r="AG447"/>
  <c r="AG451"/>
  <c r="AH451"/>
  <c r="AG455"/>
  <c r="AH455"/>
  <c r="AG459"/>
  <c r="AH459"/>
  <c r="AG463"/>
  <c r="AH463"/>
  <c r="AH467"/>
  <c r="AG467"/>
  <c r="AO479"/>
  <c r="AN479"/>
  <c r="AG489"/>
  <c r="AH489"/>
  <c r="AG511"/>
  <c r="AH511"/>
  <c r="AG519"/>
  <c r="AH519"/>
  <c r="AH542"/>
  <c r="AG542"/>
  <c r="AH550"/>
  <c r="AG550"/>
  <c r="AG568"/>
  <c r="AH568"/>
  <c r="AG576"/>
  <c r="AH576"/>
  <c r="AH584"/>
  <c r="AG584"/>
  <c r="AG592"/>
  <c r="AH592"/>
  <c r="AH618"/>
  <c r="AG618"/>
  <c r="AH624"/>
  <c r="AG624"/>
  <c r="AH630"/>
  <c r="AG630"/>
  <c r="AN636"/>
  <c r="AO636"/>
  <c r="AG642"/>
  <c r="AH642"/>
  <c r="AG650"/>
  <c r="AH650"/>
  <c r="AG658"/>
  <c r="AH658"/>
  <c r="AH87" i="22"/>
  <c r="V87"/>
  <c r="AG87"/>
  <c r="N66" i="27"/>
  <c r="BL6"/>
  <c r="BN6"/>
  <c r="BQ6"/>
  <c r="BR6"/>
  <c r="BT6"/>
  <c r="BC12"/>
  <c r="BE12"/>
  <c r="BH12"/>
  <c r="BI12"/>
  <c r="G27"/>
  <c r="H49" i="20"/>
  <c r="H16"/>
  <c r="BK12" i="27"/>
  <c r="DI66"/>
  <c r="DK54"/>
  <c r="AA43" i="21"/>
  <c r="AA59"/>
  <c r="AB59"/>
  <c r="Y59"/>
  <c r="Z59"/>
  <c r="E87" i="27"/>
  <c r="D87"/>
  <c r="E40" i="20"/>
  <c r="E15"/>
  <c r="DK6" i="27"/>
  <c r="DB12"/>
  <c r="L27"/>
  <c r="M49" i="20"/>
  <c r="Y13" i="27"/>
  <c r="DB57"/>
  <c r="L87"/>
  <c r="M40" i="20"/>
  <c r="M15"/>
  <c r="AZ58" i="27"/>
  <c r="F87"/>
  <c r="G40" i="20"/>
  <c r="DB61" i="27"/>
  <c r="L88"/>
  <c r="M41" i="20"/>
  <c r="M16"/>
  <c r="AI20" i="22"/>
  <c r="AA59"/>
  <c r="AC320"/>
  <c r="AC328"/>
  <c r="AC434"/>
  <c r="CG55" i="27"/>
  <c r="CH55"/>
  <c r="DH55"/>
  <c r="DI55"/>
  <c r="DK55"/>
  <c r="V55"/>
  <c r="W55"/>
  <c r="AH54"/>
  <c r="DM13"/>
  <c r="AT12"/>
  <c r="AV12"/>
  <c r="AY12"/>
  <c r="AZ12"/>
  <c r="F27"/>
  <c r="G49" i="20"/>
  <c r="E7" i="27"/>
  <c r="E19"/>
  <c r="C46"/>
  <c r="AS94" i="21"/>
  <c r="AS96"/>
  <c r="AS100"/>
  <c r="AS28"/>
  <c r="AJ28" i="22"/>
  <c r="AO83"/>
  <c r="P95"/>
  <c r="P189"/>
  <c r="AH163"/>
  <c r="AH354"/>
  <c r="BB7" i="27"/>
  <c r="AS64" i="21"/>
  <c r="AS92"/>
  <c r="AS98"/>
  <c r="AS44"/>
  <c r="AS58"/>
  <c r="AS104"/>
  <c r="AQ128"/>
  <c r="AS128"/>
  <c r="AJ128"/>
  <c r="AQ162"/>
  <c r="AS162"/>
  <c r="AJ162"/>
  <c r="F45" i="27"/>
  <c r="F46"/>
  <c r="AR682" i="22"/>
  <c r="AR686"/>
  <c r="AQ26" i="21"/>
  <c r="AS26"/>
  <c r="AQ28"/>
  <c r="AQ38"/>
  <c r="AS38"/>
  <c r="AI40"/>
  <c r="AJ44"/>
  <c r="AQ58"/>
  <c r="AJ64"/>
  <c r="AP66"/>
  <c r="AS66"/>
  <c r="AI68"/>
  <c r="AI72"/>
  <c r="AI76"/>
  <c r="AP78"/>
  <c r="AS78"/>
  <c r="AI86"/>
  <c r="AQ92"/>
  <c r="AJ102"/>
  <c r="AJ104"/>
  <c r="AJ110"/>
  <c r="AS168"/>
  <c r="AS195"/>
  <c r="AS205"/>
  <c r="AS211"/>
  <c r="AS223"/>
  <c r="AS239"/>
  <c r="AS263"/>
  <c r="AS281"/>
  <c r="AS301"/>
  <c r="AI144"/>
  <c r="AP144"/>
  <c r="AS144"/>
  <c r="AP70"/>
  <c r="AS70"/>
  <c r="AP74"/>
  <c r="AS74"/>
  <c r="AP84"/>
  <c r="AS84"/>
  <c r="AS108"/>
  <c r="AQ108"/>
  <c r="AS241"/>
  <c r="AQ106"/>
  <c r="AS106"/>
  <c r="AJ106"/>
  <c r="AQ112"/>
  <c r="AS112"/>
  <c r="AJ112"/>
  <c r="AJ40"/>
  <c r="AI64"/>
  <c r="AQ146"/>
  <c r="AS209"/>
  <c r="AM280"/>
  <c r="AQ132"/>
  <c r="AS132"/>
  <c r="AJ132"/>
  <c r="AS146"/>
  <c r="AP349"/>
  <c r="AS349"/>
  <c r="AI349"/>
  <c r="AJ142"/>
  <c r="AJ173"/>
  <c r="AJ183"/>
  <c r="AJ195"/>
  <c r="AP207"/>
  <c r="AS207"/>
  <c r="AJ211"/>
  <c r="AP213"/>
  <c r="AS213"/>
  <c r="AP217"/>
  <c r="AS217"/>
  <c r="AJ221"/>
  <c r="AQ233"/>
  <c r="AS233"/>
  <c r="AJ239"/>
  <c r="AJ241"/>
  <c r="AQ257"/>
  <c r="AS257"/>
  <c r="AQ265"/>
  <c r="AS265"/>
  <c r="AI269"/>
  <c r="AJ283"/>
  <c r="AP287"/>
  <c r="AS287"/>
  <c r="AS333"/>
  <c r="AS343"/>
  <c r="AS450"/>
  <c r="AS478"/>
  <c r="AS339"/>
  <c r="AS454"/>
  <c r="AS462"/>
  <c r="AS472"/>
  <c r="AI152"/>
  <c r="AI221"/>
  <c r="AI223"/>
  <c r="AJ251"/>
  <c r="AJ269"/>
  <c r="AJ295"/>
  <c r="AI301"/>
  <c r="AI313"/>
  <c r="AI319"/>
  <c r="AS641"/>
  <c r="AQ353"/>
  <c r="AS353"/>
  <c r="AJ353"/>
  <c r="AS649"/>
  <c r="AQ575"/>
  <c r="AS575"/>
  <c r="AJ575"/>
  <c r="AQ649"/>
  <c r="AJ649"/>
  <c r="AI651"/>
  <c r="AP651"/>
  <c r="AS651"/>
  <c r="X598" i="22"/>
  <c r="Z598"/>
  <c r="AA598"/>
  <c r="AB598"/>
  <c r="AM598"/>
  <c r="X596" i="21"/>
  <c r="Z596"/>
  <c r="AA596"/>
  <c r="AB596"/>
  <c r="AM596"/>
  <c r="AJ349"/>
  <c r="AI353"/>
  <c r="AJ438"/>
  <c r="AJ440"/>
  <c r="AI446"/>
  <c r="AJ446"/>
  <c r="AI450"/>
  <c r="AI468"/>
  <c r="AJ484"/>
  <c r="AQ488"/>
  <c r="AS488"/>
  <c r="AS496"/>
  <c r="AJ514"/>
  <c r="AJ520"/>
  <c r="AS536"/>
  <c r="AS577"/>
  <c r="AS631"/>
  <c r="AS635"/>
  <c r="AS637"/>
  <c r="AS647"/>
  <c r="AS655"/>
  <c r="T32" i="23"/>
  <c r="AP579" i="21"/>
  <c r="AS579"/>
  <c r="AI579"/>
  <c r="AQ641"/>
  <c r="AJ641"/>
  <c r="AQ657"/>
  <c r="AS657"/>
  <c r="AJ657"/>
  <c r="D7" i="23"/>
  <c r="V7"/>
  <c r="AS537" i="21"/>
  <c r="AE671"/>
  <c r="AK671"/>
  <c r="AQ571"/>
  <c r="AS571"/>
  <c r="AJ571"/>
  <c r="AP653"/>
  <c r="AS653"/>
  <c r="AI653"/>
  <c r="V59" i="23"/>
  <c r="AJ374" i="21"/>
  <c r="AJ376"/>
  <c r="AP386"/>
  <c r="AS386"/>
  <c r="AI390"/>
  <c r="AI398"/>
  <c r="AI404"/>
  <c r="AJ436"/>
  <c r="AI438"/>
  <c r="AQ442"/>
  <c r="AS442"/>
  <c r="AJ444"/>
  <c r="AJ450"/>
  <c r="AI452"/>
  <c r="AJ454"/>
  <c r="AI456"/>
  <c r="AI466"/>
  <c r="AJ486"/>
  <c r="AJ512"/>
  <c r="AJ516"/>
  <c r="AS521"/>
  <c r="AJ524"/>
  <c r="AM669"/>
  <c r="AS573"/>
  <c r="AS623"/>
  <c r="AP526"/>
  <c r="AS526"/>
  <c r="AI526"/>
  <c r="AP661"/>
  <c r="AS661"/>
  <c r="AI661"/>
  <c r="AI598"/>
  <c r="AP598"/>
  <c r="AS598"/>
  <c r="AJ492"/>
  <c r="AS500"/>
  <c r="AE669"/>
  <c r="AI589"/>
  <c r="AS593"/>
  <c r="AS625"/>
  <c r="AS629"/>
  <c r="AI599"/>
  <c r="AP599" i="22"/>
  <c r="AS599"/>
  <c r="D79" i="17"/>
  <c r="AI573" i="21"/>
  <c r="AJ591"/>
  <c r="AJ609"/>
  <c r="AI643"/>
  <c r="AJ647"/>
  <c r="AJ655"/>
  <c r="AI659"/>
  <c r="AJ611"/>
  <c r="AJ617"/>
  <c r="AI657"/>
  <c r="P148" i="8"/>
  <c r="S128"/>
  <c r="I128"/>
  <c r="V9" i="17"/>
  <c r="V10"/>
  <c r="F98" i="8"/>
  <c r="R48"/>
  <c r="T94"/>
  <c r="S44"/>
  <c r="P99"/>
  <c r="K48"/>
  <c r="U48"/>
  <c r="Q95"/>
  <c r="S102"/>
  <c r="T105"/>
  <c r="S48"/>
  <c r="E99"/>
  <c r="T102"/>
  <c r="S46"/>
  <c r="T48"/>
  <c r="P98"/>
  <c r="Q96"/>
  <c r="S70"/>
  <c r="R102"/>
  <c r="Q97"/>
  <c r="E98"/>
  <c r="E45"/>
  <c r="E19" i="10"/>
  <c r="G19" i="4"/>
  <c r="G4"/>
  <c r="F4"/>
  <c r="J46" i="8"/>
  <c r="G37" i="4"/>
  <c r="H36"/>
  <c r="D19" i="10"/>
  <c r="AO44" i="23"/>
  <c r="AP44"/>
  <c r="AQ44"/>
  <c r="F36"/>
  <c r="AO36"/>
  <c r="BL42"/>
  <c r="BM42"/>
  <c r="BF28"/>
  <c r="BG28"/>
  <c r="BH28"/>
  <c r="BO28"/>
  <c r="BL14"/>
  <c r="BM14"/>
  <c r="BO26"/>
  <c r="BH26"/>
  <c r="BF18"/>
  <c r="BG18"/>
  <c r="BH18"/>
  <c r="BO27"/>
  <c r="AW44"/>
  <c r="BP52"/>
  <c r="BK52"/>
  <c r="BL52"/>
  <c r="BF23"/>
  <c r="BG23"/>
  <c r="BH23"/>
  <c r="AG29"/>
  <c r="X29"/>
  <c r="Y29"/>
  <c r="Z29"/>
  <c r="X38"/>
  <c r="Y38"/>
  <c r="Z38"/>
  <c r="AG38"/>
  <c r="BQ46"/>
  <c r="BR46"/>
  <c r="BL46"/>
  <c r="BM46"/>
  <c r="AO52"/>
  <c r="AP52"/>
  <c r="AQ52"/>
  <c r="AX52"/>
  <c r="BP42"/>
  <c r="BP14"/>
  <c r="AG49"/>
  <c r="AU59"/>
  <c r="AV59"/>
  <c r="AO49"/>
  <c r="AP49"/>
  <c r="X42"/>
  <c r="F42"/>
  <c r="BF19"/>
  <c r="F19"/>
  <c r="AX30"/>
  <c r="AN23"/>
  <c r="AW23"/>
  <c r="E23"/>
  <c r="O23"/>
  <c r="BO34"/>
  <c r="BF34"/>
  <c r="BG34"/>
  <c r="BH34"/>
  <c r="BF16"/>
  <c r="BG16"/>
  <c r="BH16"/>
  <c r="AX28"/>
  <c r="AO28"/>
  <c r="AP28"/>
  <c r="AQ28"/>
  <c r="AR28"/>
  <c r="AS28"/>
  <c r="AT28"/>
  <c r="BF51"/>
  <c r="BG51"/>
  <c r="BH51"/>
  <c r="BF44"/>
  <c r="BG44"/>
  <c r="BH44"/>
  <c r="AG58"/>
  <c r="X58"/>
  <c r="Y58"/>
  <c r="Z58"/>
  <c r="BO43"/>
  <c r="AX26"/>
  <c r="BQ57"/>
  <c r="BR57"/>
  <c r="Q45" i="8"/>
  <c r="R12" i="17"/>
  <c r="V11"/>
  <c r="V12"/>
  <c r="F88" i="8"/>
  <c r="E88"/>
  <c r="E96"/>
  <c r="F96"/>
  <c r="Q78"/>
  <c r="E78"/>
  <c r="F97"/>
  <c r="E97"/>
  <c r="U76"/>
  <c r="F22" i="10"/>
  <c r="F95" i="8"/>
  <c r="E95"/>
  <c r="Q68"/>
  <c r="E68"/>
  <c r="F45"/>
  <c r="O45"/>
  <c r="E42"/>
  <c r="Q42"/>
  <c r="D40" i="20"/>
  <c r="N87" i="27"/>
  <c r="M39" i="20"/>
  <c r="L90" i="27"/>
  <c r="E59" i="23"/>
  <c r="O59"/>
  <c r="W59"/>
  <c r="AO665" i="22"/>
  <c r="AO664"/>
  <c r="AO663"/>
  <c r="AO676"/>
  <c r="CH66" i="27"/>
  <c r="CJ55"/>
  <c r="F40" i="20"/>
  <c r="O87" i="27"/>
  <c r="AL87" i="22"/>
  <c r="AK87"/>
  <c r="X87"/>
  <c r="V95"/>
  <c r="AQ576" i="21"/>
  <c r="AJ576"/>
  <c r="AQ519"/>
  <c r="AJ519"/>
  <c r="AP467"/>
  <c r="AI467"/>
  <c r="AQ459"/>
  <c r="AJ459"/>
  <c r="AQ437"/>
  <c r="AJ437"/>
  <c r="AQ417"/>
  <c r="AJ417"/>
  <c r="AQ385"/>
  <c r="AJ385"/>
  <c r="AP366"/>
  <c r="AI366"/>
  <c r="AQ354"/>
  <c r="AJ354"/>
  <c r="AQ316"/>
  <c r="AJ316"/>
  <c r="AJ304"/>
  <c r="AQ304"/>
  <c r="AI274"/>
  <c r="AP274"/>
  <c r="AI256"/>
  <c r="AP256"/>
  <c r="AI244"/>
  <c r="AP244"/>
  <c r="AQ236"/>
  <c r="AJ236"/>
  <c r="AQ222"/>
  <c r="AJ222"/>
  <c r="AJ165"/>
  <c r="AQ165"/>
  <c r="AQ155"/>
  <c r="AJ155"/>
  <c r="AQ137"/>
  <c r="AJ137"/>
  <c r="AQ109"/>
  <c r="AJ109"/>
  <c r="AJ81"/>
  <c r="AQ81"/>
  <c r="AI73"/>
  <c r="AP73"/>
  <c r="AQ57"/>
  <c r="AJ57"/>
  <c r="AQ25"/>
  <c r="AJ25"/>
  <c r="AO632"/>
  <c r="AN632"/>
  <c r="X632"/>
  <c r="Z632"/>
  <c r="AA632"/>
  <c r="AB632"/>
  <c r="AK284"/>
  <c r="AL284"/>
  <c r="X284"/>
  <c r="V296"/>
  <c r="AK212"/>
  <c r="AL212"/>
  <c r="X212"/>
  <c r="V226"/>
  <c r="AL63"/>
  <c r="AK63"/>
  <c r="AB364" i="22"/>
  <c r="X370"/>
  <c r="AI652" i="21"/>
  <c r="AP652"/>
  <c r="AQ636"/>
  <c r="AJ636"/>
  <c r="AP594"/>
  <c r="AI594"/>
  <c r="AP578"/>
  <c r="AI578"/>
  <c r="AP555"/>
  <c r="AG669"/>
  <c r="AI555"/>
  <c r="AI669"/>
  <c r="AJ529"/>
  <c r="AQ529"/>
  <c r="AP491"/>
  <c r="AI491"/>
  <c r="AQ473"/>
  <c r="AJ473"/>
  <c r="AQ429"/>
  <c r="AJ429"/>
  <c r="AI419"/>
  <c r="AP419"/>
  <c r="AJ403"/>
  <c r="AQ403"/>
  <c r="AQ336"/>
  <c r="AJ336"/>
  <c r="AQ300"/>
  <c r="AJ300"/>
  <c r="AQ232"/>
  <c r="AJ232"/>
  <c r="AQ214"/>
  <c r="AJ214"/>
  <c r="AQ125"/>
  <c r="AJ125"/>
  <c r="AP49"/>
  <c r="AI49"/>
  <c r="L41" i="20"/>
  <c r="Q88" i="27"/>
  <c r="B88"/>
  <c r="DN60"/>
  <c r="K86"/>
  <c r="CS66"/>
  <c r="AK222" i="22"/>
  <c r="X222"/>
  <c r="AL222"/>
  <c r="V226"/>
  <c r="AI646" i="21"/>
  <c r="AP646"/>
  <c r="AQ632"/>
  <c r="AJ632"/>
  <c r="AQ600"/>
  <c r="AJ600"/>
  <c r="AQ580"/>
  <c r="AJ580"/>
  <c r="AP564"/>
  <c r="AI564"/>
  <c r="AP531"/>
  <c r="AI531"/>
  <c r="AQ499"/>
  <c r="AJ499"/>
  <c r="AQ475"/>
  <c r="AJ475"/>
  <c r="AQ461"/>
  <c r="AJ461"/>
  <c r="AQ453"/>
  <c r="AJ453"/>
  <c r="AI441"/>
  <c r="AP441"/>
  <c r="AI413"/>
  <c r="AP413"/>
  <c r="AJ393"/>
  <c r="AQ393"/>
  <c r="AQ368"/>
  <c r="AJ368"/>
  <c r="AP346"/>
  <c r="AI346"/>
  <c r="AI334"/>
  <c r="AP334"/>
  <c r="AP318"/>
  <c r="AI318"/>
  <c r="AQ284"/>
  <c r="AJ284"/>
  <c r="AI272"/>
  <c r="AP272"/>
  <c r="AI246"/>
  <c r="AP246"/>
  <c r="AI238"/>
  <c r="AP238"/>
  <c r="AQ224"/>
  <c r="AJ224"/>
  <c r="AP208"/>
  <c r="AI208"/>
  <c r="AP167"/>
  <c r="AI167"/>
  <c r="AQ157"/>
  <c r="AJ157"/>
  <c r="AI111"/>
  <c r="AP111"/>
  <c r="AP75"/>
  <c r="AI75"/>
  <c r="AP63"/>
  <c r="AI63"/>
  <c r="AJ51"/>
  <c r="AQ51"/>
  <c r="AQ35"/>
  <c r="AJ35"/>
  <c r="AP27"/>
  <c r="AI27"/>
  <c r="F26" i="27"/>
  <c r="DN9"/>
  <c r="AB240" i="22"/>
  <c r="O667" i="21"/>
  <c r="O663"/>
  <c r="L40" i="20"/>
  <c r="Q87" i="27"/>
  <c r="BL13"/>
  <c r="BN13"/>
  <c r="BQ13"/>
  <c r="BR13"/>
  <c r="BT13"/>
  <c r="AI656" i="21"/>
  <c r="AP656"/>
  <c r="AI640"/>
  <c r="AP640"/>
  <c r="AQ628"/>
  <c r="AJ628"/>
  <c r="AQ616"/>
  <c r="AJ616"/>
  <c r="AP582"/>
  <c r="AI582"/>
  <c r="AP566"/>
  <c r="AI566"/>
  <c r="AQ538"/>
  <c r="AJ538"/>
  <c r="AP509"/>
  <c r="AI509"/>
  <c r="AQ487"/>
  <c r="AJ487"/>
  <c r="AQ443"/>
  <c r="AJ443"/>
  <c r="AI409"/>
  <c r="AP409"/>
  <c r="AI340"/>
  <c r="AP340"/>
  <c r="AJ320"/>
  <c r="AQ320"/>
  <c r="AQ302"/>
  <c r="AJ302"/>
  <c r="AQ286"/>
  <c r="AJ286"/>
  <c r="AQ216"/>
  <c r="AJ216"/>
  <c r="AP55"/>
  <c r="AI55"/>
  <c r="AI196"/>
  <c r="AP196"/>
  <c r="AQ610"/>
  <c r="AJ610"/>
  <c r="AJ395"/>
  <c r="AQ395"/>
  <c r="AL381"/>
  <c r="AK381"/>
  <c r="AD381"/>
  <c r="V389"/>
  <c r="AQ278"/>
  <c r="AJ278"/>
  <c r="AI262"/>
  <c r="AP262"/>
  <c r="AG666"/>
  <c r="AI191"/>
  <c r="AI666"/>
  <c r="AP191"/>
  <c r="AB143"/>
  <c r="Y143"/>
  <c r="Z143"/>
  <c r="AD143"/>
  <c r="AB105"/>
  <c r="Y105"/>
  <c r="AD105"/>
  <c r="Z105"/>
  <c r="AI99"/>
  <c r="AP99"/>
  <c r="AK61"/>
  <c r="AL61"/>
  <c r="X61"/>
  <c r="AQ210"/>
  <c r="AJ210"/>
  <c r="AB222"/>
  <c r="Y222"/>
  <c r="Z222"/>
  <c r="AI330"/>
  <c r="AP330"/>
  <c r="G41" i="20"/>
  <c r="O88" i="27"/>
  <c r="AK93" i="21"/>
  <c r="AL93"/>
  <c r="X93"/>
  <c r="Z65"/>
  <c r="AB65"/>
  <c r="Y65"/>
  <c r="AD65"/>
  <c r="Z499" i="22"/>
  <c r="X507"/>
  <c r="AH671" i="21"/>
  <c r="AJ604"/>
  <c r="AQ604"/>
  <c r="AP383"/>
  <c r="AI383"/>
  <c r="AL348"/>
  <c r="AK348"/>
  <c r="X348"/>
  <c r="V360"/>
  <c r="AP264"/>
  <c r="AI264"/>
  <c r="AP107"/>
  <c r="AI107"/>
  <c r="AJ39"/>
  <c r="AQ39"/>
  <c r="AQ41"/>
  <c r="AJ41"/>
  <c r="AJ135"/>
  <c r="AQ135"/>
  <c r="AB310"/>
  <c r="Y310"/>
  <c r="Z310"/>
  <c r="W286"/>
  <c r="AD296"/>
  <c r="Y393" i="22"/>
  <c r="AB405"/>
  <c r="AQ614" i="21"/>
  <c r="AJ614"/>
  <c r="AQ356"/>
  <c r="AJ356"/>
  <c r="AK266"/>
  <c r="AL266"/>
  <c r="X266"/>
  <c r="AQ258"/>
  <c r="AJ258"/>
  <c r="AP174"/>
  <c r="AI174"/>
  <c r="AP151"/>
  <c r="AI151"/>
  <c r="AP83"/>
  <c r="AI83"/>
  <c r="K13" i="24"/>
  <c r="O12"/>
  <c r="M12"/>
  <c r="D9"/>
  <c r="E8"/>
  <c r="AN469" i="22"/>
  <c r="AN668"/>
  <c r="AN664"/>
  <c r="AQ608" i="21"/>
  <c r="AJ608"/>
  <c r="AP358"/>
  <c r="AI358"/>
  <c r="AI268"/>
  <c r="AP268"/>
  <c r="AQ153"/>
  <c r="AJ153"/>
  <c r="AI103"/>
  <c r="AP103"/>
  <c r="AK89"/>
  <c r="AL89"/>
  <c r="X89"/>
  <c r="AI53"/>
  <c r="AP53"/>
  <c r="AI47"/>
  <c r="AP47"/>
  <c r="Y208" i="22"/>
  <c r="X260"/>
  <c r="W280"/>
  <c r="AM260"/>
  <c r="AQ373" i="21"/>
  <c r="AJ373"/>
  <c r="AQ129"/>
  <c r="AJ129"/>
  <c r="AP172"/>
  <c r="AI172"/>
  <c r="AJ391"/>
  <c r="AQ391"/>
  <c r="AI250"/>
  <c r="AP250"/>
  <c r="AG280"/>
  <c r="AG667"/>
  <c r="AP562"/>
  <c r="AI562"/>
  <c r="D13" i="17"/>
  <c r="I13"/>
  <c r="E62" i="24"/>
  <c r="E72"/>
  <c r="AN35" i="23"/>
  <c r="E35"/>
  <c r="O35"/>
  <c r="BF48"/>
  <c r="BG48"/>
  <c r="BH48"/>
  <c r="AW38"/>
  <c r="E38"/>
  <c r="AN38"/>
  <c r="AM37"/>
  <c r="AM32"/>
  <c r="AB15" i="22"/>
  <c r="Z15"/>
  <c r="AO12" i="23"/>
  <c r="AQ53"/>
  <c r="H53"/>
  <c r="P53"/>
  <c r="AQ141" i="21"/>
  <c r="AJ141"/>
  <c r="AF37" i="23"/>
  <c r="AP15" i="21"/>
  <c r="AI15"/>
  <c r="BI29" i="23"/>
  <c r="BJ29"/>
  <c r="BK29"/>
  <c r="AO41"/>
  <c r="F41"/>
  <c r="Z290" i="21"/>
  <c r="AB290"/>
  <c r="Y290"/>
  <c r="BG45" i="23"/>
  <c r="G45"/>
  <c r="AR47"/>
  <c r="AS47"/>
  <c r="AT47"/>
  <c r="AN24"/>
  <c r="AO25"/>
  <c r="AP11"/>
  <c r="AX11"/>
  <c r="BL31"/>
  <c r="BM31"/>
  <c r="AU31"/>
  <c r="AV31"/>
  <c r="AZ31"/>
  <c r="I41" i="20"/>
  <c r="F165" i="13"/>
  <c r="K73" i="8"/>
  <c r="AB206" i="21"/>
  <c r="AP15" i="23"/>
  <c r="G15"/>
  <c r="X47"/>
  <c r="F47"/>
  <c r="C56" i="24"/>
  <c r="E55"/>
  <c r="Z560" i="21"/>
  <c r="X602"/>
  <c r="S86" i="8"/>
  <c r="G86"/>
  <c r="G56" i="23"/>
  <c r="AP56"/>
  <c r="AO46"/>
  <c r="BL53"/>
  <c r="BM53"/>
  <c r="BF11"/>
  <c r="BG11"/>
  <c r="BH11"/>
  <c r="BO11"/>
  <c r="AY43"/>
  <c r="AR43"/>
  <c r="AS43"/>
  <c r="AT43"/>
  <c r="AP20"/>
  <c r="AO10"/>
  <c r="F10"/>
  <c r="BQ41"/>
  <c r="BL41"/>
  <c r="BM41"/>
  <c r="F23" i="10"/>
  <c r="U57" i="8"/>
  <c r="AC16" i="23"/>
  <c r="AE45"/>
  <c r="Q63" i="8"/>
  <c r="E63"/>
  <c r="E22" i="10"/>
  <c r="T76" i="8"/>
  <c r="Q66"/>
  <c r="E66"/>
  <c r="AB20" i="23"/>
  <c r="E43" i="8"/>
  <c r="Q43"/>
  <c r="AE53" i="23"/>
  <c r="K59" i="20"/>
  <c r="L55"/>
  <c r="Q55"/>
  <c r="D22" i="10"/>
  <c r="S76" i="8"/>
  <c r="AE667" i="21"/>
  <c r="R49" i="20"/>
  <c r="AM670" i="22"/>
  <c r="AN469" i="21"/>
  <c r="AM670"/>
  <c r="D54" i="23"/>
  <c r="E20"/>
  <c r="O20"/>
  <c r="BN20"/>
  <c r="I88" i="27"/>
  <c r="J41" i="20"/>
  <c r="DN57" i="27"/>
  <c r="D82" i="8"/>
  <c r="BC7" i="27"/>
  <c r="BE7"/>
  <c r="BH7"/>
  <c r="BK7"/>
  <c r="AQ650" i="21"/>
  <c r="AJ650"/>
  <c r="AI624"/>
  <c r="AP624"/>
  <c r="AQ592"/>
  <c r="AJ592"/>
  <c r="AP550"/>
  <c r="AI550"/>
  <c r="AQ489"/>
  <c r="AJ489"/>
  <c r="AQ451"/>
  <c r="AJ451"/>
  <c r="AQ33"/>
  <c r="AJ33"/>
  <c r="W7" i="23"/>
  <c r="E7"/>
  <c r="O7"/>
  <c r="AF7"/>
  <c r="P665" i="22"/>
  <c r="P664"/>
  <c r="P663"/>
  <c r="P687"/>
  <c r="M86" i="27"/>
  <c r="DK66"/>
  <c r="BU6"/>
  <c r="BW6"/>
  <c r="BZ6"/>
  <c r="CA6"/>
  <c r="CC6"/>
  <c r="CD6"/>
  <c r="CF6"/>
  <c r="CI6"/>
  <c r="CJ6"/>
  <c r="AP87" i="22"/>
  <c r="AI87"/>
  <c r="AI658" i="21"/>
  <c r="AP658"/>
  <c r="AI642"/>
  <c r="AP642"/>
  <c r="AJ630"/>
  <c r="AQ630"/>
  <c r="AQ618"/>
  <c r="AJ618"/>
  <c r="AQ584"/>
  <c r="AJ584"/>
  <c r="AP568"/>
  <c r="AI568"/>
  <c r="AJ542"/>
  <c r="AQ542"/>
  <c r="AP511"/>
  <c r="AI511"/>
  <c r="AP463"/>
  <c r="AI463"/>
  <c r="AP455"/>
  <c r="AI455"/>
  <c r="AH469"/>
  <c r="AH668"/>
  <c r="AJ447"/>
  <c r="AQ447"/>
  <c r="AP427"/>
  <c r="AI427"/>
  <c r="AP397"/>
  <c r="AI397"/>
  <c r="AP375"/>
  <c r="AI375"/>
  <c r="AP362"/>
  <c r="AI362"/>
  <c r="AP326"/>
  <c r="AI326"/>
  <c r="AP312"/>
  <c r="AI312"/>
  <c r="AQ288"/>
  <c r="AJ288"/>
  <c r="AQ270"/>
  <c r="AJ270"/>
  <c r="AQ252"/>
  <c r="AJ252"/>
  <c r="AQ240"/>
  <c r="AJ240"/>
  <c r="AQ230"/>
  <c r="AJ230"/>
  <c r="AP204"/>
  <c r="AI204"/>
  <c r="AI161"/>
  <c r="AP161"/>
  <c r="AP149"/>
  <c r="AI149"/>
  <c r="AQ131"/>
  <c r="AJ131"/>
  <c r="AQ87"/>
  <c r="AJ87"/>
  <c r="AP77"/>
  <c r="AI77"/>
  <c r="AI65"/>
  <c r="AP65"/>
  <c r="AP37"/>
  <c r="AI37"/>
  <c r="AP29"/>
  <c r="AI29"/>
  <c r="D42" i="20"/>
  <c r="N89" i="27"/>
  <c r="F50" i="20"/>
  <c r="O28" i="27"/>
  <c r="AB334" i="22"/>
  <c r="X344"/>
  <c r="AL364" i="21"/>
  <c r="AK364"/>
  <c r="X364"/>
  <c r="V370"/>
  <c r="AK238"/>
  <c r="AL238"/>
  <c r="V248"/>
  <c r="X238"/>
  <c r="AK85"/>
  <c r="AL85"/>
  <c r="X85"/>
  <c r="AE7" i="27"/>
  <c r="W7"/>
  <c r="V19"/>
  <c r="AJ449" i="22"/>
  <c r="AQ449"/>
  <c r="AS449"/>
  <c r="AH668"/>
  <c r="AQ660" i="21"/>
  <c r="AJ660"/>
  <c r="AQ644"/>
  <c r="AJ644"/>
  <c r="AI626"/>
  <c r="AP626"/>
  <c r="AP586"/>
  <c r="AI586"/>
  <c r="AQ570"/>
  <c r="AJ570"/>
  <c r="AP544"/>
  <c r="AI544"/>
  <c r="AP513"/>
  <c r="AI513"/>
  <c r="AQ479"/>
  <c r="AJ479"/>
  <c r="AQ439"/>
  <c r="AJ439"/>
  <c r="AQ423"/>
  <c r="AJ423"/>
  <c r="AQ411"/>
  <c r="AJ411"/>
  <c r="AQ342"/>
  <c r="AJ342"/>
  <c r="AQ332"/>
  <c r="AJ332"/>
  <c r="AQ306"/>
  <c r="AJ306"/>
  <c r="AP290"/>
  <c r="AI290"/>
  <c r="AQ218"/>
  <c r="AJ218"/>
  <c r="AQ206"/>
  <c r="AJ206"/>
  <c r="AI59"/>
  <c r="AP59"/>
  <c r="AD626"/>
  <c r="W626"/>
  <c r="AC662"/>
  <c r="AC671"/>
  <c r="AQ222" i="22"/>
  <c r="AJ222"/>
  <c r="AH667"/>
  <c r="AL167"/>
  <c r="AK167"/>
  <c r="X167"/>
  <c r="V169"/>
  <c r="AQ654" i="21"/>
  <c r="AJ654"/>
  <c r="AI638"/>
  <c r="AP638"/>
  <c r="AP600"/>
  <c r="AS600"/>
  <c r="AI600"/>
  <c r="AP580"/>
  <c r="AS580"/>
  <c r="AI580"/>
  <c r="AQ564"/>
  <c r="AJ564"/>
  <c r="AQ531"/>
  <c r="AJ531"/>
  <c r="AP499"/>
  <c r="AS499"/>
  <c r="AI499"/>
  <c r="AP475"/>
  <c r="AS475"/>
  <c r="AI475"/>
  <c r="AP461"/>
  <c r="AS461"/>
  <c r="AI461"/>
  <c r="AP453"/>
  <c r="AS453"/>
  <c r="AI453"/>
  <c r="AQ441"/>
  <c r="AJ441"/>
  <c r="AQ413"/>
  <c r="AJ413"/>
  <c r="AP393"/>
  <c r="AS393"/>
  <c r="AI393"/>
  <c r="AP368"/>
  <c r="AS368"/>
  <c r="AI368"/>
  <c r="AQ346"/>
  <c r="AJ346"/>
  <c r="AQ334"/>
  <c r="AJ334"/>
  <c r="AQ318"/>
  <c r="AJ318"/>
  <c r="AP284"/>
  <c r="AS284"/>
  <c r="AI284"/>
  <c r="AQ272"/>
  <c r="AJ272"/>
  <c r="AQ246"/>
  <c r="AJ246"/>
  <c r="AQ238"/>
  <c r="AJ238"/>
  <c r="AP224"/>
  <c r="AS224"/>
  <c r="AI224"/>
  <c r="AQ208"/>
  <c r="AJ208"/>
  <c r="AJ167"/>
  <c r="AQ167"/>
  <c r="AP157"/>
  <c r="AS157"/>
  <c r="AI157"/>
  <c r="AQ111"/>
  <c r="AJ111"/>
  <c r="AQ75"/>
  <c r="AJ75"/>
  <c r="AJ63"/>
  <c r="AQ63"/>
  <c r="AI51"/>
  <c r="AP51"/>
  <c r="AS51"/>
  <c r="AP35"/>
  <c r="AS35"/>
  <c r="AI35"/>
  <c r="AQ27"/>
  <c r="AJ27"/>
  <c r="C49" i="20"/>
  <c r="AI101" i="22"/>
  <c r="AP101"/>
  <c r="AS101"/>
  <c r="D11" i="17"/>
  <c r="I11"/>
  <c r="AQ656" i="21"/>
  <c r="AJ656"/>
  <c r="AQ640"/>
  <c r="AJ640"/>
  <c r="AI628"/>
  <c r="AP628"/>
  <c r="AS628"/>
  <c r="AI616"/>
  <c r="AP616"/>
  <c r="AS616"/>
  <c r="AQ582"/>
  <c r="AJ582"/>
  <c r="AQ566"/>
  <c r="AJ566"/>
  <c r="AP538"/>
  <c r="AS538"/>
  <c r="AI538"/>
  <c r="AQ509"/>
  <c r="AJ509"/>
  <c r="AI487"/>
  <c r="AP487"/>
  <c r="AS487"/>
  <c r="AI443"/>
  <c r="AP443"/>
  <c r="AS443"/>
  <c r="AQ409"/>
  <c r="AJ409"/>
  <c r="AQ340"/>
  <c r="AJ340"/>
  <c r="AP320"/>
  <c r="AS320"/>
  <c r="AI320"/>
  <c r="AP302"/>
  <c r="AS302"/>
  <c r="AI302"/>
  <c r="AP286"/>
  <c r="AS286"/>
  <c r="AI286"/>
  <c r="AP216"/>
  <c r="AS216"/>
  <c r="AI216"/>
  <c r="AJ55"/>
  <c r="AQ55"/>
  <c r="AQ196"/>
  <c r="AJ196"/>
  <c r="D17" i="17"/>
  <c r="I17"/>
  <c r="AB107" i="22"/>
  <c r="Y107"/>
  <c r="Z107"/>
  <c r="Z612"/>
  <c r="X662"/>
  <c r="X671"/>
  <c r="AI610" i="21"/>
  <c r="AP610"/>
  <c r="AS610"/>
  <c r="AP395"/>
  <c r="AS395"/>
  <c r="AI395"/>
  <c r="AQ387"/>
  <c r="AJ387"/>
  <c r="AP381"/>
  <c r="AI381"/>
  <c r="AI278"/>
  <c r="AP278"/>
  <c r="AS278"/>
  <c r="AB262"/>
  <c r="Y262"/>
  <c r="Z262"/>
  <c r="AP143"/>
  <c r="AI143"/>
  <c r="AQ105"/>
  <c r="AJ105"/>
  <c r="AI91"/>
  <c r="AP91"/>
  <c r="AB37"/>
  <c r="Y37"/>
  <c r="Z37"/>
  <c r="AD37"/>
  <c r="Z252"/>
  <c r="AB252"/>
  <c r="Y252"/>
  <c r="AB228"/>
  <c r="AB272"/>
  <c r="Y272"/>
  <c r="Z272"/>
  <c r="Z459"/>
  <c r="X469"/>
  <c r="Z441"/>
  <c r="X445"/>
  <c r="Z489" i="22"/>
  <c r="X495"/>
  <c r="AI604" i="21"/>
  <c r="AP604"/>
  <c r="AG671"/>
  <c r="Z383"/>
  <c r="AB383"/>
  <c r="Y383"/>
  <c r="AK264"/>
  <c r="AL264"/>
  <c r="X264"/>
  <c r="AJ145"/>
  <c r="AQ145"/>
  <c r="AQ107"/>
  <c r="AJ107"/>
  <c r="AQ101"/>
  <c r="AJ101"/>
  <c r="AP43"/>
  <c r="AI43"/>
  <c r="AA439" i="22"/>
  <c r="Z445"/>
  <c r="Y43"/>
  <c r="AI282" i="21"/>
  <c r="AP282"/>
  <c r="AP178"/>
  <c r="AI178"/>
  <c r="Z511" i="22"/>
  <c r="X521"/>
  <c r="AI614" i="21"/>
  <c r="AP614"/>
  <c r="AS614"/>
  <c r="AK356"/>
  <c r="AL356"/>
  <c r="X356"/>
  <c r="AQ350"/>
  <c r="AJ350"/>
  <c r="AK258"/>
  <c r="AL258"/>
  <c r="X258"/>
  <c r="V280"/>
  <c r="AK174"/>
  <c r="AL174"/>
  <c r="V176"/>
  <c r="AQ151"/>
  <c r="AJ151"/>
  <c r="AI113"/>
  <c r="AP113"/>
  <c r="AQ83"/>
  <c r="AJ83"/>
  <c r="Y431" i="22"/>
  <c r="AB433"/>
  <c r="AB316" i="21"/>
  <c r="X328"/>
  <c r="AQ352"/>
  <c r="AJ352"/>
  <c r="AQ260"/>
  <c r="AJ260"/>
  <c r="AQ115"/>
  <c r="AJ115"/>
  <c r="AI97"/>
  <c r="AP97"/>
  <c r="AK53"/>
  <c r="AL53"/>
  <c r="X53"/>
  <c r="AJ47"/>
  <c r="AQ47"/>
  <c r="AL373"/>
  <c r="AK373"/>
  <c r="X373"/>
  <c r="V379"/>
  <c r="AQ119"/>
  <c r="AJ119"/>
  <c r="AQ172"/>
  <c r="AJ172"/>
  <c r="AN14" i="23"/>
  <c r="E14"/>
  <c r="O14"/>
  <c r="AB250" i="21"/>
  <c r="E52" i="17"/>
  <c r="AB377" i="21"/>
  <c r="Y377"/>
  <c r="Z377"/>
  <c r="AQ562"/>
  <c r="AJ562"/>
  <c r="BO54" i="23"/>
  <c r="Z604" i="21"/>
  <c r="X557"/>
  <c r="X669"/>
  <c r="Z555"/>
  <c r="Z557"/>
  <c r="Z669"/>
  <c r="Y26" i="23"/>
  <c r="AG26"/>
  <c r="G26"/>
  <c r="AH17" i="21"/>
  <c r="AG17"/>
  <c r="V17"/>
  <c r="X17"/>
  <c r="J48" i="20"/>
  <c r="P26" i="27"/>
  <c r="AW24" i="23"/>
  <c r="AF9"/>
  <c r="AR58"/>
  <c r="BF49"/>
  <c r="F49"/>
  <c r="BE39"/>
  <c r="BD37"/>
  <c r="BD32"/>
  <c r="E39"/>
  <c r="O39"/>
  <c r="AQ15" i="21"/>
  <c r="AJ15"/>
  <c r="V54" i="23"/>
  <c r="E57"/>
  <c r="AF57"/>
  <c r="W57"/>
  <c r="L71" i="24"/>
  <c r="I37"/>
  <c r="E44"/>
  <c r="E45"/>
  <c r="X202" i="21"/>
  <c r="AB200"/>
  <c r="AB429"/>
  <c r="Y429"/>
  <c r="Z429"/>
  <c r="N19"/>
  <c r="BI27" i="23"/>
  <c r="BJ27"/>
  <c r="BK27"/>
  <c r="BF25"/>
  <c r="BE24"/>
  <c r="AR26"/>
  <c r="AS26"/>
  <c r="AT26"/>
  <c r="AY26"/>
  <c r="AO18"/>
  <c r="F18"/>
  <c r="Y35"/>
  <c r="AP560" i="21"/>
  <c r="AI560"/>
  <c r="AA36" i="23"/>
  <c r="C165" i="13"/>
  <c r="H73" i="8"/>
  <c r="AP560" i="22"/>
  <c r="AG670"/>
  <c r="AI560"/>
  <c r="AI670"/>
  <c r="AP16" i="23"/>
  <c r="G16"/>
  <c r="X28"/>
  <c r="F28"/>
  <c r="F31"/>
  <c r="X31"/>
  <c r="BL12"/>
  <c r="BM12"/>
  <c r="BQ12"/>
  <c r="BR12"/>
  <c r="AR30"/>
  <c r="AS30"/>
  <c r="AT30"/>
  <c r="AO13"/>
  <c r="F13"/>
  <c r="X34"/>
  <c r="F34"/>
  <c r="H93" i="8"/>
  <c r="H74"/>
  <c r="R74"/>
  <c r="Q42" i="20"/>
  <c r="P103" i="8"/>
  <c r="R44"/>
  <c r="P128"/>
  <c r="O128"/>
  <c r="AB9" i="23"/>
  <c r="AH11"/>
  <c r="AC11"/>
  <c r="F69" i="8"/>
  <c r="O69"/>
  <c r="AC49" i="23"/>
  <c r="AC17"/>
  <c r="N76" i="24"/>
  <c r="N81"/>
  <c r="G39"/>
  <c r="AU28" i="23"/>
  <c r="AV28"/>
  <c r="AZ28"/>
  <c r="AB19"/>
  <c r="W20" i="17"/>
  <c r="AA19"/>
  <c r="AA20"/>
  <c r="B28" i="27"/>
  <c r="Q27"/>
  <c r="P66"/>
  <c r="AO668" i="21"/>
  <c r="S553"/>
  <c r="DB66" i="27"/>
  <c r="K20" i="24"/>
  <c r="AD434" i="22"/>
  <c r="AD667"/>
  <c r="AQ668"/>
  <c r="AQ684"/>
  <c r="X248"/>
  <c r="BN48" i="23"/>
  <c r="BO29"/>
  <c r="AW41"/>
  <c r="AY31"/>
  <c r="AX57"/>
  <c r="BP47"/>
  <c r="AY42"/>
  <c r="AX40"/>
  <c r="AM9"/>
  <c r="E24"/>
  <c r="K94" i="8"/>
  <c r="K75"/>
  <c r="U75"/>
  <c r="AH20" i="23"/>
  <c r="AI55"/>
  <c r="AJ55"/>
  <c r="AI53"/>
  <c r="AQ163" i="22"/>
  <c r="AS163"/>
  <c r="AJ163"/>
  <c r="Y55" i="27"/>
  <c r="W66"/>
  <c r="AA67" i="22"/>
  <c r="AB59"/>
  <c r="Y59"/>
  <c r="Z59"/>
  <c r="AA67" i="21"/>
  <c r="AA189"/>
  <c r="AB43"/>
  <c r="Y43"/>
  <c r="Z43"/>
  <c r="AQ658"/>
  <c r="AJ658"/>
  <c r="AQ642"/>
  <c r="AJ642"/>
  <c r="AI630"/>
  <c r="AP630"/>
  <c r="AS630"/>
  <c r="AI618"/>
  <c r="AP618"/>
  <c r="AS618"/>
  <c r="AP584"/>
  <c r="AS584"/>
  <c r="AI584"/>
  <c r="AQ568"/>
  <c r="AJ568"/>
  <c r="AP542"/>
  <c r="AS542"/>
  <c r="AI542"/>
  <c r="AQ511"/>
  <c r="AJ511"/>
  <c r="AQ463"/>
  <c r="AJ463"/>
  <c r="AQ455"/>
  <c r="AJ455"/>
  <c r="AG469"/>
  <c r="AI447"/>
  <c r="AP447"/>
  <c r="AS447"/>
  <c r="AJ427"/>
  <c r="AQ427"/>
  <c r="AJ397"/>
  <c r="AQ397"/>
  <c r="AQ375"/>
  <c r="AJ375"/>
  <c r="AQ362"/>
  <c r="AJ362"/>
  <c r="AJ326"/>
  <c r="AQ326"/>
  <c r="AQ312"/>
  <c r="AJ312"/>
  <c r="AI288"/>
  <c r="AP288"/>
  <c r="AS288"/>
  <c r="AI270"/>
  <c r="AP270"/>
  <c r="AS270"/>
  <c r="AI252"/>
  <c r="AP252"/>
  <c r="AS252"/>
  <c r="AI240"/>
  <c r="AP240"/>
  <c r="AS240"/>
  <c r="AI230"/>
  <c r="AP230"/>
  <c r="AS230"/>
  <c r="AQ204"/>
  <c r="AJ204"/>
  <c r="AJ161"/>
  <c r="AQ161"/>
  <c r="AQ149"/>
  <c r="AJ149"/>
  <c r="AI131"/>
  <c r="AP131"/>
  <c r="AS131"/>
  <c r="AP87"/>
  <c r="AS87"/>
  <c r="AI87"/>
  <c r="AQ77"/>
  <c r="AJ77"/>
  <c r="AQ65"/>
  <c r="AJ65"/>
  <c r="AJ37"/>
  <c r="AQ37"/>
  <c r="AJ29"/>
  <c r="AQ29"/>
  <c r="AK368"/>
  <c r="AL368"/>
  <c r="X368"/>
  <c r="AK242"/>
  <c r="AL242"/>
  <c r="X242"/>
  <c r="AL117"/>
  <c r="AK117"/>
  <c r="X117"/>
  <c r="W449" i="22"/>
  <c r="AD469"/>
  <c r="AD553"/>
  <c r="AD668"/>
  <c r="AI660" i="21"/>
  <c r="AP660"/>
  <c r="AS660"/>
  <c r="AI644"/>
  <c r="AP644"/>
  <c r="AS644"/>
  <c r="AQ626"/>
  <c r="AJ626"/>
  <c r="AQ586"/>
  <c r="AJ586"/>
  <c r="AP570"/>
  <c r="AS570"/>
  <c r="AI570"/>
  <c r="AJ544"/>
  <c r="AQ544"/>
  <c r="AQ513"/>
  <c r="AJ513"/>
  <c r="AP479"/>
  <c r="AS479"/>
  <c r="AI479"/>
  <c r="AP439"/>
  <c r="AS439"/>
  <c r="AI439"/>
  <c r="AP423"/>
  <c r="AS423"/>
  <c r="AI423"/>
  <c r="AI411"/>
  <c r="AP411"/>
  <c r="AS411"/>
  <c r="AI342"/>
  <c r="AP342"/>
  <c r="AS342"/>
  <c r="AI332"/>
  <c r="AP332"/>
  <c r="AS332"/>
  <c r="AP306"/>
  <c r="AS306"/>
  <c r="AI306"/>
  <c r="AQ290"/>
  <c r="AJ290"/>
  <c r="AP218"/>
  <c r="AS218"/>
  <c r="AI218"/>
  <c r="AP206"/>
  <c r="AS206"/>
  <c r="AI206"/>
  <c r="AQ59"/>
  <c r="AJ59"/>
  <c r="E55" i="17"/>
  <c r="F53"/>
  <c r="I50" i="20"/>
  <c r="Q50"/>
  <c r="P28" i="27"/>
  <c r="X252" i="22"/>
  <c r="AK252"/>
  <c r="AK280"/>
  <c r="AL252"/>
  <c r="AL280"/>
  <c r="V280"/>
  <c r="AQ167"/>
  <c r="AJ167"/>
  <c r="AI654" i="21"/>
  <c r="AP654"/>
  <c r="AS654"/>
  <c r="AQ638"/>
  <c r="AJ638"/>
  <c r="AQ620"/>
  <c r="AJ620"/>
  <c r="AQ588"/>
  <c r="AJ588"/>
  <c r="AP572"/>
  <c r="AI572"/>
  <c r="AJ546"/>
  <c r="AQ546"/>
  <c r="AQ515"/>
  <c r="AJ515"/>
  <c r="AP485"/>
  <c r="AI485"/>
  <c r="AP465"/>
  <c r="AI465"/>
  <c r="AQ457"/>
  <c r="AJ457"/>
  <c r="AQ449"/>
  <c r="AJ449"/>
  <c r="AQ431"/>
  <c r="AJ431"/>
  <c r="AP399"/>
  <c r="AI399"/>
  <c r="AP377"/>
  <c r="AI377"/>
  <c r="AQ364"/>
  <c r="AJ364"/>
  <c r="AI338"/>
  <c r="AP338"/>
  <c r="AJ322"/>
  <c r="AQ322"/>
  <c r="AQ308"/>
  <c r="AJ308"/>
  <c r="AQ292"/>
  <c r="AJ292"/>
  <c r="AI276"/>
  <c r="AP276"/>
  <c r="AP254"/>
  <c r="AI254"/>
  <c r="AQ242"/>
  <c r="AJ242"/>
  <c r="AI234"/>
  <c r="AP234"/>
  <c r="AQ212"/>
  <c r="AJ212"/>
  <c r="AQ198"/>
  <c r="AJ198"/>
  <c r="AP163"/>
  <c r="AI163"/>
  <c r="AQ147"/>
  <c r="AJ147"/>
  <c r="AP117"/>
  <c r="AI117"/>
  <c r="AJ85"/>
  <c r="AQ85"/>
  <c r="AI79"/>
  <c r="AP79"/>
  <c r="AP71"/>
  <c r="AI71"/>
  <c r="AQ31"/>
  <c r="AJ31"/>
  <c r="F49" i="20"/>
  <c r="O27" i="27"/>
  <c r="AB57" i="22"/>
  <c r="Y57"/>
  <c r="Z57"/>
  <c r="AD57"/>
  <c r="X67"/>
  <c r="I6" i="24"/>
  <c r="J5"/>
  <c r="E86" i="27"/>
  <c r="AQ66"/>
  <c r="AI648" i="21"/>
  <c r="AP648"/>
  <c r="AI634"/>
  <c r="AP634"/>
  <c r="AQ622"/>
  <c r="AJ622"/>
  <c r="AQ590"/>
  <c r="AJ590"/>
  <c r="AP574"/>
  <c r="AI574"/>
  <c r="AP548"/>
  <c r="AI548"/>
  <c r="AP517"/>
  <c r="AI517"/>
  <c r="AI503"/>
  <c r="AP503"/>
  <c r="AQ477"/>
  <c r="AJ477"/>
  <c r="AQ415"/>
  <c r="AJ415"/>
  <c r="AJ401"/>
  <c r="AQ401"/>
  <c r="AP324"/>
  <c r="AI324"/>
  <c r="AQ310"/>
  <c r="AJ310"/>
  <c r="AI294"/>
  <c r="AP294"/>
  <c r="AP220"/>
  <c r="AI220"/>
  <c r="AQ200"/>
  <c r="AJ200"/>
  <c r="AJ123"/>
  <c r="AQ123"/>
  <c r="AN665"/>
  <c r="AQ298"/>
  <c r="AJ298"/>
  <c r="AB101" i="22"/>
  <c r="AD101"/>
  <c r="AJ103"/>
  <c r="AQ103"/>
  <c r="AS103"/>
  <c r="AK395" i="21"/>
  <c r="AL395"/>
  <c r="V405"/>
  <c r="AP387"/>
  <c r="AS387"/>
  <c r="AI387"/>
  <c r="AQ381"/>
  <c r="AJ381"/>
  <c r="AK278"/>
  <c r="AL278"/>
  <c r="X278"/>
  <c r="AL191"/>
  <c r="AL666"/>
  <c r="AK191"/>
  <c r="AK666"/>
  <c r="V193"/>
  <c r="X191"/>
  <c r="AQ143"/>
  <c r="AJ143"/>
  <c r="AP105"/>
  <c r="AS105"/>
  <c r="AI105"/>
  <c r="AQ91"/>
  <c r="AJ91"/>
  <c r="AJ61"/>
  <c r="AQ61"/>
  <c r="AB77"/>
  <c r="Y77"/>
  <c r="Z77"/>
  <c r="AD77"/>
  <c r="AB318"/>
  <c r="Y318"/>
  <c r="Z318"/>
  <c r="Z73"/>
  <c r="AB73"/>
  <c r="Y73"/>
  <c r="AD73"/>
  <c r="W413"/>
  <c r="AD421"/>
  <c r="W224"/>
  <c r="AD226"/>
  <c r="Z487"/>
  <c r="X495"/>
  <c r="AB399"/>
  <c r="Y399"/>
  <c r="Z399"/>
  <c r="AQ612"/>
  <c r="AJ612"/>
  <c r="AP348"/>
  <c r="AI348"/>
  <c r="AP145"/>
  <c r="AS145"/>
  <c r="AI145"/>
  <c r="AP101"/>
  <c r="AS101"/>
  <c r="AI101"/>
  <c r="AQ43"/>
  <c r="AJ43"/>
  <c r="Z290" i="22"/>
  <c r="AB290"/>
  <c r="Y290"/>
  <c r="AJ282" i="21"/>
  <c r="AQ282"/>
  <c r="AJ178"/>
  <c r="AQ178"/>
  <c r="W614"/>
  <c r="AD662"/>
  <c r="AD671"/>
  <c r="AI606"/>
  <c r="AP606"/>
  <c r="AP350"/>
  <c r="AS350"/>
  <c r="AI350"/>
  <c r="AI266"/>
  <c r="AP266"/>
  <c r="AB174"/>
  <c r="AD174"/>
  <c r="AD176"/>
  <c r="X176"/>
  <c r="AL151"/>
  <c r="AK151"/>
  <c r="X151"/>
  <c r="AQ113"/>
  <c r="AJ113"/>
  <c r="AL83"/>
  <c r="AK83"/>
  <c r="V95"/>
  <c r="X83"/>
  <c r="AQ45"/>
  <c r="AJ45"/>
  <c r="Y354" i="22"/>
  <c r="AB360"/>
  <c r="AP668"/>
  <c r="AP684"/>
  <c r="AS447"/>
  <c r="AS668"/>
  <c r="AS684"/>
  <c r="AP93" i="21"/>
  <c r="AI93"/>
  <c r="AP69"/>
  <c r="AI69"/>
  <c r="M17" i="20"/>
  <c r="R17"/>
  <c r="U19" i="17"/>
  <c r="U20"/>
  <c r="R42" i="20"/>
  <c r="AB324" i="22"/>
  <c r="X328"/>
  <c r="AP352" i="21"/>
  <c r="AS352"/>
  <c r="AI352"/>
  <c r="AI260"/>
  <c r="AP260"/>
  <c r="AS260"/>
  <c r="AI115"/>
  <c r="AP115"/>
  <c r="AS115"/>
  <c r="AQ97"/>
  <c r="AJ97"/>
  <c r="AJ89"/>
  <c r="AQ89"/>
  <c r="AL47"/>
  <c r="AK47"/>
  <c r="X47"/>
  <c r="V67"/>
  <c r="AQ228"/>
  <c r="AJ228"/>
  <c r="AI119"/>
  <c r="AP119"/>
  <c r="AS119"/>
  <c r="Z57"/>
  <c r="AB57"/>
  <c r="Y57"/>
  <c r="AD57"/>
  <c r="Z232"/>
  <c r="AB232"/>
  <c r="Y232"/>
  <c r="E22" i="23"/>
  <c r="O22"/>
  <c r="AN22"/>
  <c r="AE21" i="21"/>
  <c r="AE663"/>
  <c r="AF21"/>
  <c r="G23"/>
  <c r="K22"/>
  <c r="N21"/>
  <c r="BF20" i="23"/>
  <c r="BG20"/>
  <c r="BH20"/>
  <c r="O10"/>
  <c r="E9"/>
  <c r="AB298" i="21"/>
  <c r="X314"/>
  <c r="AQ182"/>
  <c r="AJ182"/>
  <c r="AN48" i="23"/>
  <c r="AW48"/>
  <c r="E48"/>
  <c r="R77" i="8"/>
  <c r="G77"/>
  <c r="H76"/>
  <c r="Y182" i="21"/>
  <c r="AB184"/>
  <c r="D43" i="23"/>
  <c r="V43"/>
  <c r="E33"/>
  <c r="AF33"/>
  <c r="W33"/>
  <c r="BI35"/>
  <c r="BN37"/>
  <c r="BN32"/>
  <c r="AB15" i="21"/>
  <c r="Z15"/>
  <c r="BG50" i="23"/>
  <c r="G50"/>
  <c r="F39"/>
  <c r="AO39"/>
  <c r="W51"/>
  <c r="E51"/>
  <c r="O51"/>
  <c r="BE9"/>
  <c r="BF10"/>
  <c r="BG58"/>
  <c r="G58"/>
  <c r="AO29"/>
  <c r="AO17"/>
  <c r="F17"/>
  <c r="BL36"/>
  <c r="BM36"/>
  <c r="AR57"/>
  <c r="AS57"/>
  <c r="AT57"/>
  <c r="AP33"/>
  <c r="AA535" i="21"/>
  <c r="AB527"/>
  <c r="AB535"/>
  <c r="BL47" i="23"/>
  <c r="BM47"/>
  <c r="AQ560" i="21"/>
  <c r="AJ560"/>
  <c r="C157" i="13"/>
  <c r="H57" i="8"/>
  <c r="H94"/>
  <c r="H75"/>
  <c r="R75"/>
  <c r="X681" i="22"/>
  <c r="Z560"/>
  <c r="X602"/>
  <c r="X670"/>
  <c r="X685"/>
  <c r="AP19" i="23"/>
  <c r="G19"/>
  <c r="AU42"/>
  <c r="J44" i="8"/>
  <c r="H38" i="4"/>
  <c r="AO54" i="23"/>
  <c r="AP55"/>
  <c r="G55"/>
  <c r="AR40"/>
  <c r="AS40"/>
  <c r="AT40"/>
  <c r="AO51"/>
  <c r="AP51"/>
  <c r="AQ51"/>
  <c r="AW9"/>
  <c r="F27"/>
  <c r="X27"/>
  <c r="E128" i="8"/>
  <c r="F128"/>
  <c r="AF24" i="23"/>
  <c r="Q47" i="8"/>
  <c r="E47"/>
  <c r="E23" i="10"/>
  <c r="T57" i="8"/>
  <c r="E50"/>
  <c r="Q50"/>
  <c r="BJ54" i="23"/>
  <c r="BK56"/>
  <c r="AB23"/>
  <c r="E64" i="8"/>
  <c r="Q64"/>
  <c r="AD18" i="23"/>
  <c r="G25"/>
  <c r="Y25"/>
  <c r="AG25"/>
  <c r="E70" i="8"/>
  <c r="Q70"/>
  <c r="AC9" i="23"/>
  <c r="AD10"/>
  <c r="AF59"/>
  <c r="DM55" i="27"/>
  <c r="DM66"/>
  <c r="AN668" i="21"/>
  <c r="X63"/>
  <c r="AL280"/>
  <c r="AW35" i="23"/>
  <c r="AX53"/>
  <c r="U32"/>
  <c r="P89" i="27"/>
  <c r="S107" i="20"/>
  <c r="AY28" i="23"/>
  <c r="BA28"/>
  <c r="AH19"/>
  <c r="AQ354" i="22"/>
  <c r="AS354"/>
  <c r="AJ354"/>
  <c r="D86" i="27"/>
  <c r="AH66"/>
  <c r="AC667" i="22"/>
  <c r="AC664"/>
  <c r="AC663"/>
  <c r="BL12" i="27"/>
  <c r="BN12"/>
  <c r="BQ12"/>
  <c r="BR12"/>
  <c r="H27"/>
  <c r="BT12"/>
  <c r="AJ87" i="22"/>
  <c r="AQ87"/>
  <c r="AQ682"/>
  <c r="AI650" i="21"/>
  <c r="AP650"/>
  <c r="AS650"/>
  <c r="AQ624"/>
  <c r="AJ624"/>
  <c r="AP592"/>
  <c r="AS592"/>
  <c r="AI592"/>
  <c r="AP576"/>
  <c r="AS576"/>
  <c r="AI576"/>
  <c r="AJ550"/>
  <c r="AQ550"/>
  <c r="AP519"/>
  <c r="AS519"/>
  <c r="AI519"/>
  <c r="AP489"/>
  <c r="AS489"/>
  <c r="AI489"/>
  <c r="AQ467"/>
  <c r="AJ467"/>
  <c r="AP459"/>
  <c r="AS459"/>
  <c r="AI459"/>
  <c r="AP451"/>
  <c r="AS451"/>
  <c r="AI451"/>
  <c r="AP437"/>
  <c r="AI437"/>
  <c r="AG668"/>
  <c r="AI417"/>
  <c r="AP417"/>
  <c r="AS417"/>
  <c r="AP385"/>
  <c r="AS385"/>
  <c r="AI385"/>
  <c r="AQ366"/>
  <c r="AJ366"/>
  <c r="AP354"/>
  <c r="AS354"/>
  <c r="AI354"/>
  <c r="AP316"/>
  <c r="AS316"/>
  <c r="AI316"/>
  <c r="AP304"/>
  <c r="AS304"/>
  <c r="AI304"/>
  <c r="AQ274"/>
  <c r="AJ274"/>
  <c r="AQ256"/>
  <c r="AJ256"/>
  <c r="AQ244"/>
  <c r="AJ244"/>
  <c r="AI236"/>
  <c r="AP236"/>
  <c r="AS236"/>
  <c r="AP222"/>
  <c r="AS222"/>
  <c r="AI222"/>
  <c r="AP165"/>
  <c r="AS165"/>
  <c r="AI165"/>
  <c r="AP155"/>
  <c r="AS155"/>
  <c r="AI155"/>
  <c r="AI137"/>
  <c r="AP137"/>
  <c r="AS137"/>
  <c r="AI109"/>
  <c r="AP109"/>
  <c r="AS109"/>
  <c r="AP81"/>
  <c r="AS81"/>
  <c r="AI81"/>
  <c r="AQ73"/>
  <c r="AJ73"/>
  <c r="AP57"/>
  <c r="AS57"/>
  <c r="AI57"/>
  <c r="AP33"/>
  <c r="AS33"/>
  <c r="AI33"/>
  <c r="AP25"/>
  <c r="AI25"/>
  <c r="C27" i="27"/>
  <c r="D49" i="20"/>
  <c r="D16"/>
  <c r="AN620" i="21"/>
  <c r="AN671"/>
  <c r="AO620"/>
  <c r="AO671"/>
  <c r="X620"/>
  <c r="Z620"/>
  <c r="AA620"/>
  <c r="AB620"/>
  <c r="AL246"/>
  <c r="AK246"/>
  <c r="X246"/>
  <c r="AK147"/>
  <c r="AL147"/>
  <c r="X147"/>
  <c r="N19" i="27"/>
  <c r="P7"/>
  <c r="AQ652" i="21"/>
  <c r="AJ652"/>
  <c r="AI636"/>
  <c r="AP636"/>
  <c r="AS636"/>
  <c r="AQ594"/>
  <c r="AJ594"/>
  <c r="AQ578"/>
  <c r="AJ578"/>
  <c r="AQ555"/>
  <c r="AQ669"/>
  <c r="AJ555"/>
  <c r="AJ669"/>
  <c r="AH669"/>
  <c r="AP529"/>
  <c r="AS529"/>
  <c r="AI529"/>
  <c r="AQ491"/>
  <c r="AJ491"/>
  <c r="AP473"/>
  <c r="AS473"/>
  <c r="AI473"/>
  <c r="AI429"/>
  <c r="AP429"/>
  <c r="AS429"/>
  <c r="AQ419"/>
  <c r="AJ419"/>
  <c r="AP403"/>
  <c r="AS403"/>
  <c r="AI403"/>
  <c r="AP336"/>
  <c r="AS336"/>
  <c r="AI336"/>
  <c r="AP300"/>
  <c r="AS300"/>
  <c r="AI300"/>
  <c r="AI232"/>
  <c r="AP232"/>
  <c r="AS232"/>
  <c r="AP214"/>
  <c r="AS214"/>
  <c r="AI214"/>
  <c r="AP125"/>
  <c r="AS125"/>
  <c r="AI125"/>
  <c r="AQ49"/>
  <c r="AJ49"/>
  <c r="DN6" i="27"/>
  <c r="AC663" i="21"/>
  <c r="AC665"/>
  <c r="AC664"/>
  <c r="AI252" i="22"/>
  <c r="AP252"/>
  <c r="AG280"/>
  <c r="AG667"/>
  <c r="AI167"/>
  <c r="AP167"/>
  <c r="AS167"/>
  <c r="AQ646" i="21"/>
  <c r="AJ646"/>
  <c r="AI632"/>
  <c r="AP632"/>
  <c r="AS632"/>
  <c r="AI620"/>
  <c r="AP620"/>
  <c r="AS620"/>
  <c r="AP588"/>
  <c r="AS588"/>
  <c r="AI588"/>
  <c r="AQ572"/>
  <c r="AJ572"/>
  <c r="AP546"/>
  <c r="AS546"/>
  <c r="AI546"/>
  <c r="AP515"/>
  <c r="AS515"/>
  <c r="AI515"/>
  <c r="AJ485"/>
  <c r="AQ485"/>
  <c r="AQ465"/>
  <c r="AJ465"/>
  <c r="AP457"/>
  <c r="AS457"/>
  <c r="AI457"/>
  <c r="AP449"/>
  <c r="AS449"/>
  <c r="AI449"/>
  <c r="AI431"/>
  <c r="AP431"/>
  <c r="AS431"/>
  <c r="AJ399"/>
  <c r="AQ399"/>
  <c r="AQ377"/>
  <c r="AJ377"/>
  <c r="AP364"/>
  <c r="AS364"/>
  <c r="AI364"/>
  <c r="AQ338"/>
  <c r="AJ338"/>
  <c r="AP322"/>
  <c r="AS322"/>
  <c r="AI322"/>
  <c r="AP308"/>
  <c r="AS308"/>
  <c r="AI308"/>
  <c r="AI292"/>
  <c r="AP292"/>
  <c r="AS292"/>
  <c r="AQ276"/>
  <c r="AJ276"/>
  <c r="AQ254"/>
  <c r="AJ254"/>
  <c r="AI242"/>
  <c r="AP242"/>
  <c r="AS242"/>
  <c r="AQ234"/>
  <c r="AJ234"/>
  <c r="AP212"/>
  <c r="AS212"/>
  <c r="AI212"/>
  <c r="AP198"/>
  <c r="AS198"/>
  <c r="AI198"/>
  <c r="AJ163"/>
  <c r="AQ163"/>
  <c r="AP147"/>
  <c r="AS147"/>
  <c r="AI147"/>
  <c r="AQ117"/>
  <c r="AJ117"/>
  <c r="AP85"/>
  <c r="AS85"/>
  <c r="AI85"/>
  <c r="AQ79"/>
  <c r="AJ79"/>
  <c r="AQ71"/>
  <c r="AJ71"/>
  <c r="AO665"/>
  <c r="AO663"/>
  <c r="AI31"/>
  <c r="AP31"/>
  <c r="AS31"/>
  <c r="C28" i="27"/>
  <c r="D50" i="20"/>
  <c r="DN15" i="27"/>
  <c r="C48" i="20"/>
  <c r="N26" i="27"/>
  <c r="N48" i="20"/>
  <c r="R48"/>
  <c r="Q26" i="27"/>
  <c r="Y302" i="22"/>
  <c r="AB314"/>
  <c r="AH407" i="21"/>
  <c r="AG407"/>
  <c r="V407"/>
  <c r="X407"/>
  <c r="N421"/>
  <c r="N434"/>
  <c r="AT54" i="27"/>
  <c r="AV54"/>
  <c r="AY54"/>
  <c r="AZ54"/>
  <c r="BB54"/>
  <c r="AQ648" i="21"/>
  <c r="AJ648"/>
  <c r="AQ634"/>
  <c r="AJ634"/>
  <c r="AI622"/>
  <c r="AP622"/>
  <c r="AS622"/>
  <c r="AP590"/>
  <c r="AS590"/>
  <c r="AI590"/>
  <c r="AQ574"/>
  <c r="AJ574"/>
  <c r="AJ548"/>
  <c r="AQ548"/>
  <c r="AQ517"/>
  <c r="AJ517"/>
  <c r="AQ503"/>
  <c r="AJ503"/>
  <c r="AP477"/>
  <c r="AS477"/>
  <c r="AI477"/>
  <c r="AI415"/>
  <c r="AP415"/>
  <c r="AS415"/>
  <c r="AP401"/>
  <c r="AS401"/>
  <c r="AI401"/>
  <c r="AJ324"/>
  <c r="AQ324"/>
  <c r="AP310"/>
  <c r="AS310"/>
  <c r="AI310"/>
  <c r="AQ294"/>
  <c r="AJ294"/>
  <c r="AQ220"/>
  <c r="AJ220"/>
  <c r="AP200"/>
  <c r="AS200"/>
  <c r="AI200"/>
  <c r="AP123"/>
  <c r="AS123"/>
  <c r="AI123"/>
  <c r="AP298"/>
  <c r="AS298"/>
  <c r="AI298"/>
  <c r="X103" i="22"/>
  <c r="AK103"/>
  <c r="AL103"/>
  <c r="V121"/>
  <c r="AK387" i="21"/>
  <c r="AL387"/>
  <c r="X387"/>
  <c r="AQ262"/>
  <c r="AJ262"/>
  <c r="AH666"/>
  <c r="AJ191"/>
  <c r="AJ666"/>
  <c r="AQ191"/>
  <c r="AQ666"/>
  <c r="AK143"/>
  <c r="AL143"/>
  <c r="AK105"/>
  <c r="AL105"/>
  <c r="AJ99"/>
  <c r="AQ99"/>
  <c r="AI61"/>
  <c r="AP61"/>
  <c r="AS61"/>
  <c r="AP210"/>
  <c r="AS210"/>
  <c r="AI210"/>
  <c r="Y161"/>
  <c r="AB169"/>
  <c r="Z336"/>
  <c r="AB336"/>
  <c r="Y336"/>
  <c r="X344"/>
  <c r="AQ330"/>
  <c r="AJ330"/>
  <c r="Y334"/>
  <c r="AB344"/>
  <c r="AD27"/>
  <c r="AB27"/>
  <c r="X67"/>
  <c r="X682"/>
  <c r="Y393"/>
  <c r="Z513"/>
  <c r="X521"/>
  <c r="Z531" i="22"/>
  <c r="X535"/>
  <c r="AI612" i="21"/>
  <c r="AP612"/>
  <c r="AS612"/>
  <c r="AQ383"/>
  <c r="AJ383"/>
  <c r="AQ348"/>
  <c r="AJ348"/>
  <c r="AQ264"/>
  <c r="AJ264"/>
  <c r="X101"/>
  <c r="AL101"/>
  <c r="V121"/>
  <c r="AK101"/>
  <c r="AI39"/>
  <c r="AP39"/>
  <c r="AS39"/>
  <c r="X282" i="22"/>
  <c r="W296"/>
  <c r="AM282"/>
  <c r="AI41" i="21"/>
  <c r="AP41"/>
  <c r="AS41"/>
  <c r="AP135"/>
  <c r="AS135"/>
  <c r="AI135"/>
  <c r="AB294"/>
  <c r="Y294"/>
  <c r="Z294"/>
  <c r="AD433"/>
  <c r="W427"/>
  <c r="AQ606"/>
  <c r="AJ606"/>
  <c r="AP356"/>
  <c r="AS356"/>
  <c r="AI356"/>
  <c r="AQ266"/>
  <c r="AJ266"/>
  <c r="AI258"/>
  <c r="AP258"/>
  <c r="AS258"/>
  <c r="AQ174"/>
  <c r="AJ174"/>
  <c r="AL113"/>
  <c r="AK113"/>
  <c r="AD113"/>
  <c r="X113"/>
  <c r="X121"/>
  <c r="AP45"/>
  <c r="AS45"/>
  <c r="AI45"/>
  <c r="AQ93"/>
  <c r="AJ93"/>
  <c r="AQ69"/>
  <c r="AQ681"/>
  <c r="AJ69"/>
  <c r="AP608"/>
  <c r="AS608"/>
  <c r="AI608"/>
  <c r="AQ358"/>
  <c r="AJ358"/>
  <c r="AQ268"/>
  <c r="AJ268"/>
  <c r="AP153"/>
  <c r="AS153"/>
  <c r="AI153"/>
  <c r="AJ103"/>
  <c r="AQ103"/>
  <c r="AI89"/>
  <c r="AP89"/>
  <c r="AS89"/>
  <c r="AJ53"/>
  <c r="AQ53"/>
  <c r="AI228"/>
  <c r="AP228"/>
  <c r="AS228"/>
  <c r="AP373"/>
  <c r="AS373"/>
  <c r="AI373"/>
  <c r="AI129"/>
  <c r="AP129"/>
  <c r="AS129"/>
  <c r="AM288"/>
  <c r="X288"/>
  <c r="AP391"/>
  <c r="AS391"/>
  <c r="AI391"/>
  <c r="BR33" i="23"/>
  <c r="AH280" i="21"/>
  <c r="AH667"/>
  <c r="AJ250"/>
  <c r="AQ250"/>
  <c r="Y178"/>
  <c r="AB180"/>
  <c r="AG17" i="22"/>
  <c r="V17"/>
  <c r="N23"/>
  <c r="N189"/>
  <c r="N663"/>
  <c r="AH17"/>
  <c r="X17"/>
  <c r="Q8" i="24"/>
  <c r="Q18"/>
  <c r="R7"/>
  <c r="AD41" i="21"/>
  <c r="AD67"/>
  <c r="Z41"/>
  <c r="AB41"/>
  <c r="Y41"/>
  <c r="AB69"/>
  <c r="X95"/>
  <c r="AD69"/>
  <c r="X681"/>
  <c r="AI182"/>
  <c r="AP182"/>
  <c r="AS182"/>
  <c r="AB97"/>
  <c r="AU97"/>
  <c r="AD97"/>
  <c r="Z300"/>
  <c r="AB300"/>
  <c r="Y300"/>
  <c r="AF52" i="23"/>
  <c r="W52"/>
  <c r="E52"/>
  <c r="O52"/>
  <c r="E73" i="17"/>
  <c r="BI17" i="23"/>
  <c r="BJ17"/>
  <c r="BK17"/>
  <c r="AI141" i="21"/>
  <c r="AP141"/>
  <c r="AS141"/>
  <c r="G17" i="20"/>
  <c r="P42"/>
  <c r="BI43" i="23"/>
  <c r="BJ43"/>
  <c r="BK43"/>
  <c r="W40"/>
  <c r="E40"/>
  <c r="O40"/>
  <c r="V37"/>
  <c r="V32"/>
  <c r="Z542" i="21"/>
  <c r="X552"/>
  <c r="AF44" i="23"/>
  <c r="E44"/>
  <c r="O44"/>
  <c r="W44"/>
  <c r="BN24"/>
  <c r="AR34"/>
  <c r="AS34"/>
  <c r="AT34"/>
  <c r="H72" i="24"/>
  <c r="E63"/>
  <c r="BI30" i="23"/>
  <c r="BJ30"/>
  <c r="BK30"/>
  <c r="D157" i="13"/>
  <c r="I57" i="8"/>
  <c r="AQ560" i="22"/>
  <c r="AH670"/>
  <c r="AJ560"/>
  <c r="AJ670"/>
  <c r="L19" i="17"/>
  <c r="L20"/>
  <c r="K20"/>
  <c r="J73" i="8"/>
  <c r="E165" i="13"/>
  <c r="AR27" i="23"/>
  <c r="AS27"/>
  <c r="AT27"/>
  <c r="F30"/>
  <c r="X30"/>
  <c r="I40" i="20"/>
  <c r="P87" i="27"/>
  <c r="Y141" i="21"/>
  <c r="AE13" i="23"/>
  <c r="F79" i="8"/>
  <c r="O79"/>
  <c r="S39"/>
  <c r="AE14" i="23"/>
  <c r="AD39"/>
  <c r="P108" i="8"/>
  <c r="F107"/>
  <c r="P107"/>
  <c r="U49"/>
  <c r="K105"/>
  <c r="G49"/>
  <c r="AH9" i="23"/>
  <c r="N15" i="20"/>
  <c r="AS671" i="22"/>
  <c r="DN58" i="27"/>
  <c r="AN667" i="21"/>
  <c r="X395"/>
  <c r="Q89" i="27"/>
  <c r="BA31" i="23"/>
  <c r="AK280" i="21"/>
  <c r="AW22" i="23"/>
  <c r="AJ53"/>
  <c r="O48"/>
  <c r="O81" i="24"/>
  <c r="BN9" i="23"/>
  <c r="BO50"/>
  <c r="AF43"/>
  <c r="AF51"/>
  <c r="BO45"/>
  <c r="AX47"/>
  <c r="BP36"/>
  <c r="K17" i="20"/>
  <c r="AX15" i="23"/>
  <c r="DN63" i="27"/>
  <c r="AX19" i="23"/>
  <c r="AX16"/>
  <c r="BP53"/>
  <c r="AX43"/>
  <c r="F20"/>
  <c r="BP41"/>
  <c r="BR41"/>
  <c r="N82" i="8"/>
  <c r="AH16" i="23"/>
  <c r="AH23"/>
  <c r="O25"/>
  <c r="BQ40"/>
  <c r="BR40"/>
  <c r="F25"/>
  <c r="G19" i="10"/>
  <c r="T73" i="8"/>
  <c r="U73"/>
  <c r="P45"/>
  <c r="P95"/>
  <c r="P97"/>
  <c r="O96"/>
  <c r="P88"/>
  <c r="O99"/>
  <c r="P79"/>
  <c r="T44"/>
  <c r="O95"/>
  <c r="O97"/>
  <c r="P96"/>
  <c r="O88"/>
  <c r="O98"/>
  <c r="U94"/>
  <c r="G48"/>
  <c r="H19" i="4"/>
  <c r="T46" i="8"/>
  <c r="K46"/>
  <c r="H37" i="4"/>
  <c r="BI51" i="23"/>
  <c r="BJ51"/>
  <c r="BK51"/>
  <c r="BI16"/>
  <c r="BJ16"/>
  <c r="BK16"/>
  <c r="BP16"/>
  <c r="AR49"/>
  <c r="AS49"/>
  <c r="AT49"/>
  <c r="AQ49"/>
  <c r="BI23"/>
  <c r="BJ23"/>
  <c r="BK23"/>
  <c r="BL23"/>
  <c r="BM23"/>
  <c r="BI26"/>
  <c r="BJ26"/>
  <c r="BK26"/>
  <c r="AP36"/>
  <c r="G36"/>
  <c r="AR44"/>
  <c r="AS44"/>
  <c r="AT44"/>
  <c r="AU44"/>
  <c r="AV44"/>
  <c r="AA58"/>
  <c r="AB58"/>
  <c r="AC58"/>
  <c r="BG19"/>
  <c r="BH19"/>
  <c r="BI18"/>
  <c r="BJ18"/>
  <c r="BK18"/>
  <c r="BP27"/>
  <c r="BO51"/>
  <c r="BO16"/>
  <c r="AX49"/>
  <c r="AX44"/>
  <c r="BI44"/>
  <c r="BJ44"/>
  <c r="BK44"/>
  <c r="BP44"/>
  <c r="G42"/>
  <c r="Y42"/>
  <c r="AA29"/>
  <c r="AB29"/>
  <c r="AC29"/>
  <c r="AH29"/>
  <c r="BQ52"/>
  <c r="BR52"/>
  <c r="BM52"/>
  <c r="AY40"/>
  <c r="AY47"/>
  <c r="BO18"/>
  <c r="BQ14"/>
  <c r="BR14"/>
  <c r="BQ42"/>
  <c r="BR42"/>
  <c r="AX36"/>
  <c r="BI34"/>
  <c r="BJ34"/>
  <c r="BK34"/>
  <c r="BL34"/>
  <c r="BM34"/>
  <c r="BQ34"/>
  <c r="AO23"/>
  <c r="F23"/>
  <c r="AR52"/>
  <c r="AS52"/>
  <c r="AT52"/>
  <c r="AU52"/>
  <c r="AV52"/>
  <c r="AH38"/>
  <c r="AA38"/>
  <c r="AB38"/>
  <c r="AC38"/>
  <c r="BI28"/>
  <c r="BJ28"/>
  <c r="BK28"/>
  <c r="AY27"/>
  <c r="X24"/>
  <c r="X8"/>
  <c r="G11"/>
  <c r="BO44"/>
  <c r="AZ59"/>
  <c r="BA59"/>
  <c r="BO23"/>
  <c r="O68" i="8"/>
  <c r="F68"/>
  <c r="O78"/>
  <c r="F78"/>
  <c r="F42"/>
  <c r="O42"/>
  <c r="AB407" i="21"/>
  <c r="AH21"/>
  <c r="AG21"/>
  <c r="X21"/>
  <c r="N23"/>
  <c r="N189"/>
  <c r="N663"/>
  <c r="O24" i="23"/>
  <c r="Y180" i="21"/>
  <c r="Z178"/>
  <c r="Z180"/>
  <c r="Q40" i="20"/>
  <c r="I15"/>
  <c r="T133" i="8"/>
  <c r="J133"/>
  <c r="AQ670" i="22"/>
  <c r="AQ685"/>
  <c r="AQ681"/>
  <c r="BL43" i="23"/>
  <c r="BM43"/>
  <c r="X296" i="22"/>
  <c r="AB282"/>
  <c r="AA542" i="21"/>
  <c r="Z552"/>
  <c r="Z103" i="22"/>
  <c r="AB103"/>
  <c r="Y103"/>
  <c r="AD103"/>
  <c r="AS437" i="21"/>
  <c r="AP668"/>
  <c r="AP684"/>
  <c r="I49" i="20"/>
  <c r="I16"/>
  <c r="AB63" i="21"/>
  <c r="Y63"/>
  <c r="Z63"/>
  <c r="AD63"/>
  <c r="Z25" i="23"/>
  <c r="F64" i="8"/>
  <c r="O64"/>
  <c r="AU40" i="23"/>
  <c r="AV40"/>
  <c r="AQ19"/>
  <c r="H19"/>
  <c r="R94" i="8"/>
  <c r="AP17" i="23"/>
  <c r="G17"/>
  <c r="BH58"/>
  <c r="H58"/>
  <c r="P58"/>
  <c r="F33"/>
  <c r="X33"/>
  <c r="W43"/>
  <c r="E43"/>
  <c r="R76" i="8"/>
  <c r="C22" i="10"/>
  <c r="G22"/>
  <c r="E72" i="17"/>
  <c r="O9" i="23"/>
  <c r="AU49"/>
  <c r="AV49"/>
  <c r="AF670" i="21"/>
  <c r="AF665"/>
  <c r="AB151"/>
  <c r="Y151"/>
  <c r="Z151"/>
  <c r="AD151"/>
  <c r="AM224"/>
  <c r="X224"/>
  <c r="W226"/>
  <c r="I7" i="24"/>
  <c r="J6"/>
  <c r="D70"/>
  <c r="G53" i="17"/>
  <c r="F55"/>
  <c r="F56"/>
  <c r="Z117" i="21"/>
  <c r="AD117"/>
  <c r="AB117"/>
  <c r="Y117"/>
  <c r="AD17" i="23"/>
  <c r="AU26"/>
  <c r="AV26"/>
  <c r="AZ26"/>
  <c r="BA26"/>
  <c r="BL27"/>
  <c r="BM27"/>
  <c r="W54"/>
  <c r="X57"/>
  <c r="F57"/>
  <c r="BG49"/>
  <c r="G49"/>
  <c r="AK17" i="21"/>
  <c r="AL17"/>
  <c r="AO14" i="23"/>
  <c r="F14"/>
  <c r="Y316" i="21"/>
  <c r="AB328"/>
  <c r="AA511" i="22"/>
  <c r="Z521"/>
  <c r="AB439"/>
  <c r="AB445"/>
  <c r="AA445"/>
  <c r="AA441" i="21"/>
  <c r="Z445"/>
  <c r="AA612" i="22"/>
  <c r="Z662"/>
  <c r="Z671"/>
  <c r="AD167"/>
  <c r="AD169"/>
  <c r="AB167"/>
  <c r="X169"/>
  <c r="W19" i="27"/>
  <c r="Y7"/>
  <c r="AB85" i="21"/>
  <c r="Y85"/>
  <c r="Z85"/>
  <c r="AD85"/>
  <c r="AB364"/>
  <c r="X370"/>
  <c r="Y334" i="22"/>
  <c r="AB344"/>
  <c r="BL7" i="27"/>
  <c r="BN7"/>
  <c r="BQ7"/>
  <c r="BT7"/>
  <c r="M55" i="20"/>
  <c r="L59"/>
  <c r="AD16" i="23"/>
  <c r="F9"/>
  <c r="AU43"/>
  <c r="AV43"/>
  <c r="AQ56"/>
  <c r="H56"/>
  <c r="P56"/>
  <c r="F93" i="17"/>
  <c r="AX56" i="23"/>
  <c r="C57" i="24"/>
  <c r="E56"/>
  <c r="J72"/>
  <c r="J82"/>
  <c r="Q41" i="20"/>
  <c r="AR53" i="23"/>
  <c r="I53"/>
  <c r="AO38"/>
  <c r="F38"/>
  <c r="AN37"/>
  <c r="BI48"/>
  <c r="BJ48"/>
  <c r="BK48"/>
  <c r="E82" i="24"/>
  <c r="O82"/>
  <c r="O72"/>
  <c r="Z89" i="21"/>
  <c r="AB89"/>
  <c r="Y89"/>
  <c r="AD89"/>
  <c r="K14" i="24"/>
  <c r="O13"/>
  <c r="M13"/>
  <c r="AP666" i="21"/>
  <c r="AS191"/>
  <c r="AS666"/>
  <c r="AS196"/>
  <c r="L15" i="20"/>
  <c r="R15"/>
  <c r="U15" i="17"/>
  <c r="U16"/>
  <c r="R40" i="20"/>
  <c r="O683" i="21"/>
  <c r="O664"/>
  <c r="G48" i="20"/>
  <c r="O26" i="27"/>
  <c r="F7" i="10"/>
  <c r="K39" i="8"/>
  <c r="C41" i="20"/>
  <c r="N88" i="27"/>
  <c r="B90"/>
  <c r="AZ44" i="23"/>
  <c r="R26" i="27"/>
  <c r="BQ47" i="23"/>
  <c r="BR47"/>
  <c r="AY57"/>
  <c r="BQ36"/>
  <c r="BR36"/>
  <c r="AS348" i="21"/>
  <c r="AD121" i="22"/>
  <c r="AN663" i="21"/>
  <c r="AS294"/>
  <c r="AS503"/>
  <c r="AS634"/>
  <c r="AS79"/>
  <c r="AS276"/>
  <c r="AS338"/>
  <c r="AI671"/>
  <c r="AS381"/>
  <c r="O49" i="20"/>
  <c r="AJ667" i="22"/>
  <c r="AS59" i="21"/>
  <c r="R89" i="27"/>
  <c r="AS161" i="21"/>
  <c r="AS463"/>
  <c r="BQ53" i="23"/>
  <c r="BR53"/>
  <c r="X670" i="21"/>
  <c r="BP29" i="23"/>
  <c r="W434" i="22"/>
  <c r="AS47" i="21"/>
  <c r="AS151"/>
  <c r="AS99"/>
  <c r="AS55"/>
  <c r="AS582"/>
  <c r="AS63"/>
  <c r="AS167"/>
  <c r="AS531"/>
  <c r="AK667" i="22"/>
  <c r="AS49" i="21"/>
  <c r="AS491"/>
  <c r="AS652"/>
  <c r="AS73"/>
  <c r="AS244"/>
  <c r="AS274"/>
  <c r="AQ668"/>
  <c r="AQ684"/>
  <c r="AS467"/>
  <c r="X121" i="22"/>
  <c r="AB395" i="21"/>
  <c r="X405"/>
  <c r="U105" i="8"/>
  <c r="K102"/>
  <c r="G105"/>
  <c r="Z141" i="21"/>
  <c r="Q133" i="8"/>
  <c r="G133"/>
  <c r="U133"/>
  <c r="K133"/>
  <c r="Y69" i="21"/>
  <c r="AB17" i="22"/>
  <c r="Y17"/>
  <c r="Y23"/>
  <c r="Q49" i="8"/>
  <c r="E49"/>
  <c r="AE39" i="23"/>
  <c r="AU27"/>
  <c r="AV27"/>
  <c r="AU34"/>
  <c r="AV34"/>
  <c r="Q9" i="24"/>
  <c r="R8"/>
  <c r="AL17" i="22"/>
  <c r="V23"/>
  <c r="V189"/>
  <c r="AK17"/>
  <c r="AB288" i="21"/>
  <c r="Y288"/>
  <c r="Z288"/>
  <c r="AA531" i="22"/>
  <c r="Z535"/>
  <c r="F24" i="23"/>
  <c r="X44"/>
  <c r="F44"/>
  <c r="AI14"/>
  <c r="AJ14"/>
  <c r="Y30"/>
  <c r="G30"/>
  <c r="D23" i="10"/>
  <c r="S57" i="8"/>
  <c r="H82" i="24"/>
  <c r="P82"/>
  <c r="P72"/>
  <c r="F76" i="17"/>
  <c r="X40" i="23"/>
  <c r="F40"/>
  <c r="W37"/>
  <c r="W32"/>
  <c r="F52"/>
  <c r="X52"/>
  <c r="Y97" i="21"/>
  <c r="E75" i="24"/>
  <c r="R18"/>
  <c r="AQ17" i="22"/>
  <c r="AH665"/>
  <c r="AH664"/>
  <c r="AJ17"/>
  <c r="AH663"/>
  <c r="AH676"/>
  <c r="AM427" i="21"/>
  <c r="X427"/>
  <c r="W433"/>
  <c r="AU101"/>
  <c r="AD101"/>
  <c r="AB101"/>
  <c r="Y101"/>
  <c r="Z101"/>
  <c r="AA513"/>
  <c r="Z521"/>
  <c r="Y27"/>
  <c r="Y344"/>
  <c r="Z334"/>
  <c r="Z344"/>
  <c r="AQ407"/>
  <c r="AJ407"/>
  <c r="AI280" i="22"/>
  <c r="AI667"/>
  <c r="AB147" i="21"/>
  <c r="AD147"/>
  <c r="AD159"/>
  <c r="AS25"/>
  <c r="AP67"/>
  <c r="CC12" i="27"/>
  <c r="CD12"/>
  <c r="CF12"/>
  <c r="CI12"/>
  <c r="CJ12"/>
  <c r="BU12"/>
  <c r="BW12"/>
  <c r="BZ12"/>
  <c r="CA12"/>
  <c r="E39" i="20"/>
  <c r="D90" i="27"/>
  <c r="O70" i="8"/>
  <c r="F70"/>
  <c r="BL56" i="23"/>
  <c r="BK54"/>
  <c r="H55"/>
  <c r="P55"/>
  <c r="AQ55"/>
  <c r="AP54"/>
  <c r="AQ33"/>
  <c r="BJ35"/>
  <c r="O33"/>
  <c r="Z182" i="21"/>
  <c r="Z184"/>
  <c r="Y184"/>
  <c r="Y360" i="22"/>
  <c r="Z354"/>
  <c r="Z360"/>
  <c r="X193" i="21"/>
  <c r="X666"/>
  <c r="AB191"/>
  <c r="AB278"/>
  <c r="Y278"/>
  <c r="Z278"/>
  <c r="C70" i="24"/>
  <c r="P49" i="20"/>
  <c r="F16"/>
  <c r="AM449" i="22"/>
  <c r="X449"/>
  <c r="W469"/>
  <c r="W553"/>
  <c r="W668"/>
  <c r="AB242" i="21"/>
  <c r="Y242"/>
  <c r="Z242"/>
  <c r="AA682" i="22"/>
  <c r="AA189"/>
  <c r="AQ16" i="23"/>
  <c r="H16"/>
  <c r="P16"/>
  <c r="R73" i="8"/>
  <c r="G73"/>
  <c r="Z35" i="23"/>
  <c r="AG35"/>
  <c r="BF24"/>
  <c r="BG25"/>
  <c r="R71" i="24"/>
  <c r="AS58" i="23"/>
  <c r="AB53" i="21"/>
  <c r="Y53"/>
  <c r="Z53"/>
  <c r="AD53"/>
  <c r="AS604"/>
  <c r="AP671"/>
  <c r="Y228"/>
  <c r="I18" i="17"/>
  <c r="J17"/>
  <c r="I12"/>
  <c r="J11"/>
  <c r="AM626" i="21"/>
  <c r="X626"/>
  <c r="Z626"/>
  <c r="AA626"/>
  <c r="AB626"/>
  <c r="Z238"/>
  <c r="AB238"/>
  <c r="Y238"/>
  <c r="P50" i="20"/>
  <c r="F17"/>
  <c r="P17"/>
  <c r="S19" i="17"/>
  <c r="S20"/>
  <c r="F7" i="23"/>
  <c r="X7"/>
  <c r="F43" i="8"/>
  <c r="O43"/>
  <c r="AQ20" i="23"/>
  <c r="H20"/>
  <c r="AX20"/>
  <c r="BI11"/>
  <c r="BJ11"/>
  <c r="BK11"/>
  <c r="BP11"/>
  <c r="G47"/>
  <c r="Y47"/>
  <c r="Y206" i="21"/>
  <c r="AQ11" i="23"/>
  <c r="H11"/>
  <c r="P11"/>
  <c r="AU47"/>
  <c r="AV47"/>
  <c r="AP41"/>
  <c r="G41"/>
  <c r="AO35"/>
  <c r="F35"/>
  <c r="AN32"/>
  <c r="AM280" i="22"/>
  <c r="AM667"/>
  <c r="Z208"/>
  <c r="O20" i="24"/>
  <c r="AM286" i="21"/>
  <c r="X286"/>
  <c r="W296"/>
  <c r="E7" i="10"/>
  <c r="J39" i="8"/>
  <c r="H4" i="4"/>
  <c r="I20"/>
  <c r="AB222" i="22"/>
  <c r="X226"/>
  <c r="Y364"/>
  <c r="AB370"/>
  <c r="F59" i="23"/>
  <c r="X59"/>
  <c r="M43" i="20"/>
  <c r="M117"/>
  <c r="BQ23" i="23"/>
  <c r="AD121" i="21"/>
  <c r="BP30" i="23"/>
  <c r="AY34"/>
  <c r="BP43"/>
  <c r="AJ280" i="21"/>
  <c r="AQ665" i="22"/>
  <c r="AZ52" i="23"/>
  <c r="BP17"/>
  <c r="AO664" i="21"/>
  <c r="X159"/>
  <c r="AX51" i="23"/>
  <c r="P19"/>
  <c r="AX17"/>
  <c r="AS93" i="21"/>
  <c r="AS266"/>
  <c r="AS606"/>
  <c r="AS220"/>
  <c r="AS517"/>
  <c r="AS574"/>
  <c r="AS71"/>
  <c r="AS254"/>
  <c r="AS399"/>
  <c r="AS465"/>
  <c r="AS572"/>
  <c r="AY30" i="23"/>
  <c r="K23" i="21"/>
  <c r="AS282"/>
  <c r="X553"/>
  <c r="X668"/>
  <c r="X684"/>
  <c r="AQ667"/>
  <c r="AQ683"/>
  <c r="N27" i="27"/>
  <c r="AS638" i="21"/>
  <c r="AS290"/>
  <c r="AS513"/>
  <c r="AS29"/>
  <c r="AS149"/>
  <c r="AS204"/>
  <c r="AS312"/>
  <c r="AS362"/>
  <c r="AS397"/>
  <c r="AJ469"/>
  <c r="AJ668"/>
  <c r="AS658"/>
  <c r="AS550"/>
  <c r="AF663"/>
  <c r="AI45" i="23"/>
  <c r="AJ45"/>
  <c r="AN9"/>
  <c r="C64" i="24"/>
  <c r="P88" i="27"/>
  <c r="BQ31" i="23"/>
  <c r="BR31"/>
  <c r="X23" i="22"/>
  <c r="BO48" i="23"/>
  <c r="AS103" i="21"/>
  <c r="AS268"/>
  <c r="AN663" i="22"/>
  <c r="AN676"/>
  <c r="AS264" i="21"/>
  <c r="AJ671"/>
  <c r="AS330"/>
  <c r="AS262"/>
  <c r="AS409"/>
  <c r="AS656"/>
  <c r="AS111"/>
  <c r="AS246"/>
  <c r="AS334"/>
  <c r="AS413"/>
  <c r="AS578"/>
  <c r="AX55" i="23"/>
  <c r="BL17"/>
  <c r="BM17"/>
  <c r="AP17" i="22"/>
  <c r="AG665"/>
  <c r="AG664"/>
  <c r="AI17"/>
  <c r="AG663"/>
  <c r="AG676"/>
  <c r="Y169" i="21"/>
  <c r="Z161"/>
  <c r="Z169"/>
  <c r="Z387"/>
  <c r="AB387"/>
  <c r="Y387"/>
  <c r="F86" i="27"/>
  <c r="AZ66"/>
  <c r="AI407" i="21"/>
  <c r="AP407"/>
  <c r="AS407"/>
  <c r="AS252" i="22"/>
  <c r="AP667"/>
  <c r="AP683"/>
  <c r="C64" i="20"/>
  <c r="Z246" i="21"/>
  <c r="AB246"/>
  <c r="Y246"/>
  <c r="AE10" i="23"/>
  <c r="AE18"/>
  <c r="F50" i="8"/>
  <c r="O50"/>
  <c r="Y27" i="23"/>
  <c r="G27"/>
  <c r="AR51"/>
  <c r="AS51"/>
  <c r="AT51"/>
  <c r="AA560" i="22"/>
  <c r="Z602"/>
  <c r="Z670"/>
  <c r="Z685"/>
  <c r="L10" i="20"/>
  <c r="Z681" i="22"/>
  <c r="L6" i="20"/>
  <c r="AP39" i="23"/>
  <c r="BH50"/>
  <c r="H50"/>
  <c r="AF32"/>
  <c r="AO22"/>
  <c r="F22"/>
  <c r="AD47" i="21"/>
  <c r="AB47"/>
  <c r="Y47"/>
  <c r="Z47"/>
  <c r="Z83"/>
  <c r="AB83"/>
  <c r="Y83"/>
  <c r="AD83"/>
  <c r="AD95"/>
  <c r="AD189"/>
  <c r="Y174"/>
  <c r="AB176"/>
  <c r="AM614"/>
  <c r="AM671"/>
  <c r="W662"/>
  <c r="W671"/>
  <c r="X614"/>
  <c r="AA487"/>
  <c r="Z495"/>
  <c r="AM413"/>
  <c r="W421"/>
  <c r="X413"/>
  <c r="AB368"/>
  <c r="Y368"/>
  <c r="Z368"/>
  <c r="G48" i="17"/>
  <c r="AC19" i="23"/>
  <c r="AD11"/>
  <c r="AD9"/>
  <c r="R93" i="8"/>
  <c r="H91"/>
  <c r="AU30" i="23"/>
  <c r="AV30"/>
  <c r="AS560" i="22"/>
  <c r="AP681"/>
  <c r="C62" i="20"/>
  <c r="AP670" i="22"/>
  <c r="AP685"/>
  <c r="AG19" i="21"/>
  <c r="AH19"/>
  <c r="V19"/>
  <c r="V23"/>
  <c r="V189"/>
  <c r="Y200"/>
  <c r="AB202"/>
  <c r="I44" i="24"/>
  <c r="I45"/>
  <c r="G37"/>
  <c r="G44"/>
  <c r="G45"/>
  <c r="L76"/>
  <c r="R76"/>
  <c r="S76"/>
  <c r="O57" i="23"/>
  <c r="E54"/>
  <c r="AB17" i="21"/>
  <c r="Y17"/>
  <c r="Z17"/>
  <c r="AQ17"/>
  <c r="AJ17"/>
  <c r="Y250"/>
  <c r="AB373"/>
  <c r="X379"/>
  <c r="Y433" i="22"/>
  <c r="Z431"/>
  <c r="Z433"/>
  <c r="AB356" i="21"/>
  <c r="Y356"/>
  <c r="Z356"/>
  <c r="Y67" i="22"/>
  <c r="Z43"/>
  <c r="Z67"/>
  <c r="AA489"/>
  <c r="Z495"/>
  <c r="AA459" i="21"/>
  <c r="Z469"/>
  <c r="AJ469" i="22"/>
  <c r="AJ668"/>
  <c r="N39" i="20"/>
  <c r="M90" i="27"/>
  <c r="F66" i="8"/>
  <c r="O66"/>
  <c r="AP46" i="23"/>
  <c r="G46"/>
  <c r="F86" i="8"/>
  <c r="Q86"/>
  <c r="E86"/>
  <c r="I72" i="24"/>
  <c r="BH45" i="23"/>
  <c r="H45"/>
  <c r="P45"/>
  <c r="AS15" i="21"/>
  <c r="AP12" i="23"/>
  <c r="G12"/>
  <c r="AW37"/>
  <c r="AW32"/>
  <c r="J13" i="17"/>
  <c r="I14"/>
  <c r="M20" i="24"/>
  <c r="AA499" i="22"/>
  <c r="Z507"/>
  <c r="AD93" i="21"/>
  <c r="Z93"/>
  <c r="AB93"/>
  <c r="Y93"/>
  <c r="G16" i="20"/>
  <c r="P41"/>
  <c r="Y240" i="22"/>
  <c r="AB248"/>
  <c r="L39" i="20"/>
  <c r="K90" i="27"/>
  <c r="Q86"/>
  <c r="L16" i="20"/>
  <c r="R16"/>
  <c r="U17" i="17"/>
  <c r="U18"/>
  <c r="R41" i="20"/>
  <c r="AB212" i="21"/>
  <c r="Y212"/>
  <c r="Z212"/>
  <c r="AB284"/>
  <c r="X296"/>
  <c r="AD87" i="22"/>
  <c r="AD95"/>
  <c r="AD189"/>
  <c r="AB87"/>
  <c r="X95"/>
  <c r="P40" i="20"/>
  <c r="F15"/>
  <c r="D15"/>
  <c r="O40"/>
  <c r="AO676" i="21"/>
  <c r="BO20" i="23"/>
  <c r="AS648" i="21"/>
  <c r="X682" i="22"/>
  <c r="AS234" i="21"/>
  <c r="AI469"/>
  <c r="AI668"/>
  <c r="AS97"/>
  <c r="AS178"/>
  <c r="AS43"/>
  <c r="AS143"/>
  <c r="AJ667"/>
  <c r="AS626"/>
  <c r="AS65"/>
  <c r="AS455"/>
  <c r="AS511"/>
  <c r="AS568"/>
  <c r="AS87" i="22"/>
  <c r="AS624" i="21"/>
  <c r="G20" i="23"/>
  <c r="P20"/>
  <c r="X680" i="22"/>
  <c r="AI280" i="21"/>
  <c r="AS172"/>
  <c r="AS53"/>
  <c r="AS358"/>
  <c r="AS83"/>
  <c r="AS174"/>
  <c r="AQ671"/>
  <c r="AS509"/>
  <c r="AS566"/>
  <c r="AS27"/>
  <c r="AS75"/>
  <c r="AS208"/>
  <c r="AS318"/>
  <c r="AS346"/>
  <c r="AS564"/>
  <c r="AL667" i="22"/>
  <c r="AP682"/>
  <c r="C63" i="20"/>
  <c r="AS256" i="21"/>
  <c r="BO58" i="23"/>
  <c r="AI13"/>
  <c r="AJ13"/>
  <c r="BL30"/>
  <c r="BM30"/>
  <c r="H59" i="8"/>
  <c r="AB113" i="21"/>
  <c r="Y113"/>
  <c r="Z113"/>
  <c r="Z393"/>
  <c r="BK54" i="27"/>
  <c r="BC54"/>
  <c r="BE54"/>
  <c r="BH54"/>
  <c r="BI54"/>
  <c r="AK407" i="21"/>
  <c r="AK667"/>
  <c r="AL407"/>
  <c r="AL667"/>
  <c r="V421"/>
  <c r="Y314" i="22"/>
  <c r="Z302"/>
  <c r="Z314"/>
  <c r="C15" i="20"/>
  <c r="O48"/>
  <c r="B25" i="27"/>
  <c r="P19"/>
  <c r="AC23" i="23"/>
  <c r="O47" i="8"/>
  <c r="F47"/>
  <c r="AV42" i="23"/>
  <c r="C23" i="10"/>
  <c r="G23"/>
  <c r="R57" i="8"/>
  <c r="G57"/>
  <c r="H71"/>
  <c r="AU57" i="23"/>
  <c r="AV57"/>
  <c r="AP29"/>
  <c r="AX29"/>
  <c r="G29"/>
  <c r="BG10"/>
  <c r="BF9"/>
  <c r="X51"/>
  <c r="F51"/>
  <c r="G76" i="8"/>
  <c r="Q77"/>
  <c r="E77"/>
  <c r="F48" i="23"/>
  <c r="AO48"/>
  <c r="Y298" i="21"/>
  <c r="AB314"/>
  <c r="BI20" i="23"/>
  <c r="BJ20"/>
  <c r="BK20"/>
  <c r="AE665" i="21"/>
  <c r="AE670"/>
  <c r="Y324" i="22"/>
  <c r="AB328"/>
  <c r="AS69" i="21"/>
  <c r="AP681"/>
  <c r="Y101" i="22"/>
  <c r="AB121"/>
  <c r="F39" i="20"/>
  <c r="E90" i="27"/>
  <c r="AB252" i="22"/>
  <c r="X280"/>
  <c r="E56" i="17"/>
  <c r="AA665" i="21"/>
  <c r="C86" i="27"/>
  <c r="DN55"/>
  <c r="Y66"/>
  <c r="C50" i="20"/>
  <c r="N28" i="27"/>
  <c r="R28"/>
  <c r="AD49" i="23"/>
  <c r="P69" i="8"/>
  <c r="G34" i="23"/>
  <c r="Y34"/>
  <c r="AP13"/>
  <c r="AX13"/>
  <c r="G13"/>
  <c r="G31"/>
  <c r="Y31"/>
  <c r="Y28"/>
  <c r="G28"/>
  <c r="AB36"/>
  <c r="AP18"/>
  <c r="G18"/>
  <c r="T45" i="24"/>
  <c r="D10" i="26"/>
  <c r="E10"/>
  <c r="S45" i="24"/>
  <c r="B75" i="17"/>
  <c r="AF54" i="23"/>
  <c r="BF39"/>
  <c r="BE37"/>
  <c r="BE32"/>
  <c r="J15" i="20"/>
  <c r="Q48"/>
  <c r="AI17" i="21"/>
  <c r="AP17"/>
  <c r="AS17"/>
  <c r="H26" i="23"/>
  <c r="P26"/>
  <c r="Z26"/>
  <c r="AA604" i="21"/>
  <c r="Z258"/>
  <c r="AB258"/>
  <c r="Y258"/>
  <c r="AB264"/>
  <c r="Y264"/>
  <c r="Z264"/>
  <c r="AS222" i="22"/>
  <c r="AS667"/>
  <c r="AS683"/>
  <c r="AQ667"/>
  <c r="AQ683"/>
  <c r="AE19" i="27"/>
  <c r="AF7"/>
  <c r="AN7"/>
  <c r="D17" i="20"/>
  <c r="O42"/>
  <c r="S42"/>
  <c r="K119"/>
  <c r="Q119"/>
  <c r="Q59"/>
  <c r="AC20" i="23"/>
  <c r="O63" i="8"/>
  <c r="F63"/>
  <c r="AP10" i="23"/>
  <c r="G10"/>
  <c r="AO9"/>
  <c r="AA560" i="21"/>
  <c r="Z602"/>
  <c r="AQ15" i="23"/>
  <c r="H15"/>
  <c r="P15"/>
  <c r="AP25"/>
  <c r="AO24"/>
  <c r="BL29"/>
  <c r="BM29"/>
  <c r="AB680" i="22"/>
  <c r="AB23"/>
  <c r="E37" i="23"/>
  <c r="E32"/>
  <c r="O38"/>
  <c r="AB260" i="22"/>
  <c r="Y260"/>
  <c r="Z260"/>
  <c r="D10" i="24"/>
  <c r="E9"/>
  <c r="AB266" i="21"/>
  <c r="Y266"/>
  <c r="Z266"/>
  <c r="Y405" i="22"/>
  <c r="Z393"/>
  <c r="Z405"/>
  <c r="AB348" i="21"/>
  <c r="X360"/>
  <c r="AB61"/>
  <c r="Y61"/>
  <c r="Z61"/>
  <c r="AD61"/>
  <c r="W381"/>
  <c r="AD389"/>
  <c r="AD434"/>
  <c r="AD667"/>
  <c r="BU13" i="27"/>
  <c r="BW13"/>
  <c r="BZ13"/>
  <c r="CA13"/>
  <c r="CC13"/>
  <c r="CD13"/>
  <c r="CF13"/>
  <c r="CI13"/>
  <c r="CJ13"/>
  <c r="AS555" i="21"/>
  <c r="AS669"/>
  <c r="AP669"/>
  <c r="G24" i="23"/>
  <c r="P50"/>
  <c r="O43"/>
  <c r="AN664" i="21"/>
  <c r="AS324"/>
  <c r="AS548"/>
  <c r="AS117"/>
  <c r="AS163"/>
  <c r="AS377"/>
  <c r="AS485"/>
  <c r="D32" i="23"/>
  <c r="I17" i="20"/>
  <c r="Q17"/>
  <c r="T19" i="17"/>
  <c r="T20"/>
  <c r="AS560" i="21"/>
  <c r="AF8" i="23"/>
  <c r="X280" i="21"/>
  <c r="AS113"/>
  <c r="AB67" i="22"/>
  <c r="AB682"/>
  <c r="X248" i="21"/>
  <c r="AS91"/>
  <c r="AS544"/>
  <c r="AS586"/>
  <c r="AS37"/>
  <c r="AS77"/>
  <c r="AS326"/>
  <c r="AS375"/>
  <c r="AS427"/>
  <c r="AS642"/>
  <c r="AS562"/>
  <c r="AS250"/>
  <c r="AS107"/>
  <c r="AS383"/>
  <c r="AI667"/>
  <c r="AS340"/>
  <c r="AS640"/>
  <c r="AS238"/>
  <c r="AS272"/>
  <c r="AS441"/>
  <c r="AS646"/>
  <c r="V434" i="22"/>
  <c r="AS419" i="21"/>
  <c r="AS594"/>
  <c r="V434"/>
  <c r="AQ67"/>
  <c r="AS366"/>
  <c r="AX33" i="23"/>
  <c r="R87" i="27"/>
  <c r="D93" i="17"/>
  <c r="I94" i="8"/>
  <c r="P86"/>
  <c r="P66"/>
  <c r="P43"/>
  <c r="P70"/>
  <c r="P64"/>
  <c r="P78"/>
  <c r="Q76"/>
  <c r="U102"/>
  <c r="G46"/>
  <c r="Q46"/>
  <c r="P47"/>
  <c r="O86"/>
  <c r="P68"/>
  <c r="Q48"/>
  <c r="E48"/>
  <c r="P50"/>
  <c r="P42"/>
  <c r="K44"/>
  <c r="U46"/>
  <c r="BL18" i="23"/>
  <c r="BM18"/>
  <c r="AD58"/>
  <c r="AE58"/>
  <c r="AI58"/>
  <c r="AD38"/>
  <c r="AE38"/>
  <c r="BL26"/>
  <c r="BM26"/>
  <c r="BL51"/>
  <c r="BM51"/>
  <c r="AZ27"/>
  <c r="BA27"/>
  <c r="BR29"/>
  <c r="AZ40"/>
  <c r="BA40"/>
  <c r="BP18"/>
  <c r="AH58"/>
  <c r="BL28"/>
  <c r="BM28"/>
  <c r="Z42"/>
  <c r="H42"/>
  <c r="P42"/>
  <c r="AG42"/>
  <c r="BI19"/>
  <c r="BJ19"/>
  <c r="BK19"/>
  <c r="BQ29"/>
  <c r="BQ30"/>
  <c r="BP34"/>
  <c r="BR34"/>
  <c r="AY44"/>
  <c r="BP26"/>
  <c r="AY49"/>
  <c r="BP51"/>
  <c r="AP23"/>
  <c r="G23"/>
  <c r="AI29"/>
  <c r="AJ29"/>
  <c r="AD29"/>
  <c r="AE29"/>
  <c r="BQ44"/>
  <c r="BR44"/>
  <c r="BL44"/>
  <c r="BM44"/>
  <c r="AQ36"/>
  <c r="H36"/>
  <c r="P36"/>
  <c r="BL16"/>
  <c r="BM16"/>
  <c r="BA52"/>
  <c r="BA44"/>
  <c r="AZ43"/>
  <c r="BA43"/>
  <c r="AZ49"/>
  <c r="BP28"/>
  <c r="AY52"/>
  <c r="BO19"/>
  <c r="BP23"/>
  <c r="BR23"/>
  <c r="O15" i="20"/>
  <c r="R15" i="17"/>
  <c r="AD665" i="21"/>
  <c r="AD664"/>
  <c r="AD663"/>
  <c r="AQ25" i="23"/>
  <c r="AP24"/>
  <c r="AB560" i="21"/>
  <c r="AA602"/>
  <c r="AA670"/>
  <c r="P63" i="8"/>
  <c r="I26" i="23"/>
  <c r="AA26"/>
  <c r="AC36"/>
  <c r="F43" i="20"/>
  <c r="Y314" i="21"/>
  <c r="Z298"/>
  <c r="Z314"/>
  <c r="F77" i="8"/>
  <c r="O77"/>
  <c r="E76"/>
  <c r="Y51" i="23"/>
  <c r="G51"/>
  <c r="AD23"/>
  <c r="BT54" i="27"/>
  <c r="BL54"/>
  <c r="BN54"/>
  <c r="BQ54"/>
  <c r="BR54"/>
  <c r="L43" i="20"/>
  <c r="R39"/>
  <c r="AB489" i="22"/>
  <c r="AB495"/>
  <c r="AA495"/>
  <c r="Y373" i="21"/>
  <c r="AB379"/>
  <c r="Y202"/>
  <c r="Z200"/>
  <c r="Z202"/>
  <c r="AI19"/>
  <c r="AP19"/>
  <c r="AD19" i="23"/>
  <c r="AP22"/>
  <c r="G22"/>
  <c r="AQ39"/>
  <c r="G39" i="20"/>
  <c r="F90" i="27"/>
  <c r="AS17" i="22"/>
  <c r="AP680"/>
  <c r="AP663"/>
  <c r="AP676"/>
  <c r="AP665"/>
  <c r="AP664"/>
  <c r="T39" i="8"/>
  <c r="G39"/>
  <c r="H47" i="23"/>
  <c r="P47"/>
  <c r="Z47"/>
  <c r="AG47"/>
  <c r="J12" i="17"/>
  <c r="K11"/>
  <c r="AT58" i="23"/>
  <c r="AY58"/>
  <c r="Q73" i="8"/>
  <c r="E73"/>
  <c r="AA665" i="22"/>
  <c r="BK35" i="23"/>
  <c r="BP35"/>
  <c r="AR55"/>
  <c r="AQ54"/>
  <c r="I55"/>
  <c r="E43" i="20"/>
  <c r="E117"/>
  <c r="AQ680" i="22"/>
  <c r="AQ686"/>
  <c r="AQ663"/>
  <c r="Y40" i="23"/>
  <c r="G40"/>
  <c r="X37"/>
  <c r="AL665" i="22"/>
  <c r="AL664"/>
  <c r="AL663"/>
  <c r="AL676"/>
  <c r="Y95" i="21"/>
  <c r="Z69"/>
  <c r="E133" i="8"/>
  <c r="F133"/>
  <c r="E105"/>
  <c r="G102"/>
  <c r="Q105"/>
  <c r="Y395" i="21"/>
  <c r="AB405"/>
  <c r="P48" i="20"/>
  <c r="G15"/>
  <c r="K15" i="24"/>
  <c r="O14"/>
  <c r="M14"/>
  <c r="F37" i="23"/>
  <c r="M59" i="20"/>
  <c r="M119"/>
  <c r="N55"/>
  <c r="Y167" i="22"/>
  <c r="AB169"/>
  <c r="AB612"/>
  <c r="AB662"/>
  <c r="AB671"/>
  <c r="AA662"/>
  <c r="AA671"/>
  <c r="Y328" i="21"/>
  <c r="Z316"/>
  <c r="Z328"/>
  <c r="BH49" i="23"/>
  <c r="H49"/>
  <c r="P49"/>
  <c r="BO49"/>
  <c r="H53" i="17"/>
  <c r="H55"/>
  <c r="G55"/>
  <c r="AB224" i="21"/>
  <c r="Y224"/>
  <c r="Z224"/>
  <c r="X226"/>
  <c r="Y33" i="23"/>
  <c r="G33"/>
  <c r="AB542" i="21"/>
  <c r="AB552"/>
  <c r="AA552"/>
  <c r="AI21"/>
  <c r="AP21"/>
  <c r="AP663"/>
  <c r="AG670"/>
  <c r="AG665"/>
  <c r="DN13" i="27"/>
  <c r="AS681" i="21"/>
  <c r="AE664"/>
  <c r="AE676"/>
  <c r="S48" i="20"/>
  <c r="AZ30" i="23"/>
  <c r="AY51"/>
  <c r="AQ664" i="22"/>
  <c r="AB248" i="21"/>
  <c r="AS67"/>
  <c r="AB121"/>
  <c r="AZ34" i="23"/>
  <c r="BA34"/>
  <c r="H25"/>
  <c r="AG663" i="21"/>
  <c r="AX39" i="23"/>
  <c r="AH36"/>
  <c r="AQ682" i="21"/>
  <c r="Y348"/>
  <c r="AB360"/>
  <c r="AQ10" i="23"/>
  <c r="H10"/>
  <c r="AD20"/>
  <c r="AB604" i="21"/>
  <c r="BF37" i="23"/>
  <c r="BF32"/>
  <c r="BG39"/>
  <c r="H39"/>
  <c r="Z31"/>
  <c r="H31"/>
  <c r="P31"/>
  <c r="Z34"/>
  <c r="H34"/>
  <c r="P34"/>
  <c r="AE49"/>
  <c r="C17" i="20"/>
  <c r="O17"/>
  <c r="O50"/>
  <c r="S50"/>
  <c r="BG9" i="23"/>
  <c r="BH10"/>
  <c r="C47" i="20"/>
  <c r="B29" i="27"/>
  <c r="BI66"/>
  <c r="G86"/>
  <c r="BI45" i="23"/>
  <c r="I45"/>
  <c r="O54"/>
  <c r="AJ19" i="21"/>
  <c r="AQ19"/>
  <c r="AQ663"/>
  <c r="AS681" i="22"/>
  <c r="AS670"/>
  <c r="AS685"/>
  <c r="AE11" i="23"/>
  <c r="G51" i="17"/>
  <c r="G49"/>
  <c r="Z614" i="21"/>
  <c r="X662"/>
  <c r="X671"/>
  <c r="X685"/>
  <c r="Y176"/>
  <c r="Z174"/>
  <c r="Z176"/>
  <c r="AB560" i="22"/>
  <c r="AA602"/>
  <c r="AA670"/>
  <c r="AA685"/>
  <c r="AA681"/>
  <c r="Z27" i="23"/>
  <c r="H27"/>
  <c r="P27"/>
  <c r="AG27"/>
  <c r="D64" i="20"/>
  <c r="C22"/>
  <c r="AX54" i="23"/>
  <c r="G59"/>
  <c r="Y59"/>
  <c r="Z286" i="21"/>
  <c r="AB286"/>
  <c r="Y286"/>
  <c r="Z206"/>
  <c r="BL11" i="23"/>
  <c r="BM11"/>
  <c r="BQ11"/>
  <c r="BR11"/>
  <c r="R131" i="8"/>
  <c r="H131"/>
  <c r="BG24" i="23"/>
  <c r="BH25"/>
  <c r="BO25"/>
  <c r="AA35"/>
  <c r="AR16"/>
  <c r="I16"/>
  <c r="C80" i="24"/>
  <c r="C69"/>
  <c r="AB193" i="21"/>
  <c r="AB666"/>
  <c r="Y191"/>
  <c r="AP682"/>
  <c r="Y147"/>
  <c r="AB159"/>
  <c r="X433"/>
  <c r="AB427"/>
  <c r="E74" i="24"/>
  <c r="O75"/>
  <c r="Y52" i="23"/>
  <c r="G52"/>
  <c r="Y44"/>
  <c r="G44"/>
  <c r="AB531" i="22"/>
  <c r="AB535"/>
  <c r="AA535"/>
  <c r="R9" i="24"/>
  <c r="Q10"/>
  <c r="F49" i="8"/>
  <c r="O49"/>
  <c r="C16" i="20"/>
  <c r="O16"/>
  <c r="O41"/>
  <c r="S41"/>
  <c r="C43"/>
  <c r="E76" i="17"/>
  <c r="AS53" i="23"/>
  <c r="J53"/>
  <c r="C58" i="24"/>
  <c r="E57"/>
  <c r="AE16" i="23"/>
  <c r="L119" i="20"/>
  <c r="Y57" i="23"/>
  <c r="X54"/>
  <c r="G57"/>
  <c r="G54"/>
  <c r="AE17"/>
  <c r="I65" i="8"/>
  <c r="F64" i="17"/>
  <c r="H58" i="8"/>
  <c r="F43" i="23"/>
  <c r="X43"/>
  <c r="X32"/>
  <c r="BI58"/>
  <c r="I58"/>
  <c r="Z21" i="21"/>
  <c r="AB21"/>
  <c r="Y407"/>
  <c r="Z670"/>
  <c r="AZ57" i="23"/>
  <c r="BA57"/>
  <c r="S40" i="20"/>
  <c r="Q90" i="27"/>
  <c r="AP665" i="21"/>
  <c r="AB280"/>
  <c r="G39" i="23"/>
  <c r="X189" i="22"/>
  <c r="X434"/>
  <c r="X667"/>
  <c r="X683"/>
  <c r="X686"/>
  <c r="AZ47" i="23"/>
  <c r="BA47"/>
  <c r="AS671" i="21"/>
  <c r="P16" i="20"/>
  <c r="S17" i="17"/>
  <c r="S18"/>
  <c r="AB67" i="21"/>
  <c r="AB682"/>
  <c r="Y24" i="23"/>
  <c r="Y8"/>
  <c r="AS668" i="21"/>
  <c r="AS684"/>
  <c r="AI18" i="23"/>
  <c r="AJ18"/>
  <c r="F92" i="17"/>
  <c r="AM381" i="21"/>
  <c r="W389"/>
  <c r="W434"/>
  <c r="X381"/>
  <c r="D11" i="24"/>
  <c r="E10"/>
  <c r="AR15" i="23"/>
  <c r="I15"/>
  <c r="AF19" i="27"/>
  <c r="AH7"/>
  <c r="AQ18" i="23"/>
  <c r="H18"/>
  <c r="P18"/>
  <c r="Z28"/>
  <c r="H28"/>
  <c r="P28"/>
  <c r="AQ13"/>
  <c r="H13"/>
  <c r="P13"/>
  <c r="D39" i="20"/>
  <c r="C90" i="27"/>
  <c r="N86"/>
  <c r="H65" i="8"/>
  <c r="E64" i="17"/>
  <c r="Y121" i="22"/>
  <c r="Z101"/>
  <c r="Z121"/>
  <c r="Y328"/>
  <c r="Z324"/>
  <c r="Z328"/>
  <c r="BL20" i="23"/>
  <c r="BM20"/>
  <c r="G48"/>
  <c r="AP48"/>
  <c r="Q57" i="8"/>
  <c r="E57"/>
  <c r="R59"/>
  <c r="C15" i="10"/>
  <c r="AD665" i="22"/>
  <c r="AD664"/>
  <c r="AD663"/>
  <c r="Y248"/>
  <c r="Z240"/>
  <c r="Z248"/>
  <c r="J14" i="17"/>
  <c r="K13"/>
  <c r="AQ12" i="23"/>
  <c r="H12"/>
  <c r="AX12"/>
  <c r="AQ46"/>
  <c r="H46"/>
  <c r="N43" i="20"/>
  <c r="N117"/>
  <c r="AB459" i="21"/>
  <c r="AB469"/>
  <c r="AA469"/>
  <c r="Y280"/>
  <c r="Z250"/>
  <c r="Z280"/>
  <c r="U45" i="24"/>
  <c r="K45"/>
  <c r="AK19" i="21"/>
  <c r="AL19"/>
  <c r="D62" i="20"/>
  <c r="C20"/>
  <c r="R91" i="8"/>
  <c r="H72"/>
  <c r="AB413" i="21"/>
  <c r="Y413"/>
  <c r="Z413"/>
  <c r="AB487"/>
  <c r="AB495"/>
  <c r="AA495"/>
  <c r="BI50" i="23"/>
  <c r="I50"/>
  <c r="L98" i="20"/>
  <c r="M10"/>
  <c r="AE9" i="23"/>
  <c r="AI663" i="22"/>
  <c r="AI665"/>
  <c r="AI664"/>
  <c r="Y370"/>
  <c r="Z364"/>
  <c r="Z370"/>
  <c r="G7" i="10"/>
  <c r="AP35" i="23"/>
  <c r="G35"/>
  <c r="AR20"/>
  <c r="I20"/>
  <c r="G7"/>
  <c r="Y7"/>
  <c r="K17" i="17"/>
  <c r="J18"/>
  <c r="AM668" i="22"/>
  <c r="AM664"/>
  <c r="AM469"/>
  <c r="AM663"/>
  <c r="H61" i="8"/>
  <c r="AR33" i="23"/>
  <c r="Y67" i="21"/>
  <c r="Z27"/>
  <c r="Z67"/>
  <c r="AJ665" i="22"/>
  <c r="AJ664"/>
  <c r="AJ663"/>
  <c r="AJ676"/>
  <c r="H30" i="23"/>
  <c r="P30"/>
  <c r="Z30"/>
  <c r="AG30"/>
  <c r="AK663" i="22"/>
  <c r="AK676"/>
  <c r="AK665"/>
  <c r="AK664"/>
  <c r="AI39" i="23"/>
  <c r="A8" i="20"/>
  <c r="O686" i="21"/>
  <c r="O687"/>
  <c r="BL48" i="23"/>
  <c r="BM48"/>
  <c r="AP38"/>
  <c r="G38"/>
  <c r="G37"/>
  <c r="AO37"/>
  <c r="AO32"/>
  <c r="AR56"/>
  <c r="I56"/>
  <c r="Y344" i="22"/>
  <c r="Z334"/>
  <c r="Z344"/>
  <c r="AB441" i="21"/>
  <c r="AB445"/>
  <c r="AA445"/>
  <c r="AB511" i="22"/>
  <c r="AB521"/>
  <c r="AA521"/>
  <c r="AP14" i="23"/>
  <c r="AX14"/>
  <c r="G14"/>
  <c r="AK663" i="21"/>
  <c r="AK665"/>
  <c r="AK664"/>
  <c r="I8" i="24"/>
  <c r="J7"/>
  <c r="I18"/>
  <c r="I25" i="23"/>
  <c r="Z24"/>
  <c r="Z8"/>
  <c r="AA25"/>
  <c r="G9"/>
  <c r="AB226" i="21"/>
  <c r="L81" i="24"/>
  <c r="R81"/>
  <c r="S81"/>
  <c r="J27" i="27"/>
  <c r="K49" i="20"/>
  <c r="K16"/>
  <c r="AN676" i="21"/>
  <c r="R88" i="27"/>
  <c r="AP667" i="21"/>
  <c r="AP683"/>
  <c r="P10" i="23"/>
  <c r="Q15" i="20"/>
  <c r="T15" i="17"/>
  <c r="T16"/>
  <c r="AX46" i="23"/>
  <c r="AX10"/>
  <c r="AG34"/>
  <c r="AZ42"/>
  <c r="BA42"/>
  <c r="AG31"/>
  <c r="AI10"/>
  <c r="X421" i="21"/>
  <c r="O37" i="23"/>
  <c r="O32"/>
  <c r="E74" i="17"/>
  <c r="AN19" i="27"/>
  <c r="AO7"/>
  <c r="AW7"/>
  <c r="Y252" i="22"/>
  <c r="AB280"/>
  <c r="AQ29" i="23"/>
  <c r="H29"/>
  <c r="P29"/>
  <c r="R71" i="8"/>
  <c r="C20" i="10"/>
  <c r="D63" i="20"/>
  <c r="C21"/>
  <c r="AS682" i="22"/>
  <c r="AS665"/>
  <c r="AS664"/>
  <c r="Y87"/>
  <c r="AB95"/>
  <c r="AB189"/>
  <c r="Y284" i="21"/>
  <c r="AB296"/>
  <c r="AB499" i="22"/>
  <c r="AB507"/>
  <c r="AA507"/>
  <c r="R129" i="8"/>
  <c r="H129"/>
  <c r="I82" i="24"/>
  <c r="M6" i="20"/>
  <c r="L94"/>
  <c r="AU51" i="23"/>
  <c r="AV51"/>
  <c r="Y222" i="22"/>
  <c r="AB226"/>
  <c r="AQ41" i="23"/>
  <c r="H41"/>
  <c r="P41"/>
  <c r="AX41"/>
  <c r="AR11"/>
  <c r="I11"/>
  <c r="G132" i="8"/>
  <c r="Q132"/>
  <c r="R132"/>
  <c r="H132"/>
  <c r="Y248" i="21"/>
  <c r="Z228"/>
  <c r="Z248"/>
  <c r="H75" i="17"/>
  <c r="S71" i="24"/>
  <c r="Z449" i="22"/>
  <c r="X469"/>
  <c r="X553"/>
  <c r="X668"/>
  <c r="X684"/>
  <c r="BL54" i="23"/>
  <c r="BM56"/>
  <c r="I27" i="27"/>
  <c r="DN12"/>
  <c r="AB513" i="21"/>
  <c r="AB521"/>
  <c r="AA521"/>
  <c r="Y121"/>
  <c r="Z97"/>
  <c r="Z121"/>
  <c r="I67" i="8"/>
  <c r="F65" i="17"/>
  <c r="F75" i="24"/>
  <c r="O133" i="8"/>
  <c r="P133"/>
  <c r="W667" i="22"/>
  <c r="W664"/>
  <c r="W663"/>
  <c r="U39" i="8"/>
  <c r="CC7" i="27"/>
  <c r="CD7"/>
  <c r="CF7"/>
  <c r="CI7"/>
  <c r="BU7"/>
  <c r="BW7"/>
  <c r="BZ7"/>
  <c r="Y364" i="21"/>
  <c r="AB370"/>
  <c r="Y19" i="27"/>
  <c r="C25"/>
  <c r="AL663" i="21"/>
  <c r="AL665"/>
  <c r="AL664"/>
  <c r="F54" i="23"/>
  <c r="D80" i="24"/>
  <c r="D79"/>
  <c r="D69"/>
  <c r="BC21" i="23"/>
  <c r="AM667" i="21"/>
  <c r="AM664"/>
  <c r="AM663"/>
  <c r="F32" i="23"/>
  <c r="AQ17"/>
  <c r="H17"/>
  <c r="P17"/>
  <c r="AR19"/>
  <c r="I19"/>
  <c r="Y282" i="22"/>
  <c r="AB296"/>
  <c r="AJ21" i="21"/>
  <c r="AH670"/>
  <c r="AQ21"/>
  <c r="AQ670"/>
  <c r="AQ685"/>
  <c r="AH665"/>
  <c r="BP20" i="23"/>
  <c r="AX48"/>
  <c r="P15" i="20"/>
  <c r="S15" i="17"/>
  <c r="S16"/>
  <c r="P12" i="23"/>
  <c r="AP680" i="21"/>
  <c r="P46" i="23"/>
  <c r="X19" i="21"/>
  <c r="BQ17" i="23"/>
  <c r="BR17"/>
  <c r="BA30"/>
  <c r="BR30"/>
  <c r="AG7"/>
  <c r="Z17" i="22"/>
  <c r="AB95" i="21"/>
  <c r="N90" i="27"/>
  <c r="AS667" i="21"/>
  <c r="AS683"/>
  <c r="BP48" i="23"/>
  <c r="AX38"/>
  <c r="Z553" i="21"/>
  <c r="Z668"/>
  <c r="Z684"/>
  <c r="C9" i="20"/>
  <c r="BQ27" i="23"/>
  <c r="BR27"/>
  <c r="AF664" i="21"/>
  <c r="AF676"/>
  <c r="BQ43" i="23"/>
  <c r="BR43"/>
  <c r="AX18"/>
  <c r="AH663" i="21"/>
  <c r="BO10" i="23"/>
  <c r="AX25"/>
  <c r="AG28"/>
  <c r="I75" i="8"/>
  <c r="S75"/>
  <c r="S94"/>
  <c r="G94"/>
  <c r="O48"/>
  <c r="F48"/>
  <c r="Q102"/>
  <c r="O76"/>
  <c r="S67"/>
  <c r="E46"/>
  <c r="F46"/>
  <c r="U44"/>
  <c r="G44"/>
  <c r="P23" i="23"/>
  <c r="AR36"/>
  <c r="I36"/>
  <c r="BA49"/>
  <c r="BQ19"/>
  <c r="BL19"/>
  <c r="BM19"/>
  <c r="BR28"/>
  <c r="BQ28"/>
  <c r="AQ23"/>
  <c r="H23"/>
  <c r="AX23"/>
  <c r="I42"/>
  <c r="AA42"/>
  <c r="BR20"/>
  <c r="BP19"/>
  <c r="BR19"/>
  <c r="BQ51"/>
  <c r="BR51"/>
  <c r="AI38"/>
  <c r="AJ38"/>
  <c r="BQ18"/>
  <c r="BR18"/>
  <c r="BQ48"/>
  <c r="BQ20"/>
  <c r="BQ16"/>
  <c r="BR16"/>
  <c r="AJ58"/>
  <c r="BQ26"/>
  <c r="BR26"/>
  <c r="W667" i="21"/>
  <c r="W664"/>
  <c r="W663"/>
  <c r="AB665" i="22"/>
  <c r="H60" i="8"/>
  <c r="AX24" i="23"/>
  <c r="Z680" i="22"/>
  <c r="Z23"/>
  <c r="Y370" i="21"/>
  <c r="Z364"/>
  <c r="Z370"/>
  <c r="F74" i="24"/>
  <c r="J49" i="20"/>
  <c r="P27" i="27"/>
  <c r="R27"/>
  <c r="AA449" i="22"/>
  <c r="Z469"/>
  <c r="Z553"/>
  <c r="Z668"/>
  <c r="Z684"/>
  <c r="L9" i="20"/>
  <c r="AS11" i="23"/>
  <c r="J11"/>
  <c r="L27" i="20"/>
  <c r="Y95" i="22"/>
  <c r="Z87"/>
  <c r="BF7" i="27"/>
  <c r="AW19"/>
  <c r="AX7"/>
  <c r="AJ10" i="23"/>
  <c r="AX9"/>
  <c r="E70" i="24"/>
  <c r="J18"/>
  <c r="AA30" i="23"/>
  <c r="I30"/>
  <c r="Z7"/>
  <c r="H7"/>
  <c r="P7"/>
  <c r="AS20"/>
  <c r="J20"/>
  <c r="L31" i="20"/>
  <c r="R72" i="8"/>
  <c r="C21" i="10"/>
  <c r="AR12" i="23"/>
  <c r="I12"/>
  <c r="H48"/>
  <c r="P48"/>
  <c r="AQ48"/>
  <c r="AB381" i="21"/>
  <c r="X389"/>
  <c r="G43" i="23"/>
  <c r="Y43"/>
  <c r="R58" i="8"/>
  <c r="C14" i="10"/>
  <c r="K72" i="24"/>
  <c r="E64"/>
  <c r="R17" i="17"/>
  <c r="R10" i="24"/>
  <c r="Q11"/>
  <c r="Q19"/>
  <c r="BB21" i="23"/>
  <c r="AS16"/>
  <c r="J16"/>
  <c r="BO24"/>
  <c r="I27"/>
  <c r="AA27"/>
  <c r="AI11"/>
  <c r="AJ11"/>
  <c r="I31"/>
  <c r="AA31"/>
  <c r="Y360" i="21"/>
  <c r="Z348"/>
  <c r="Z360"/>
  <c r="Z33" i="23"/>
  <c r="H33"/>
  <c r="AG33"/>
  <c r="D55" i="17"/>
  <c r="BI49" i="23"/>
  <c r="I49"/>
  <c r="Z681" i="21"/>
  <c r="C6" i="20"/>
  <c r="Z95" i="21"/>
  <c r="F73" i="8"/>
  <c r="O73"/>
  <c r="AU58" i="23"/>
  <c r="AA47"/>
  <c r="I47"/>
  <c r="AS680" i="22"/>
  <c r="AS686"/>
  <c r="AS663"/>
  <c r="AS676"/>
  <c r="AR39" i="23"/>
  <c r="CC54" i="27"/>
  <c r="CD54"/>
  <c r="CF54"/>
  <c r="CI54"/>
  <c r="CJ54"/>
  <c r="DN54"/>
  <c r="DN66"/>
  <c r="BU54"/>
  <c r="BW54"/>
  <c r="BZ54"/>
  <c r="CA54"/>
  <c r="F76" i="8"/>
  <c r="P77"/>
  <c r="AQ24" i="23"/>
  <c r="AR25"/>
  <c r="BR48"/>
  <c r="AH664" i="21"/>
  <c r="AH676"/>
  <c r="AL676"/>
  <c r="AB434" i="22"/>
  <c r="AB667"/>
  <c r="AB683"/>
  <c r="AA553" i="21"/>
  <c r="AM676" i="22"/>
  <c r="P39" i="23"/>
  <c r="Y226" i="21"/>
  <c r="AJ663"/>
  <c r="AP9" i="23"/>
  <c r="AG664" i="21"/>
  <c r="BO39" i="23"/>
  <c r="AQ680" i="21"/>
  <c r="AQ686"/>
  <c r="AR17" i="23"/>
  <c r="I17"/>
  <c r="BO9"/>
  <c r="C97" i="20"/>
  <c r="C89"/>
  <c r="D9"/>
  <c r="AX37" i="23"/>
  <c r="AJ670" i="21"/>
  <c r="AJ665"/>
  <c r="AS19" i="23"/>
  <c r="J19"/>
  <c r="D21"/>
  <c r="D8"/>
  <c r="BC8"/>
  <c r="BC4"/>
  <c r="BC3"/>
  <c r="O132" i="8"/>
  <c r="P132"/>
  <c r="AR41" i="23"/>
  <c r="I41"/>
  <c r="R16" i="17"/>
  <c r="V16"/>
  <c r="V15"/>
  <c r="Y280" i="22"/>
  <c r="Z252"/>
  <c r="Z280"/>
  <c r="AB25" i="23"/>
  <c r="AH25"/>
  <c r="AS33"/>
  <c r="R61" i="8"/>
  <c r="C17" i="10"/>
  <c r="K18" i="17"/>
  <c r="L17"/>
  <c r="L18"/>
  <c r="AQ35" i="23"/>
  <c r="H35"/>
  <c r="P35"/>
  <c r="M98" i="20"/>
  <c r="M31"/>
  <c r="N10"/>
  <c r="BJ50" i="23"/>
  <c r="J50"/>
  <c r="AR13"/>
  <c r="I13"/>
  <c r="AR18"/>
  <c r="I18"/>
  <c r="D12" i="24"/>
  <c r="E11"/>
  <c r="X665" i="22"/>
  <c r="X664"/>
  <c r="X663"/>
  <c r="X687"/>
  <c r="BJ58" i="23"/>
  <c r="J58"/>
  <c r="AI17"/>
  <c r="AJ17"/>
  <c r="Z57"/>
  <c r="Y54"/>
  <c r="H57"/>
  <c r="AG57"/>
  <c r="AT53"/>
  <c r="K53"/>
  <c r="Q53"/>
  <c r="AY53"/>
  <c r="Z52"/>
  <c r="H52"/>
  <c r="P52"/>
  <c r="AG52"/>
  <c r="AB35"/>
  <c r="H59"/>
  <c r="P59"/>
  <c r="Z59"/>
  <c r="AG59"/>
  <c r="AB602" i="22"/>
  <c r="AB670"/>
  <c r="AB685"/>
  <c r="AB681"/>
  <c r="AA614" i="21"/>
  <c r="Z662"/>
  <c r="Z671"/>
  <c r="Z685"/>
  <c r="C10" i="20"/>
  <c r="BH9" i="23"/>
  <c r="BI10"/>
  <c r="AI49"/>
  <c r="AJ49"/>
  <c r="AE20"/>
  <c r="AS682" i="21"/>
  <c r="AI670"/>
  <c r="AI665"/>
  <c r="N59" i="20"/>
  <c r="R55"/>
  <c r="S55"/>
  <c r="C61"/>
  <c r="AP686" i="22"/>
  <c r="AE19" i="23"/>
  <c r="Y379" i="21"/>
  <c r="Z373"/>
  <c r="Z379"/>
  <c r="H86" i="27"/>
  <c r="BR66"/>
  <c r="AZ51" i="23"/>
  <c r="BA51"/>
  <c r="AK676" i="21"/>
  <c r="AI676" i="22"/>
  <c r="E19" i="24"/>
  <c r="Z226" i="21"/>
  <c r="G32" i="23"/>
  <c r="AQ676" i="22"/>
  <c r="AI663" i="21"/>
  <c r="AX35" i="23"/>
  <c r="D75" i="17"/>
  <c r="A75"/>
  <c r="N6" i="20"/>
  <c r="N94"/>
  <c r="N27"/>
  <c r="M94"/>
  <c r="M27"/>
  <c r="Y296" i="21"/>
  <c r="Z284"/>
  <c r="Z296"/>
  <c r="AJ39" i="23"/>
  <c r="S131" i="8"/>
  <c r="I131"/>
  <c r="S129"/>
  <c r="I129"/>
  <c r="O57"/>
  <c r="F57"/>
  <c r="R65"/>
  <c r="S65"/>
  <c r="I62"/>
  <c r="C117" i="20"/>
  <c r="F105" i="8"/>
  <c r="P49"/>
  <c r="AB433" i="21"/>
  <c r="Y427"/>
  <c r="Z147"/>
  <c r="Z159"/>
  <c r="Y159"/>
  <c r="AG24" i="23"/>
  <c r="AG8"/>
  <c r="G52" i="17"/>
  <c r="G56"/>
  <c r="H39" i="20"/>
  <c r="P39"/>
  <c r="G90" i="27"/>
  <c r="O90"/>
  <c r="O86"/>
  <c r="C51" i="20"/>
  <c r="C14"/>
  <c r="R19" i="17"/>
  <c r="S17" i="20"/>
  <c r="AA34" i="23"/>
  <c r="I34"/>
  <c r="AR10"/>
  <c r="I10"/>
  <c r="H24"/>
  <c r="P25"/>
  <c r="AS21" i="21"/>
  <c r="AS670"/>
  <c r="AS685"/>
  <c r="AP670"/>
  <c r="AP685"/>
  <c r="AP686"/>
  <c r="Y169" i="22"/>
  <c r="Z167"/>
  <c r="Z169"/>
  <c r="K16" i="24"/>
  <c r="O15"/>
  <c r="M15"/>
  <c r="Z395" i="21"/>
  <c r="Z405"/>
  <c r="Y405"/>
  <c r="Z40" i="23"/>
  <c r="H40"/>
  <c r="P40"/>
  <c r="Y37"/>
  <c r="Y32"/>
  <c r="AG40"/>
  <c r="AS55"/>
  <c r="AR54"/>
  <c r="J55"/>
  <c r="S132" i="8"/>
  <c r="I132"/>
  <c r="Q39"/>
  <c r="E39"/>
  <c r="G43" i="20"/>
  <c r="G117"/>
  <c r="AQ22" i="23"/>
  <c r="H22"/>
  <c r="P22"/>
  <c r="AX22"/>
  <c r="L117" i="20"/>
  <c r="R43"/>
  <c r="AD36" i="23"/>
  <c r="AB602" i="21"/>
  <c r="AB670"/>
  <c r="AB681"/>
  <c r="S15" i="20"/>
  <c r="AB421" i="21"/>
  <c r="AS19"/>
  <c r="AS665"/>
  <c r="AS664"/>
  <c r="AI16" i="23"/>
  <c r="AJ16"/>
  <c r="AQ665" i="21"/>
  <c r="AQ664"/>
  <c r="AQ676"/>
  <c r="AB19"/>
  <c r="X680"/>
  <c r="X686"/>
  <c r="X23"/>
  <c r="X189"/>
  <c r="Y296" i="22"/>
  <c r="Z282"/>
  <c r="Z296"/>
  <c r="F73" i="17"/>
  <c r="D47" i="20"/>
  <c r="D51"/>
  <c r="D118"/>
  <c r="C29" i="27"/>
  <c r="BM54" i="23"/>
  <c r="BQ56"/>
  <c r="F132" i="8"/>
  <c r="E132"/>
  <c r="Y226" i="22"/>
  <c r="Y434"/>
  <c r="Y667"/>
  <c r="Z222"/>
  <c r="Z226"/>
  <c r="Z434"/>
  <c r="Z667"/>
  <c r="Z683"/>
  <c r="L8" i="20"/>
  <c r="E63"/>
  <c r="D21"/>
  <c r="AR29" i="23"/>
  <c r="I29"/>
  <c r="AQ7" i="27"/>
  <c r="AO19"/>
  <c r="I9" i="24"/>
  <c r="J8"/>
  <c r="AQ14" i="23"/>
  <c r="H14"/>
  <c r="P14"/>
  <c r="F72" i="17"/>
  <c r="AS56" i="23"/>
  <c r="J56"/>
  <c r="AQ38"/>
  <c r="AP37"/>
  <c r="AP32"/>
  <c r="H38"/>
  <c r="H37"/>
  <c r="D15" i="17"/>
  <c r="D21"/>
  <c r="I15"/>
  <c r="A11" i="20"/>
  <c r="E62"/>
  <c r="O62"/>
  <c r="D20"/>
  <c r="AR46" i="23"/>
  <c r="I46"/>
  <c r="K14" i="17"/>
  <c r="L13"/>
  <c r="L14"/>
  <c r="D43" i="20"/>
  <c r="D117"/>
  <c r="O39"/>
  <c r="D14"/>
  <c r="D18"/>
  <c r="AA28" i="23"/>
  <c r="I28"/>
  <c r="D25" i="27"/>
  <c r="N25"/>
  <c r="AH19"/>
  <c r="AS15" i="23"/>
  <c r="J15"/>
  <c r="I93" i="8"/>
  <c r="I74"/>
  <c r="S74"/>
  <c r="Y421" i="21"/>
  <c r="Z407"/>
  <c r="Z421"/>
  <c r="C65" i="24"/>
  <c r="C66"/>
  <c r="C59"/>
  <c r="E59"/>
  <c r="M72"/>
  <c r="M82"/>
  <c r="E58"/>
  <c r="H67" i="8"/>
  <c r="E65" i="17"/>
  <c r="G75" i="24"/>
  <c r="G74"/>
  <c r="AO21" i="23"/>
  <c r="Z44"/>
  <c r="H44"/>
  <c r="P44"/>
  <c r="AG44"/>
  <c r="AM21"/>
  <c r="O74" i="24"/>
  <c r="Y193" i="21"/>
  <c r="Y666"/>
  <c r="Z191"/>
  <c r="Z193"/>
  <c r="Z666"/>
  <c r="C79" i="24"/>
  <c r="BH24" i="23"/>
  <c r="BI25"/>
  <c r="E64" i="20"/>
  <c r="D22"/>
  <c r="BJ45" i="23"/>
  <c r="J45"/>
  <c r="BH39"/>
  <c r="BG37"/>
  <c r="BG32"/>
  <c r="O105" i="8"/>
  <c r="E102"/>
  <c r="BL35" i="23"/>
  <c r="L11" i="17"/>
  <c r="L12"/>
  <c r="K12"/>
  <c r="AE23" i="23"/>
  <c r="H51"/>
  <c r="P51"/>
  <c r="Z51"/>
  <c r="AG51"/>
  <c r="F117" i="20"/>
  <c r="J26" i="23"/>
  <c r="AB26"/>
  <c r="AM676" i="21"/>
  <c r="AB553"/>
  <c r="AB668"/>
  <c r="AB684"/>
  <c r="AP664"/>
  <c r="AP676"/>
  <c r="F66" i="17"/>
  <c r="H9" i="23"/>
  <c r="AG676" i="21"/>
  <c r="X434"/>
  <c r="X667"/>
  <c r="X683"/>
  <c r="AI19" i="23"/>
  <c r="AJ19"/>
  <c r="G75" i="8"/>
  <c r="Q75"/>
  <c r="E94"/>
  <c r="Q94"/>
  <c r="F94"/>
  <c r="P57"/>
  <c r="P48"/>
  <c r="P76"/>
  <c r="O102"/>
  <c r="H62"/>
  <c r="P46"/>
  <c r="P73"/>
  <c r="O46"/>
  <c r="Q44"/>
  <c r="E44"/>
  <c r="AS36" i="23"/>
  <c r="J36"/>
  <c r="AB42"/>
  <c r="J42"/>
  <c r="AR23"/>
  <c r="I23"/>
  <c r="AY36"/>
  <c r="J65" i="8"/>
  <c r="G64" i="17"/>
  <c r="C98" i="20"/>
  <c r="D10"/>
  <c r="T117"/>
  <c r="T43"/>
  <c r="DP66" i="27"/>
  <c r="I58" i="8"/>
  <c r="BK45" i="23"/>
  <c r="K45"/>
  <c r="Q45"/>
  <c r="AO8"/>
  <c r="AO4"/>
  <c r="AO3"/>
  <c r="AT15"/>
  <c r="K15"/>
  <c r="Q15"/>
  <c r="AT56"/>
  <c r="K56"/>
  <c r="Q56"/>
  <c r="AY56"/>
  <c r="F63" i="20"/>
  <c r="E21"/>
  <c r="O21"/>
  <c r="O63"/>
  <c r="AR22" i="23"/>
  <c r="I22"/>
  <c r="M16" i="24"/>
  <c r="O16"/>
  <c r="O21"/>
  <c r="O22"/>
  <c r="C18" i="20"/>
  <c r="I51" i="23"/>
  <c r="AA51"/>
  <c r="T132" i="8"/>
  <c r="J132"/>
  <c r="BM35" i="23"/>
  <c r="BI39"/>
  <c r="BH37"/>
  <c r="BH32"/>
  <c r="F64" i="20"/>
  <c r="E22"/>
  <c r="O22"/>
  <c r="AA44" i="23"/>
  <c r="I44"/>
  <c r="R67" i="8"/>
  <c r="S93"/>
  <c r="I91"/>
  <c r="AB28" i="23"/>
  <c r="J28"/>
  <c r="Q129" i="8"/>
  <c r="K129"/>
  <c r="U129"/>
  <c r="G129"/>
  <c r="AS46" i="23"/>
  <c r="J46"/>
  <c r="J15" i="17"/>
  <c r="I16"/>
  <c r="AR38" i="23"/>
  <c r="AQ37"/>
  <c r="I38"/>
  <c r="AR14"/>
  <c r="I14"/>
  <c r="AS29"/>
  <c r="J29"/>
  <c r="AT55"/>
  <c r="K55"/>
  <c r="Q55"/>
  <c r="AS54"/>
  <c r="AA40"/>
  <c r="I40"/>
  <c r="Z37"/>
  <c r="AS10"/>
  <c r="AR9"/>
  <c r="J10"/>
  <c r="C118" i="20"/>
  <c r="S62" i="8"/>
  <c r="D18" i="10"/>
  <c r="AI20" i="23"/>
  <c r="AJ20"/>
  <c r="BI9"/>
  <c r="BJ10"/>
  <c r="AU53"/>
  <c r="L53"/>
  <c r="AA57"/>
  <c r="Z54"/>
  <c r="I57"/>
  <c r="BK58"/>
  <c r="BP58"/>
  <c r="K58"/>
  <c r="Q58"/>
  <c r="D13" i="24"/>
  <c r="E12"/>
  <c r="BK50" i="23"/>
  <c r="K50"/>
  <c r="Q50"/>
  <c r="BP50"/>
  <c r="AT33"/>
  <c r="AY33"/>
  <c r="AT19"/>
  <c r="K19"/>
  <c r="Q19"/>
  <c r="AA668" i="21"/>
  <c r="AS39" i="23"/>
  <c r="J39"/>
  <c r="AV58"/>
  <c r="BJ49"/>
  <c r="J49"/>
  <c r="AT16"/>
  <c r="K16"/>
  <c r="Q16"/>
  <c r="AY16"/>
  <c r="Q12" i="24"/>
  <c r="R11"/>
  <c r="AB389" i="21"/>
  <c r="AB434"/>
  <c r="AB667"/>
  <c r="AB683"/>
  <c r="Y381"/>
  <c r="Z95" i="22"/>
  <c r="Z682"/>
  <c r="L7" i="20"/>
  <c r="O17" i="24"/>
  <c r="AI9" i="23"/>
  <c r="AB664" i="22"/>
  <c r="I59" i="8"/>
  <c r="I9" i="23"/>
  <c r="AC26"/>
  <c r="K26"/>
  <c r="Q26"/>
  <c r="AH26"/>
  <c r="AI23"/>
  <c r="AJ23"/>
  <c r="Y19" i="21"/>
  <c r="AB680"/>
  <c r="AB23"/>
  <c r="AB189"/>
  <c r="AE36" i="23"/>
  <c r="R117" i="20"/>
  <c r="P24" i="23"/>
  <c r="J34"/>
  <c r="AB34"/>
  <c r="H43" i="20"/>
  <c r="AX32" i="23"/>
  <c r="D61" i="20"/>
  <c r="C67"/>
  <c r="C19"/>
  <c r="AB614" i="21"/>
  <c r="AB662"/>
  <c r="AB671"/>
  <c r="AB685"/>
  <c r="AA662"/>
  <c r="AA671"/>
  <c r="AA59" i="23"/>
  <c r="I59"/>
  <c r="AS18"/>
  <c r="J18"/>
  <c r="J131" i="8"/>
  <c r="T131"/>
  <c r="C30" i="20"/>
  <c r="BO37" i="23"/>
  <c r="BO32"/>
  <c r="C94" i="20"/>
  <c r="D6"/>
  <c r="AB27" i="23"/>
  <c r="J27"/>
  <c r="I7"/>
  <c r="AA7"/>
  <c r="BO7" i="27"/>
  <c r="BG7"/>
  <c r="BF19"/>
  <c r="AB449" i="22"/>
  <c r="AB469"/>
  <c r="AB553"/>
  <c r="AB668"/>
  <c r="AB684"/>
  <c r="AB686"/>
  <c r="AA469"/>
  <c r="AA553"/>
  <c r="AN21" i="23"/>
  <c r="L5" i="20"/>
  <c r="Z686" i="22"/>
  <c r="BQ35" i="23"/>
  <c r="AH28"/>
  <c r="AY46"/>
  <c r="AY29"/>
  <c r="AS680" i="21"/>
  <c r="AS686"/>
  <c r="K17" i="24"/>
  <c r="AQ9" i="23"/>
  <c r="O43" i="20"/>
  <c r="M21" i="24"/>
  <c r="M22"/>
  <c r="AI664" i="21"/>
  <c r="BP10" i="23"/>
  <c r="AA24"/>
  <c r="AA8"/>
  <c r="E66" i="17"/>
  <c r="I39" i="23"/>
  <c r="AS687" i="22"/>
  <c r="BP49" i="23"/>
  <c r="P9"/>
  <c r="AJ9"/>
  <c r="R94" i="20"/>
  <c r="AB663" i="22"/>
  <c r="O64" i="20"/>
  <c r="BP45" i="23"/>
  <c r="L72" i="24"/>
  <c r="E65"/>
  <c r="E66"/>
  <c r="F62" i="20"/>
  <c r="E20"/>
  <c r="O20"/>
  <c r="I10" i="24"/>
  <c r="J9"/>
  <c r="G70"/>
  <c r="Y433" i="21"/>
  <c r="Z427"/>
  <c r="Z433"/>
  <c r="O117" i="20"/>
  <c r="C18" i="10"/>
  <c r="R62" i="8"/>
  <c r="N119" i="20"/>
  <c r="R119"/>
  <c r="S119"/>
  <c r="R59"/>
  <c r="S59"/>
  <c r="AC35" i="23"/>
  <c r="AH35"/>
  <c r="P57"/>
  <c r="H54"/>
  <c r="AS13"/>
  <c r="J13"/>
  <c r="K131" i="8"/>
  <c r="Q131"/>
  <c r="G131"/>
  <c r="U131"/>
  <c r="AC25" i="23"/>
  <c r="J86" i="27"/>
  <c r="CJ66"/>
  <c r="J47" i="23"/>
  <c r="AB47"/>
  <c r="I33"/>
  <c r="AA33"/>
  <c r="AB31"/>
  <c r="J31"/>
  <c r="C21"/>
  <c r="BB8"/>
  <c r="BB4"/>
  <c r="BB3"/>
  <c r="R18" i="17"/>
  <c r="AR48" i="23"/>
  <c r="I48"/>
  <c r="AS12"/>
  <c r="J12"/>
  <c r="J30"/>
  <c r="AB30"/>
  <c r="AB24"/>
  <c r="AB8"/>
  <c r="L97" i="20"/>
  <c r="L89"/>
  <c r="M9"/>
  <c r="R60" i="8"/>
  <c r="C16" i="10"/>
  <c r="AJ676" i="21"/>
  <c r="Z682"/>
  <c r="C7" i="20"/>
  <c r="R27"/>
  <c r="AE11" i="17"/>
  <c r="AE12"/>
  <c r="Z189" i="22"/>
  <c r="AY15" i="23"/>
  <c r="AY19"/>
  <c r="K132" i="8"/>
  <c r="U132"/>
  <c r="BI24" i="23"/>
  <c r="BJ25"/>
  <c r="AW21"/>
  <c r="AM8"/>
  <c r="AM4"/>
  <c r="AM3"/>
  <c r="E47" i="20"/>
  <c r="O47"/>
  <c r="D29" i="27"/>
  <c r="N29"/>
  <c r="T129" i="8"/>
  <c r="J129"/>
  <c r="F70" i="24"/>
  <c r="E25" i="27"/>
  <c r="AQ19"/>
  <c r="M8" i="20"/>
  <c r="L88"/>
  <c r="L96"/>
  <c r="BQ54" i="23"/>
  <c r="BR56"/>
  <c r="BR54"/>
  <c r="X665" i="21"/>
  <c r="X664"/>
  <c r="X663"/>
  <c r="X687"/>
  <c r="O39" i="8"/>
  <c r="F39"/>
  <c r="AG37" i="23"/>
  <c r="R20" i="17"/>
  <c r="V19"/>
  <c r="V20"/>
  <c r="P105" i="8"/>
  <c r="F102"/>
  <c r="I39" i="20"/>
  <c r="H90" i="27"/>
  <c r="P86"/>
  <c r="R86"/>
  <c r="I52" i="23"/>
  <c r="AA52"/>
  <c r="AG54"/>
  <c r="N98" i="20"/>
  <c r="N31"/>
  <c r="R31"/>
  <c r="AE19" i="17"/>
  <c r="AE20"/>
  <c r="R10" i="20"/>
  <c r="P19" i="17"/>
  <c r="AR35" i="23"/>
  <c r="I35"/>
  <c r="AQ32"/>
  <c r="AS41"/>
  <c r="J41"/>
  <c r="E9" i="20"/>
  <c r="D89"/>
  <c r="D97"/>
  <c r="AS17" i="23"/>
  <c r="J17"/>
  <c r="AS25"/>
  <c r="AR24"/>
  <c r="CA66" i="27"/>
  <c r="I86"/>
  <c r="H32" i="23"/>
  <c r="P33"/>
  <c r="H75" i="24"/>
  <c r="H74"/>
  <c r="AP21" i="23"/>
  <c r="AP8"/>
  <c r="AP4"/>
  <c r="AP3"/>
  <c r="R19" i="24"/>
  <c r="K82"/>
  <c r="Q82"/>
  <c r="Q72"/>
  <c r="Z43" i="23"/>
  <c r="H43"/>
  <c r="P43"/>
  <c r="AG43"/>
  <c r="AT20"/>
  <c r="K20"/>
  <c r="Q20"/>
  <c r="AY20"/>
  <c r="E80" i="24"/>
  <c r="E69"/>
  <c r="O70"/>
  <c r="AZ7" i="27"/>
  <c r="AX19"/>
  <c r="AT11" i="23"/>
  <c r="K11"/>
  <c r="Q11"/>
  <c r="AY11"/>
  <c r="J16" i="20"/>
  <c r="Q16"/>
  <c r="Q49"/>
  <c r="S49"/>
  <c r="P38" i="23"/>
  <c r="K21" i="24"/>
  <c r="R6" i="20"/>
  <c r="P11" i="17"/>
  <c r="I24" i="23"/>
  <c r="AI676" i="21"/>
  <c r="AS663"/>
  <c r="AS676"/>
  <c r="AY13" i="23"/>
  <c r="J25"/>
  <c r="AJ664" i="21"/>
  <c r="AY39" i="23"/>
  <c r="AZ58"/>
  <c r="BA58"/>
  <c r="AH31"/>
  <c r="AY12"/>
  <c r="Y189" i="22"/>
  <c r="F80" i="17"/>
  <c r="AY55" i="23"/>
  <c r="E75" i="8"/>
  <c r="O75"/>
  <c r="O94"/>
  <c r="F75"/>
  <c r="P75"/>
  <c r="P94"/>
  <c r="P102"/>
  <c r="O44"/>
  <c r="F44"/>
  <c r="Q42" i="23"/>
  <c r="AC42"/>
  <c r="K42"/>
  <c r="AT36"/>
  <c r="K36"/>
  <c r="Q36"/>
  <c r="AS23"/>
  <c r="J23"/>
  <c r="AG32"/>
  <c r="AH42"/>
  <c r="W11" i="17"/>
  <c r="W15"/>
  <c r="W13"/>
  <c r="T66" i="24"/>
  <c r="D11" i="26"/>
  <c r="E11"/>
  <c r="S66" i="24"/>
  <c r="B76" i="17"/>
  <c r="J24" i="23"/>
  <c r="P37"/>
  <c r="AZ19" i="27"/>
  <c r="F25"/>
  <c r="J39" i="20"/>
  <c r="I90" i="27"/>
  <c r="F9" i="20"/>
  <c r="E97"/>
  <c r="O97"/>
  <c r="E89"/>
  <c r="O9"/>
  <c r="AB52" i="23"/>
  <c r="J52"/>
  <c r="I43" i="20"/>
  <c r="M96"/>
  <c r="M88"/>
  <c r="N8"/>
  <c r="Z663" i="22"/>
  <c r="Z687"/>
  <c r="Z665"/>
  <c r="Z664"/>
  <c r="AT12" i="23"/>
  <c r="K12"/>
  <c r="Q12"/>
  <c r="C8"/>
  <c r="AD25"/>
  <c r="P131" i="8"/>
  <c r="O131"/>
  <c r="I11" i="24"/>
  <c r="J10"/>
  <c r="L82"/>
  <c r="R82"/>
  <c r="R72"/>
  <c r="H76" i="17"/>
  <c r="BI7" i="27"/>
  <c r="BG19"/>
  <c r="AB59" i="23"/>
  <c r="J59"/>
  <c r="C120" i="20"/>
  <c r="H117"/>
  <c r="P43"/>
  <c r="AI36" i="23"/>
  <c r="AJ36"/>
  <c r="AD26"/>
  <c r="L26"/>
  <c r="S59" i="8"/>
  <c r="D15" i="10"/>
  <c r="Q13" i="24"/>
  <c r="R12"/>
  <c r="J75"/>
  <c r="J74"/>
  <c r="AR21" i="23"/>
  <c r="BL58"/>
  <c r="L58"/>
  <c r="J57"/>
  <c r="J54"/>
  <c r="AB57"/>
  <c r="AA54"/>
  <c r="BK10"/>
  <c r="BJ9"/>
  <c r="K15" i="17"/>
  <c r="J16"/>
  <c r="AC28" i="23"/>
  <c r="K28"/>
  <c r="Q28"/>
  <c r="AB44"/>
  <c r="J44"/>
  <c r="AS22"/>
  <c r="J22"/>
  <c r="AU15"/>
  <c r="L15"/>
  <c r="BL45"/>
  <c r="L45"/>
  <c r="E10" i="20"/>
  <c r="D98"/>
  <c r="D31"/>
  <c r="T65" i="8"/>
  <c r="AH30" i="23"/>
  <c r="R98" i="20"/>
  <c r="P74" i="24"/>
  <c r="N17"/>
  <c r="I19"/>
  <c r="AY54" i="23"/>
  <c r="I43"/>
  <c r="AA43"/>
  <c r="Y665" i="22"/>
  <c r="Y664"/>
  <c r="Y663"/>
  <c r="H48" i="17"/>
  <c r="K22" i="24"/>
  <c r="T17" i="17"/>
  <c r="S16" i="20"/>
  <c r="E79" i="24"/>
  <c r="O79"/>
  <c r="O80"/>
  <c r="AS24" i="23"/>
  <c r="AT25"/>
  <c r="AY25"/>
  <c r="P20" i="17"/>
  <c r="AJ19"/>
  <c r="P39" i="8"/>
  <c r="L29" i="20"/>
  <c r="F47"/>
  <c r="E29" i="27"/>
  <c r="AW8" i="23"/>
  <c r="AW4"/>
  <c r="AW3"/>
  <c r="C95" i="20"/>
  <c r="C87"/>
  <c r="D7"/>
  <c r="L30"/>
  <c r="J48" i="23"/>
  <c r="AS48"/>
  <c r="J33"/>
  <c r="AB33"/>
  <c r="K47"/>
  <c r="Q47"/>
  <c r="AC47"/>
  <c r="AH47"/>
  <c r="E131" i="8"/>
  <c r="F131"/>
  <c r="AT13" i="23"/>
  <c r="K13"/>
  <c r="Q13"/>
  <c r="AD35"/>
  <c r="G80" i="24"/>
  <c r="G79"/>
  <c r="G69"/>
  <c r="BF21" i="23"/>
  <c r="AX21"/>
  <c r="AX8"/>
  <c r="AX4"/>
  <c r="AX3"/>
  <c r="AN8"/>
  <c r="AN4"/>
  <c r="AN3"/>
  <c r="J7"/>
  <c r="AB7"/>
  <c r="C27" i="20"/>
  <c r="AT18" i="23"/>
  <c r="K18"/>
  <c r="Q18"/>
  <c r="AY18"/>
  <c r="C25" i="20"/>
  <c r="Y23" i="21"/>
  <c r="Y189"/>
  <c r="Z19"/>
  <c r="Y389"/>
  <c r="Y434"/>
  <c r="Y667"/>
  <c r="Z381"/>
  <c r="Z389"/>
  <c r="Z434"/>
  <c r="Z667"/>
  <c r="Z683"/>
  <c r="C8" i="20"/>
  <c r="I75" i="24"/>
  <c r="AU16" i="23"/>
  <c r="L16"/>
  <c r="AU33"/>
  <c r="BL50"/>
  <c r="L50"/>
  <c r="AV53"/>
  <c r="N53"/>
  <c r="M53"/>
  <c r="AT29"/>
  <c r="K29"/>
  <c r="Q29"/>
  <c r="I37"/>
  <c r="H130" i="8"/>
  <c r="R130"/>
  <c r="I21" i="17"/>
  <c r="F129" i="8"/>
  <c r="E129"/>
  <c r="J51" i="23"/>
  <c r="AB51"/>
  <c r="G63" i="20"/>
  <c r="F21"/>
  <c r="S82" i="24"/>
  <c r="D30" i="20"/>
  <c r="AB687" i="22"/>
  <c r="AA664" i="21"/>
  <c r="P12" i="17"/>
  <c r="I71" i="8"/>
  <c r="AU11" i="23"/>
  <c r="L11"/>
  <c r="BD21"/>
  <c r="O69" i="24"/>
  <c r="AU20" i="23"/>
  <c r="L20"/>
  <c r="G76" i="17"/>
  <c r="S72" i="24"/>
  <c r="I61" i="8"/>
  <c r="P32" i="23"/>
  <c r="F74" i="17"/>
  <c r="AT41" i="23"/>
  <c r="K41"/>
  <c r="Q41"/>
  <c r="AY41"/>
  <c r="AS35"/>
  <c r="J35"/>
  <c r="M97" i="20"/>
  <c r="N9"/>
  <c r="M89"/>
  <c r="K31" i="23"/>
  <c r="Q31"/>
  <c r="AC31"/>
  <c r="K39" i="20"/>
  <c r="J90" i="27"/>
  <c r="P90"/>
  <c r="R90"/>
  <c r="R91"/>
  <c r="G62" i="20"/>
  <c r="F20"/>
  <c r="BR35" i="23"/>
  <c r="L93" i="20"/>
  <c r="M5"/>
  <c r="L11"/>
  <c r="K27" i="23"/>
  <c r="Q27"/>
  <c r="AC27"/>
  <c r="AH27"/>
  <c r="AH24"/>
  <c r="AH8"/>
  <c r="E6" i="20"/>
  <c r="D94"/>
  <c r="D27"/>
  <c r="E61"/>
  <c r="D67"/>
  <c r="D120"/>
  <c r="D19"/>
  <c r="D25"/>
  <c r="AT10" i="23"/>
  <c r="K10"/>
  <c r="AY10"/>
  <c r="J40"/>
  <c r="AB40"/>
  <c r="AA37"/>
  <c r="AA32"/>
  <c r="AS14"/>
  <c r="AS9"/>
  <c r="J14"/>
  <c r="J9"/>
  <c r="AS38"/>
  <c r="J38"/>
  <c r="J37"/>
  <c r="AR37"/>
  <c r="AR32"/>
  <c r="AT46"/>
  <c r="K46"/>
  <c r="Q46"/>
  <c r="O129" i="8"/>
  <c r="P129"/>
  <c r="S91"/>
  <c r="I72"/>
  <c r="G64" i="20"/>
  <c r="F22"/>
  <c r="AU56" i="23"/>
  <c r="L56"/>
  <c r="S58" i="8"/>
  <c r="D14" i="10"/>
  <c r="C31" i="20"/>
  <c r="Z32" i="23"/>
  <c r="AS687" i="21"/>
  <c r="AH7" i="23"/>
  <c r="O89" i="20"/>
  <c r="AB686" i="21"/>
  <c r="Q20" i="24"/>
  <c r="AA663" i="21"/>
  <c r="AZ53" i="23"/>
  <c r="BA53"/>
  <c r="AH44"/>
  <c r="AT17"/>
  <c r="K17"/>
  <c r="Q17"/>
  <c r="AY17"/>
  <c r="F80" i="24"/>
  <c r="F69"/>
  <c r="E51" i="20"/>
  <c r="E14"/>
  <c r="BJ24" i="23"/>
  <c r="BK25"/>
  <c r="BP25"/>
  <c r="K30"/>
  <c r="Q30"/>
  <c r="AC30"/>
  <c r="I32"/>
  <c r="P54"/>
  <c r="BP9"/>
  <c r="AA668" i="22"/>
  <c r="AA663"/>
  <c r="BP7" i="27"/>
  <c r="BX7"/>
  <c r="BO19"/>
  <c r="AC34" i="23"/>
  <c r="K34"/>
  <c r="Q34"/>
  <c r="AH34"/>
  <c r="AB665" i="21"/>
  <c r="AB664"/>
  <c r="AB663"/>
  <c r="AB687"/>
  <c r="G92" i="17"/>
  <c r="L95" i="20"/>
  <c r="L87"/>
  <c r="M7"/>
  <c r="BK49" i="23"/>
  <c r="K49"/>
  <c r="Q49"/>
  <c r="AT39"/>
  <c r="AU19"/>
  <c r="L19"/>
  <c r="E13" i="24"/>
  <c r="D14"/>
  <c r="I54" i="23"/>
  <c r="L55"/>
  <c r="AT54"/>
  <c r="AU55"/>
  <c r="BJ39"/>
  <c r="K39"/>
  <c r="Q39"/>
  <c r="BI37"/>
  <c r="BI32"/>
  <c r="M17" i="24"/>
  <c r="L17"/>
  <c r="P75"/>
  <c r="K25" i="23"/>
  <c r="K24"/>
  <c r="R53"/>
  <c r="S53"/>
  <c r="AR8"/>
  <c r="O10" i="20"/>
  <c r="M29"/>
  <c r="P44" i="8"/>
  <c r="L25" i="23"/>
  <c r="AT23"/>
  <c r="K23"/>
  <c r="Q23"/>
  <c r="AY23"/>
  <c r="AD42"/>
  <c r="L42"/>
  <c r="AU36"/>
  <c r="L36"/>
  <c r="M30" i="20"/>
  <c r="E30"/>
  <c r="O30"/>
  <c r="G73" i="17"/>
  <c r="D15" i="24"/>
  <c r="E14"/>
  <c r="AV19" i="23"/>
  <c r="M19"/>
  <c r="BL49"/>
  <c r="L49"/>
  <c r="L34"/>
  <c r="AD34"/>
  <c r="AD30"/>
  <c r="L30"/>
  <c r="AU17"/>
  <c r="L17"/>
  <c r="AU46"/>
  <c r="L46"/>
  <c r="AU10"/>
  <c r="L10"/>
  <c r="L99" i="20"/>
  <c r="L26"/>
  <c r="L31" i="23"/>
  <c r="AD31"/>
  <c r="AU41"/>
  <c r="L41"/>
  <c r="AV20"/>
  <c r="M20"/>
  <c r="K51"/>
  <c r="Q51"/>
  <c r="AC51"/>
  <c r="H127" i="8"/>
  <c r="R127"/>
  <c r="AU29" i="23"/>
  <c r="L29"/>
  <c r="C28" i="20"/>
  <c r="AV15" i="23"/>
  <c r="M15"/>
  <c r="AC44"/>
  <c r="K44"/>
  <c r="Q44"/>
  <c r="L15" i="17"/>
  <c r="L16"/>
  <c r="K16"/>
  <c r="K57" i="23"/>
  <c r="AB54"/>
  <c r="AC57"/>
  <c r="AH57"/>
  <c r="P117" i="20"/>
  <c r="AC59" i="23"/>
  <c r="K59"/>
  <c r="Q59"/>
  <c r="AH59"/>
  <c r="AE25"/>
  <c r="AU12"/>
  <c r="L12"/>
  <c r="I117" i="20"/>
  <c r="J43"/>
  <c r="J117"/>
  <c r="W12" i="17"/>
  <c r="BK39" i="23"/>
  <c r="BJ37"/>
  <c r="BJ32"/>
  <c r="L28" i="20"/>
  <c r="L91"/>
  <c r="J93" i="8"/>
  <c r="J74"/>
  <c r="T74"/>
  <c r="BR7" i="27"/>
  <c r="BP19"/>
  <c r="BK24" i="23"/>
  <c r="BL25"/>
  <c r="BE21"/>
  <c r="S72" i="8"/>
  <c r="D21" i="10"/>
  <c r="K38" i="23"/>
  <c r="AS37"/>
  <c r="AT38"/>
  <c r="AY38"/>
  <c r="AC40"/>
  <c r="K40"/>
  <c r="Q40"/>
  <c r="AB37"/>
  <c r="AH40"/>
  <c r="F61" i="20"/>
  <c r="E67"/>
  <c r="E120"/>
  <c r="E19"/>
  <c r="E25"/>
  <c r="O61"/>
  <c r="L27" i="23"/>
  <c r="AD27"/>
  <c r="N5" i="20"/>
  <c r="R5"/>
  <c r="P9" i="17"/>
  <c r="M93" i="20"/>
  <c r="M11"/>
  <c r="K43"/>
  <c r="K117"/>
  <c r="N89"/>
  <c r="N97"/>
  <c r="R97"/>
  <c r="R9"/>
  <c r="P17" i="17"/>
  <c r="D17" i="10"/>
  <c r="S61" i="8"/>
  <c r="S71"/>
  <c r="D20" i="10"/>
  <c r="H63" i="20"/>
  <c r="G21"/>
  <c r="AV16" i="23"/>
  <c r="N16"/>
  <c r="R16"/>
  <c r="M16"/>
  <c r="C96" i="20"/>
  <c r="C88"/>
  <c r="C91"/>
  <c r="D8"/>
  <c r="AU18" i="23"/>
  <c r="L18"/>
  <c r="BF8"/>
  <c r="BF4"/>
  <c r="BF3"/>
  <c r="G21"/>
  <c r="G8"/>
  <c r="K33"/>
  <c r="AC33"/>
  <c r="AY19" i="17"/>
  <c r="AY20"/>
  <c r="AT19"/>
  <c r="AT20"/>
  <c r="AJ20"/>
  <c r="K140" i="8"/>
  <c r="T18" i="17"/>
  <c r="V18"/>
  <c r="V17"/>
  <c r="S130" i="8"/>
  <c r="I130"/>
  <c r="J21" i="17"/>
  <c r="BM58" i="23"/>
  <c r="M58"/>
  <c r="AE26"/>
  <c r="N26"/>
  <c r="M26"/>
  <c r="H65" i="17"/>
  <c r="K67" i="8"/>
  <c r="N96" i="20"/>
  <c r="R96"/>
  <c r="N88"/>
  <c r="R8"/>
  <c r="P15" i="17"/>
  <c r="M17"/>
  <c r="W14"/>
  <c r="AR4" i="23"/>
  <c r="AR3"/>
  <c r="AV55"/>
  <c r="M55"/>
  <c r="AU54"/>
  <c r="AU39"/>
  <c r="L39"/>
  <c r="BX19" i="27"/>
  <c r="BY7"/>
  <c r="CG7"/>
  <c r="BP24" i="23"/>
  <c r="E118" i="20"/>
  <c r="O51"/>
  <c r="AV56" i="23"/>
  <c r="N56"/>
  <c r="R56"/>
  <c r="S56"/>
  <c r="B93" i="17"/>
  <c r="A93"/>
  <c r="M56" i="23"/>
  <c r="Q10"/>
  <c r="I60" i="8"/>
  <c r="BD8" i="23"/>
  <c r="BD4"/>
  <c r="BD3"/>
  <c r="BN21"/>
  <c r="E21"/>
  <c r="AV33"/>
  <c r="I74" i="24"/>
  <c r="Y665" i="21"/>
  <c r="Y664"/>
  <c r="Y663"/>
  <c r="K7" i="23"/>
  <c r="Q7"/>
  <c r="AC7"/>
  <c r="AE35"/>
  <c r="K48"/>
  <c r="Q48"/>
  <c r="AT48"/>
  <c r="AY48"/>
  <c r="D95" i="20"/>
  <c r="E7"/>
  <c r="D87"/>
  <c r="F51"/>
  <c r="F14"/>
  <c r="AU25" i="23"/>
  <c r="AT24"/>
  <c r="E98" i="20"/>
  <c r="F10"/>
  <c r="AT22" i="23"/>
  <c r="K22"/>
  <c r="Q22"/>
  <c r="AY22"/>
  <c r="L28"/>
  <c r="AD28"/>
  <c r="BL10"/>
  <c r="BK9"/>
  <c r="Q14" i="24"/>
  <c r="R13"/>
  <c r="BI19" i="27"/>
  <c r="G25"/>
  <c r="I12" i="24"/>
  <c r="J11"/>
  <c r="K52" i="23"/>
  <c r="Q52"/>
  <c r="AC52"/>
  <c r="AH52"/>
  <c r="G9" i="20"/>
  <c r="F89"/>
  <c r="F97"/>
  <c r="W16" i="17"/>
  <c r="P63" i="20"/>
  <c r="R26" i="23"/>
  <c r="S26"/>
  <c r="O67" i="20"/>
  <c r="AC24" i="23"/>
  <c r="AC8"/>
  <c r="Q39" i="20"/>
  <c r="S39"/>
  <c r="BP39" i="23"/>
  <c r="M19" i="17"/>
  <c r="E20" i="24"/>
  <c r="M95" i="20"/>
  <c r="M87"/>
  <c r="N7"/>
  <c r="AA684" i="22"/>
  <c r="AA664"/>
  <c r="E18" i="20"/>
  <c r="O14"/>
  <c r="F79" i="24"/>
  <c r="H64" i="20"/>
  <c r="G22"/>
  <c r="AT14" i="23"/>
  <c r="AT9"/>
  <c r="K14"/>
  <c r="Q14"/>
  <c r="AY14"/>
  <c r="AY9"/>
  <c r="F6" i="20"/>
  <c r="E94"/>
  <c r="E27"/>
  <c r="O6"/>
  <c r="H62"/>
  <c r="G20"/>
  <c r="AT35" i="23"/>
  <c r="AY35"/>
  <c r="AS32"/>
  <c r="K35"/>
  <c r="Q35"/>
  <c r="G65" i="17"/>
  <c r="J67" i="8"/>
  <c r="D76" i="17"/>
  <c r="A76"/>
  <c r="D30" i="4"/>
  <c r="AV11" i="23"/>
  <c r="N11"/>
  <c r="M11"/>
  <c r="AB17" i="17"/>
  <c r="BM50" i="23"/>
  <c r="N50"/>
  <c r="M50"/>
  <c r="Z680" i="21"/>
  <c r="Z23"/>
  <c r="Z189"/>
  <c r="AU13" i="23"/>
  <c r="L13"/>
  <c r="AD47"/>
  <c r="L47"/>
  <c r="AY24"/>
  <c r="H51" i="17"/>
  <c r="H49"/>
  <c r="D48"/>
  <c r="J43" i="23"/>
  <c r="AB43"/>
  <c r="AH43"/>
  <c r="BM45"/>
  <c r="M45"/>
  <c r="O120" i="20"/>
  <c r="H70" i="24"/>
  <c r="J19"/>
  <c r="G47" i="20"/>
  <c r="F29" i="27"/>
  <c r="Q38" i="23"/>
  <c r="O27" i="20"/>
  <c r="AI25" i="23"/>
  <c r="Q25"/>
  <c r="AH33"/>
  <c r="AH51"/>
  <c r="U67" i="8"/>
  <c r="AV36" i="23"/>
  <c r="N36"/>
  <c r="R36"/>
  <c r="S36"/>
  <c r="M36"/>
  <c r="AE42"/>
  <c r="N42"/>
  <c r="M42"/>
  <c r="R42"/>
  <c r="S42"/>
  <c r="R50"/>
  <c r="S50"/>
  <c r="AU23"/>
  <c r="L23"/>
  <c r="R11"/>
  <c r="S11"/>
  <c r="AZ16"/>
  <c r="BA16"/>
  <c r="AD24"/>
  <c r="AD8"/>
  <c r="AI42"/>
  <c r="AJ42"/>
  <c r="C123" i="20"/>
  <c r="G51"/>
  <c r="G118"/>
  <c r="G14"/>
  <c r="G18"/>
  <c r="M47" i="23"/>
  <c r="AE47"/>
  <c r="N47"/>
  <c r="Q37"/>
  <c r="H69" i="24"/>
  <c r="H80"/>
  <c r="P70"/>
  <c r="N45" i="23"/>
  <c r="R45"/>
  <c r="S45"/>
  <c r="BQ45"/>
  <c r="BR45"/>
  <c r="D49" i="17"/>
  <c r="I62" i="20"/>
  <c r="H20"/>
  <c r="P20"/>
  <c r="P62"/>
  <c r="I64"/>
  <c r="H22"/>
  <c r="P22"/>
  <c r="M28"/>
  <c r="M91"/>
  <c r="M123"/>
  <c r="BP37" i="23"/>
  <c r="BP32"/>
  <c r="F30" i="20"/>
  <c r="I13" i="24"/>
  <c r="J12"/>
  <c r="J70"/>
  <c r="K75"/>
  <c r="R20"/>
  <c r="BM10" i="23"/>
  <c r="BL9"/>
  <c r="E31" i="20"/>
  <c r="O31"/>
  <c r="O98"/>
  <c r="F18"/>
  <c r="E87"/>
  <c r="F7"/>
  <c r="E95"/>
  <c r="O95"/>
  <c r="O7"/>
  <c r="AQ21" i="23"/>
  <c r="BN8"/>
  <c r="BN4"/>
  <c r="BN3"/>
  <c r="G72" i="17"/>
  <c r="Q9" i="23"/>
  <c r="CH7" i="27"/>
  <c r="CG19"/>
  <c r="CP7"/>
  <c r="AV54" i="23"/>
  <c r="N55"/>
  <c r="AZ55"/>
  <c r="I127" i="8"/>
  <c r="S127"/>
  <c r="U140"/>
  <c r="K147"/>
  <c r="M26" i="20"/>
  <c r="M99"/>
  <c r="M124"/>
  <c r="G61"/>
  <c r="F19"/>
  <c r="F67"/>
  <c r="L40" i="23"/>
  <c r="AD40"/>
  <c r="AC37"/>
  <c r="AV12"/>
  <c r="M12"/>
  <c r="K54"/>
  <c r="Q57"/>
  <c r="AD44"/>
  <c r="L44"/>
  <c r="AV29"/>
  <c r="N29"/>
  <c r="M29"/>
  <c r="N20"/>
  <c r="R20"/>
  <c r="S20"/>
  <c r="AZ20"/>
  <c r="BA20"/>
  <c r="L32" i="20"/>
  <c r="AV46" i="23"/>
  <c r="N46"/>
  <c r="M46"/>
  <c r="BM49"/>
  <c r="N49"/>
  <c r="M49"/>
  <c r="D16" i="24"/>
  <c r="E16"/>
  <c r="E15"/>
  <c r="J59" i="8"/>
  <c r="J32" i="23"/>
  <c r="R47"/>
  <c r="S47"/>
  <c r="AB32"/>
  <c r="N30" i="20"/>
  <c r="R30"/>
  <c r="AE17" i="17"/>
  <c r="AE18"/>
  <c r="K37" i="23"/>
  <c r="Q43" i="20"/>
  <c r="S43"/>
  <c r="U43"/>
  <c r="AJ25" i="23"/>
  <c r="S16"/>
  <c r="C5" i="20"/>
  <c r="Z686" i="21"/>
  <c r="Z689"/>
  <c r="Z690"/>
  <c r="AB18" i="17"/>
  <c r="D29" i="4"/>
  <c r="H41" i="8"/>
  <c r="M11" i="17"/>
  <c r="O18" i="20"/>
  <c r="R13" i="17"/>
  <c r="N87" i="20"/>
  <c r="N95"/>
  <c r="R95"/>
  <c r="P10" i="17"/>
  <c r="AD52" i="23"/>
  <c r="L52"/>
  <c r="F98" i="20"/>
  <c r="G10"/>
  <c r="D28"/>
  <c r="L48" i="23"/>
  <c r="AU48"/>
  <c r="L7"/>
  <c r="AD7"/>
  <c r="E8"/>
  <c r="O21"/>
  <c r="D16" i="10"/>
  <c r="S60" i="8"/>
  <c r="N29" i="20"/>
  <c r="R29"/>
  <c r="AE15" i="17"/>
  <c r="AE16"/>
  <c r="R88" i="20"/>
  <c r="AD33" i="23"/>
  <c r="L33"/>
  <c r="D88" i="20"/>
  <c r="D96"/>
  <c r="E8"/>
  <c r="BL24" i="23"/>
  <c r="BM25"/>
  <c r="BM24"/>
  <c r="H25" i="27"/>
  <c r="BR19"/>
  <c r="L123" i="20"/>
  <c r="AV17" i="23"/>
  <c r="N17"/>
  <c r="M17"/>
  <c r="M34"/>
  <c r="AE34"/>
  <c r="N34"/>
  <c r="E21" i="24"/>
  <c r="R89" i="20"/>
  <c r="AZ29" i="23"/>
  <c r="BA29"/>
  <c r="AZ46"/>
  <c r="BA46"/>
  <c r="R7" i="20"/>
  <c r="P13" i="17"/>
  <c r="AI26" i="23"/>
  <c r="AJ26"/>
  <c r="AZ56"/>
  <c r="BA56"/>
  <c r="D65" i="17"/>
  <c r="G66"/>
  <c r="AU35" i="23"/>
  <c r="L35"/>
  <c r="AU14"/>
  <c r="L14"/>
  <c r="M20" i="17"/>
  <c r="AU22" i="23"/>
  <c r="L22"/>
  <c r="AV25"/>
  <c r="AV24"/>
  <c r="AU24"/>
  <c r="F118" i="20"/>
  <c r="P16" i="17"/>
  <c r="BQ58" i="23"/>
  <c r="BR58"/>
  <c r="N58"/>
  <c r="R58"/>
  <c r="S58"/>
  <c r="AV18"/>
  <c r="N18"/>
  <c r="M18"/>
  <c r="I63" i="20"/>
  <c r="H21"/>
  <c r="P21"/>
  <c r="P18" i="17"/>
  <c r="M27" i="23"/>
  <c r="AE27"/>
  <c r="AU38"/>
  <c r="AT37"/>
  <c r="AT32"/>
  <c r="L38"/>
  <c r="BL39"/>
  <c r="BK37"/>
  <c r="BK32"/>
  <c r="N25"/>
  <c r="AD59"/>
  <c r="L59"/>
  <c r="AD57"/>
  <c r="L57"/>
  <c r="AC54"/>
  <c r="U130" i="8"/>
  <c r="G130"/>
  <c r="K130"/>
  <c r="Q130"/>
  <c r="L21" i="17"/>
  <c r="N15" i="23"/>
  <c r="R15"/>
  <c r="S15"/>
  <c r="AZ15"/>
  <c r="BA15"/>
  <c r="AV41"/>
  <c r="M41"/>
  <c r="L9"/>
  <c r="AE30"/>
  <c r="N30"/>
  <c r="M30"/>
  <c r="N19"/>
  <c r="R19"/>
  <c r="S19"/>
  <c r="AZ19"/>
  <c r="BA19"/>
  <c r="E22" i="24"/>
  <c r="BQ25" i="23"/>
  <c r="R87" i="20"/>
  <c r="O19"/>
  <c r="R29" i="23"/>
  <c r="S29"/>
  <c r="R46"/>
  <c r="S46"/>
  <c r="AZ17"/>
  <c r="BA17"/>
  <c r="R49"/>
  <c r="S49"/>
  <c r="P64" i="20"/>
  <c r="L24" i="23"/>
  <c r="Q24"/>
  <c r="Z663" i="21"/>
  <c r="Z687"/>
  <c r="Z665"/>
  <c r="Z664"/>
  <c r="AB11" i="17"/>
  <c r="K43" i="23"/>
  <c r="Q43"/>
  <c r="AC43"/>
  <c r="H52" i="17"/>
  <c r="D52"/>
  <c r="B52"/>
  <c r="D51"/>
  <c r="AV13" i="23"/>
  <c r="M13"/>
  <c r="T67" i="8"/>
  <c r="G67"/>
  <c r="J62"/>
  <c r="G6" i="20"/>
  <c r="F94"/>
  <c r="H9"/>
  <c r="G97"/>
  <c r="G89"/>
  <c r="I70" i="24"/>
  <c r="H47" i="20"/>
  <c r="P47"/>
  <c r="G29" i="27"/>
  <c r="O29"/>
  <c r="O25"/>
  <c r="Q15" i="24"/>
  <c r="R14"/>
  <c r="M28" i="23"/>
  <c r="AE28"/>
  <c r="G80" i="17"/>
  <c r="AI35" i="23"/>
  <c r="AJ35"/>
  <c r="AZ33"/>
  <c r="O118" i="20"/>
  <c r="CA7" i="27"/>
  <c r="BY19"/>
  <c r="AV39" i="23"/>
  <c r="M39"/>
  <c r="AG17" i="17"/>
  <c r="M18"/>
  <c r="K32" i="23"/>
  <c r="Q33"/>
  <c r="C29" i="20"/>
  <c r="N93"/>
  <c r="N11"/>
  <c r="AH37" i="23"/>
  <c r="AH32"/>
  <c r="AY37"/>
  <c r="AY32"/>
  <c r="BE8"/>
  <c r="BE4"/>
  <c r="BE3"/>
  <c r="F21"/>
  <c r="J91" i="8"/>
  <c r="T93"/>
  <c r="Q117" i="20"/>
  <c r="S117"/>
  <c r="U117"/>
  <c r="AH54" i="23"/>
  <c r="J130" i="8"/>
  <c r="T130"/>
  <c r="K21" i="17"/>
  <c r="L51" i="23"/>
  <c r="AD51"/>
  <c r="M31"/>
  <c r="AE31"/>
  <c r="L124" i="20"/>
  <c r="AV10" i="23"/>
  <c r="AU9"/>
  <c r="M10"/>
  <c r="AI47"/>
  <c r="AJ47"/>
  <c r="K9"/>
  <c r="O94" i="20"/>
  <c r="M25" i="23"/>
  <c r="R17"/>
  <c r="AI30"/>
  <c r="AJ30"/>
  <c r="BQ50"/>
  <c r="BR50"/>
  <c r="AZ11"/>
  <c r="BA11"/>
  <c r="U147" i="8"/>
  <c r="AJ17" i="17"/>
  <c r="AY17"/>
  <c r="AY18"/>
  <c r="M32" i="20"/>
  <c r="R18" i="23"/>
  <c r="BQ49"/>
  <c r="BR49"/>
  <c r="AZ18"/>
  <c r="BA18"/>
  <c r="AI34"/>
  <c r="AJ34"/>
  <c r="R30"/>
  <c r="S30"/>
  <c r="AZ36"/>
  <c r="BA36"/>
  <c r="AV23"/>
  <c r="M23"/>
  <c r="R34"/>
  <c r="S34"/>
  <c r="G30" i="20"/>
  <c r="D29"/>
  <c r="X15" i="17"/>
  <c r="X11"/>
  <c r="S18" i="23"/>
  <c r="H73" i="17"/>
  <c r="S17" i="23"/>
  <c r="B73" i="17"/>
  <c r="M24" i="23"/>
  <c r="R25"/>
  <c r="T127" i="8"/>
  <c r="J127"/>
  <c r="J72"/>
  <c r="T91"/>
  <c r="R11" i="20"/>
  <c r="J61" i="8"/>
  <c r="Q32" i="23"/>
  <c r="G74" i="17"/>
  <c r="AQ17"/>
  <c r="AG18"/>
  <c r="H138" i="8"/>
  <c r="AV17" i="17"/>
  <c r="CA19" i="27"/>
  <c r="I25"/>
  <c r="H51" i="20"/>
  <c r="H14"/>
  <c r="G94"/>
  <c r="G27"/>
  <c r="H6"/>
  <c r="Q67" i="8"/>
  <c r="E67"/>
  <c r="AE57" i="23"/>
  <c r="M57"/>
  <c r="M54"/>
  <c r="AD54"/>
  <c r="BM39"/>
  <c r="BL37"/>
  <c r="BL32"/>
  <c r="AV38"/>
  <c r="M38"/>
  <c r="AU37"/>
  <c r="I47" i="20"/>
  <c r="H29" i="27"/>
  <c r="AV48" i="23"/>
  <c r="M48"/>
  <c r="R14" i="17"/>
  <c r="T59" i="8"/>
  <c r="E15" i="10"/>
  <c r="Q54" i="23"/>
  <c r="F120" i="20"/>
  <c r="BM9" i="23"/>
  <c r="BQ10"/>
  <c r="J80" i="24"/>
  <c r="J79"/>
  <c r="J69"/>
  <c r="BI21" i="23"/>
  <c r="J62" i="20"/>
  <c r="I20"/>
  <c r="N10" i="23"/>
  <c r="AZ10"/>
  <c r="BA33"/>
  <c r="J71" i="8"/>
  <c r="L75" i="24"/>
  <c r="F27" i="20"/>
  <c r="T62" i="8"/>
  <c r="E18" i="10"/>
  <c r="N13" i="23"/>
  <c r="R13"/>
  <c r="S13"/>
  <c r="AZ13"/>
  <c r="BA13"/>
  <c r="BQ24"/>
  <c r="BR25"/>
  <c r="BR24"/>
  <c r="F130" i="8"/>
  <c r="E130"/>
  <c r="Q127"/>
  <c r="G127"/>
  <c r="L54" i="23"/>
  <c r="M59"/>
  <c r="AE59"/>
  <c r="AV22"/>
  <c r="M22"/>
  <c r="E96" i="20"/>
  <c r="O96"/>
  <c r="E88"/>
  <c r="F8"/>
  <c r="O8" i="23"/>
  <c r="F31" i="20"/>
  <c r="M44" i="23"/>
  <c r="AE44"/>
  <c r="N44"/>
  <c r="N12"/>
  <c r="R12"/>
  <c r="S12"/>
  <c r="AZ12"/>
  <c r="BA12"/>
  <c r="H61" i="20"/>
  <c r="G67"/>
  <c r="G120"/>
  <c r="G19"/>
  <c r="G25"/>
  <c r="R55" i="23"/>
  <c r="CJ7" i="27"/>
  <c r="CH19"/>
  <c r="M13" i="17"/>
  <c r="K74" i="24"/>
  <c r="Q75"/>
  <c r="BG21" i="23"/>
  <c r="P69" i="24"/>
  <c r="D91" i="20"/>
  <c r="AZ25" i="23"/>
  <c r="N31"/>
  <c r="R31"/>
  <c r="S31"/>
  <c r="AI31"/>
  <c r="AJ31"/>
  <c r="N39"/>
  <c r="R39"/>
  <c r="S39"/>
  <c r="AZ39"/>
  <c r="BA39"/>
  <c r="I80" i="24"/>
  <c r="I69"/>
  <c r="L43" i="23"/>
  <c r="AD43"/>
  <c r="U127" i="8"/>
  <c r="K127"/>
  <c r="J63" i="20"/>
  <c r="I21"/>
  <c r="P14" i="17"/>
  <c r="P21"/>
  <c r="M7" i="23"/>
  <c r="AE7"/>
  <c r="G98" i="20"/>
  <c r="G31"/>
  <c r="H10"/>
  <c r="N28"/>
  <c r="R28"/>
  <c r="AE13" i="17"/>
  <c r="AE14"/>
  <c r="N91" i="20"/>
  <c r="M12" i="17"/>
  <c r="AG11"/>
  <c r="D41" i="4"/>
  <c r="C93" i="20"/>
  <c r="D5"/>
  <c r="C11"/>
  <c r="E17" i="24"/>
  <c r="D17"/>
  <c r="AZ54" i="23"/>
  <c r="BA55"/>
  <c r="BA54"/>
  <c r="J58" i="8"/>
  <c r="AQ8" i="23"/>
  <c r="AQ4"/>
  <c r="AQ3"/>
  <c r="E28" i="20"/>
  <c r="O28"/>
  <c r="E91"/>
  <c r="E123"/>
  <c r="AB19" i="17"/>
  <c r="H79" i="24"/>
  <c r="P79"/>
  <c r="P80"/>
  <c r="R10" i="23"/>
  <c r="AC32"/>
  <c r="AI44"/>
  <c r="AJ44"/>
  <c r="P61" i="20"/>
  <c r="B49" i="17"/>
  <c r="O8" i="20"/>
  <c r="O87"/>
  <c r="M51" i="23"/>
  <c r="AE51"/>
  <c r="N51"/>
  <c r="F8"/>
  <c r="N26" i="20"/>
  <c r="N99"/>
  <c r="N28" i="23"/>
  <c r="R28"/>
  <c r="S28"/>
  <c r="AI28"/>
  <c r="AJ28"/>
  <c r="Q16" i="24"/>
  <c r="R16"/>
  <c r="N75"/>
  <c r="N74"/>
  <c r="AV21" i="23"/>
  <c r="R15" i="24"/>
  <c r="M75"/>
  <c r="M74"/>
  <c r="AU21" i="23"/>
  <c r="Q17" i="24"/>
  <c r="H97" i="20"/>
  <c r="P97"/>
  <c r="H89"/>
  <c r="P89"/>
  <c r="I9"/>
  <c r="P9"/>
  <c r="AB12" i="17"/>
  <c r="W9"/>
  <c r="O25" i="20"/>
  <c r="N41" i="23"/>
  <c r="R41"/>
  <c r="S41"/>
  <c r="AZ41"/>
  <c r="BA41"/>
  <c r="P130" i="8"/>
  <c r="O130"/>
  <c r="L37" i="23"/>
  <c r="L32"/>
  <c r="N27"/>
  <c r="R27"/>
  <c r="S27"/>
  <c r="AI27"/>
  <c r="AJ27"/>
  <c r="X13" i="17"/>
  <c r="AV14" i="23"/>
  <c r="N14"/>
  <c r="M14"/>
  <c r="M9"/>
  <c r="AV35"/>
  <c r="AZ35"/>
  <c r="AU32"/>
  <c r="M35"/>
  <c r="AE33"/>
  <c r="M33"/>
  <c r="AE52"/>
  <c r="N52"/>
  <c r="M52"/>
  <c r="R52"/>
  <c r="S52"/>
  <c r="R41" i="8"/>
  <c r="H40"/>
  <c r="AE40" i="23"/>
  <c r="M40"/>
  <c r="AD37"/>
  <c r="AD32"/>
  <c r="F25" i="20"/>
  <c r="CQ7" i="27"/>
  <c r="CP19"/>
  <c r="CY7"/>
  <c r="F95" i="20"/>
  <c r="F87"/>
  <c r="G7"/>
  <c r="I14" i="24"/>
  <c r="I20"/>
  <c r="J13"/>
  <c r="J64" i="20"/>
  <c r="I22"/>
  <c r="AU8" i="23"/>
  <c r="AU4"/>
  <c r="AU3"/>
  <c r="AE24"/>
  <c r="AE8"/>
  <c r="R93" i="20"/>
  <c r="AJ24" i="23"/>
  <c r="AJ8"/>
  <c r="R44"/>
  <c r="S44"/>
  <c r="R17" i="24"/>
  <c r="H56" i="17"/>
  <c r="AJ18"/>
  <c r="K138" i="8"/>
  <c r="AT17" i="17"/>
  <c r="AT18"/>
  <c r="N23" i="23"/>
  <c r="R23"/>
  <c r="S23"/>
  <c r="AZ23"/>
  <c r="BA23"/>
  <c r="R51"/>
  <c r="S51"/>
  <c r="BA35"/>
  <c r="H64" i="17"/>
  <c r="H66"/>
  <c r="K65" i="8"/>
  <c r="D56" i="17"/>
  <c r="K70" i="24"/>
  <c r="J20"/>
  <c r="G95" i="20"/>
  <c r="H7"/>
  <c r="G87"/>
  <c r="CY19" i="27"/>
  <c r="CZ7"/>
  <c r="DH7"/>
  <c r="R40" i="8"/>
  <c r="H80"/>
  <c r="N17" i="17"/>
  <c r="M15"/>
  <c r="S10" i="23"/>
  <c r="E14" i="10"/>
  <c r="T58" i="8"/>
  <c r="C26" i="20"/>
  <c r="C99"/>
  <c r="I10"/>
  <c r="H98"/>
  <c r="P10"/>
  <c r="BH21" i="23"/>
  <c r="D123" i="20"/>
  <c r="O91"/>
  <c r="E127" i="8"/>
  <c r="O127"/>
  <c r="L74" i="24"/>
  <c r="R75"/>
  <c r="I51" i="20"/>
  <c r="I14"/>
  <c r="BM37" i="23"/>
  <c r="BM32"/>
  <c r="BQ39"/>
  <c r="O67" i="8"/>
  <c r="F67"/>
  <c r="H18" i="20"/>
  <c r="P14"/>
  <c r="AV18" i="17"/>
  <c r="J60" i="8"/>
  <c r="K59"/>
  <c r="D73" i="17"/>
  <c r="X16"/>
  <c r="S75" i="24"/>
  <c r="AZ14" i="23"/>
  <c r="BA14"/>
  <c r="K64" i="20"/>
  <c r="J22"/>
  <c r="I15" i="24"/>
  <c r="J14"/>
  <c r="N40" i="23"/>
  <c r="R40"/>
  <c r="S40"/>
  <c r="AE37"/>
  <c r="N33"/>
  <c r="AB13" i="17"/>
  <c r="E5" i="20"/>
  <c r="D93"/>
  <c r="D11"/>
  <c r="AV11" i="17"/>
  <c r="AQ11"/>
  <c r="AG12"/>
  <c r="H139" i="8"/>
  <c r="AZ24" i="23"/>
  <c r="BA25"/>
  <c r="BA24"/>
  <c r="BG8"/>
  <c r="BG4"/>
  <c r="BG3"/>
  <c r="H21"/>
  <c r="BO21"/>
  <c r="BI8"/>
  <c r="BI4"/>
  <c r="BI3"/>
  <c r="J21"/>
  <c r="J8"/>
  <c r="R21" i="17"/>
  <c r="N57" i="23"/>
  <c r="AE54"/>
  <c r="AI57"/>
  <c r="AI24"/>
  <c r="AI8"/>
  <c r="R14"/>
  <c r="S14"/>
  <c r="R21" i="24"/>
  <c r="R22"/>
  <c r="AV9" i="23"/>
  <c r="AV8"/>
  <c r="N24"/>
  <c r="A73" i="17"/>
  <c r="AI40" i="23"/>
  <c r="CS7" i="27"/>
  <c r="CQ19"/>
  <c r="N35" i="23"/>
  <c r="R35"/>
  <c r="S35"/>
  <c r="N32" i="20"/>
  <c r="R26"/>
  <c r="D21" i="4"/>
  <c r="N123" i="20"/>
  <c r="R123"/>
  <c r="R91"/>
  <c r="N7" i="23"/>
  <c r="R7"/>
  <c r="S7"/>
  <c r="B79" i="17"/>
  <c r="A79"/>
  <c r="AI7" i="23"/>
  <c r="AJ7"/>
  <c r="K63" i="20"/>
  <c r="Q63"/>
  <c r="J21"/>
  <c r="E30" i="4"/>
  <c r="M14" i="17"/>
  <c r="AG13"/>
  <c r="H92"/>
  <c r="S55" i="23"/>
  <c r="I61" i="20"/>
  <c r="H67"/>
  <c r="H19"/>
  <c r="E29"/>
  <c r="O29"/>
  <c r="O88"/>
  <c r="N59" i="23"/>
  <c r="R59"/>
  <c r="S59"/>
  <c r="B98" i="17"/>
  <c r="A98"/>
  <c r="AI59" i="23"/>
  <c r="AJ59"/>
  <c r="F127" i="8"/>
  <c r="P127"/>
  <c r="T71"/>
  <c r="E20" i="10"/>
  <c r="K62" i="20"/>
  <c r="J20"/>
  <c r="AV37" i="23"/>
  <c r="AV32"/>
  <c r="N38"/>
  <c r="AZ38"/>
  <c r="H94" i="20"/>
  <c r="I6"/>
  <c r="P6"/>
  <c r="J47"/>
  <c r="I29" i="27"/>
  <c r="AQ18" i="17"/>
  <c r="E21" i="10"/>
  <c r="T72" i="8"/>
  <c r="Q64" i="20"/>
  <c r="H30"/>
  <c r="P30"/>
  <c r="N9" i="23"/>
  <c r="AI51"/>
  <c r="AJ51"/>
  <c r="AI33"/>
  <c r="F28" i="20"/>
  <c r="X14" i="17"/>
  <c r="W10"/>
  <c r="W21"/>
  <c r="I89" i="20"/>
  <c r="I97"/>
  <c r="J9"/>
  <c r="N124"/>
  <c r="R124"/>
  <c r="R99"/>
  <c r="AB20" i="17"/>
  <c r="AG19"/>
  <c r="M43" i="23"/>
  <c r="AE43"/>
  <c r="I79" i="24"/>
  <c r="AS21" i="23"/>
  <c r="Q74" i="24"/>
  <c r="J25" i="27"/>
  <c r="CJ19"/>
  <c r="F88" i="20"/>
  <c r="G8"/>
  <c r="F96"/>
  <c r="N22" i="23"/>
  <c r="R22"/>
  <c r="AZ22"/>
  <c r="BA22"/>
  <c r="AZ9"/>
  <c r="BA10"/>
  <c r="BA9"/>
  <c r="BQ9"/>
  <c r="BR10"/>
  <c r="BR9"/>
  <c r="N48"/>
  <c r="R48"/>
  <c r="S48"/>
  <c r="AZ48"/>
  <c r="BA48"/>
  <c r="U138" i="8"/>
  <c r="K145"/>
  <c r="H118" i="20"/>
  <c r="P51"/>
  <c r="R138" i="8"/>
  <c r="H145"/>
  <c r="T61"/>
  <c r="E17" i="10"/>
  <c r="R24" i="23"/>
  <c r="S25"/>
  <c r="S24"/>
  <c r="X12" i="17"/>
  <c r="P7" i="20"/>
  <c r="O5"/>
  <c r="M37" i="23"/>
  <c r="M32"/>
  <c r="Q21" i="24"/>
  <c r="Q22"/>
  <c r="U22"/>
  <c r="U67"/>
  <c r="AI52" i="23"/>
  <c r="AJ52"/>
  <c r="P67" i="8"/>
  <c r="R145"/>
  <c r="U145"/>
  <c r="AE32" i="23"/>
  <c r="AV19" i="17"/>
  <c r="AG20"/>
  <c r="H140" i="8"/>
  <c r="AQ19" i="17"/>
  <c r="I30" i="20"/>
  <c r="AJ33" i="23"/>
  <c r="N11" i="17"/>
  <c r="N37" i="23"/>
  <c r="R38"/>
  <c r="J61" i="20"/>
  <c r="I67"/>
  <c r="I19"/>
  <c r="AQ13" i="17"/>
  <c r="AV13"/>
  <c r="AG14"/>
  <c r="E29" i="4"/>
  <c r="I41" i="8"/>
  <c r="D22" i="4"/>
  <c r="C8" i="10"/>
  <c r="R57" i="23"/>
  <c r="N54"/>
  <c r="AV12" i="17"/>
  <c r="AB14"/>
  <c r="I16" i="24"/>
  <c r="J15"/>
  <c r="M70"/>
  <c r="I18" i="20"/>
  <c r="R74" i="24"/>
  <c r="AT21" i="23"/>
  <c r="O123" i="20"/>
  <c r="H31"/>
  <c r="P31"/>
  <c r="P98"/>
  <c r="C32"/>
  <c r="C33"/>
  <c r="S9" i="23"/>
  <c r="M9" i="17"/>
  <c r="N13"/>
  <c r="J51" i="20"/>
  <c r="J118"/>
  <c r="J14"/>
  <c r="J18"/>
  <c r="AZ37" i="23"/>
  <c r="AZ32"/>
  <c r="BA38"/>
  <c r="BA37"/>
  <c r="BA32"/>
  <c r="L62" i="20"/>
  <c r="K20"/>
  <c r="Q20"/>
  <c r="H120"/>
  <c r="P120"/>
  <c r="P67"/>
  <c r="K93" i="8"/>
  <c r="K74"/>
  <c r="U74"/>
  <c r="D92" i="17"/>
  <c r="R32" i="20"/>
  <c r="AE9" i="17"/>
  <c r="AE10"/>
  <c r="AE21"/>
  <c r="AQ12"/>
  <c r="E11" i="20"/>
  <c r="E93"/>
  <c r="O93"/>
  <c r="F5"/>
  <c r="E16" i="10"/>
  <c r="T60" i="8"/>
  <c r="N19" i="17"/>
  <c r="M16"/>
  <c r="C9" i="10"/>
  <c r="R80" i="8"/>
  <c r="CZ19" i="27"/>
  <c r="DB7"/>
  <c r="K62" i="8"/>
  <c r="U65"/>
  <c r="G65"/>
  <c r="AS8" i="23"/>
  <c r="AS4"/>
  <c r="AS3"/>
  <c r="AY21"/>
  <c r="G96" i="20"/>
  <c r="H8"/>
  <c r="G88"/>
  <c r="H27"/>
  <c r="P27"/>
  <c r="P94"/>
  <c r="H25"/>
  <c r="P19"/>
  <c r="L63"/>
  <c r="K21"/>
  <c r="Q21"/>
  <c r="AI37" i="23"/>
  <c r="AJ40"/>
  <c r="AJ37"/>
  <c r="AI54"/>
  <c r="AJ57"/>
  <c r="AJ54"/>
  <c r="H8"/>
  <c r="P21"/>
  <c r="H146" i="8"/>
  <c r="R139"/>
  <c r="D26" i="20"/>
  <c r="D32"/>
  <c r="D99"/>
  <c r="D124"/>
  <c r="D127"/>
  <c r="L70" i="24"/>
  <c r="L64" i="20"/>
  <c r="K22"/>
  <c r="Q22"/>
  <c r="S13" i="17"/>
  <c r="P18" i="20"/>
  <c r="BQ37" i="23"/>
  <c r="BQ32"/>
  <c r="BR39"/>
  <c r="BR37"/>
  <c r="BR32"/>
  <c r="I118" i="20"/>
  <c r="BH8" i="23"/>
  <c r="BH4"/>
  <c r="BH3"/>
  <c r="I21"/>
  <c r="C124" i="20"/>
  <c r="N18" i="17"/>
  <c r="DI7" i="27"/>
  <c r="DH19"/>
  <c r="I7" i="20"/>
  <c r="H95"/>
  <c r="P95"/>
  <c r="H87"/>
  <c r="S23" i="24"/>
  <c r="D64" i="17"/>
  <c r="D66"/>
  <c r="AV4" i="23"/>
  <c r="AV3"/>
  <c r="R9"/>
  <c r="R33"/>
  <c r="S22"/>
  <c r="B80" i="17"/>
  <c r="H80"/>
  <c r="F29" i="20"/>
  <c r="AC17" i="17"/>
  <c r="N43" i="23"/>
  <c r="N32"/>
  <c r="AI43"/>
  <c r="AJ43"/>
  <c r="P118" i="20"/>
  <c r="K47"/>
  <c r="Q47"/>
  <c r="J29" i="27"/>
  <c r="P29"/>
  <c r="P25"/>
  <c r="J89" i="20"/>
  <c r="J97"/>
  <c r="K9"/>
  <c r="I94"/>
  <c r="J6"/>
  <c r="AB15" i="17"/>
  <c r="AG15"/>
  <c r="B92"/>
  <c r="CS19" i="27"/>
  <c r="K25"/>
  <c r="BO8" i="23"/>
  <c r="BO4"/>
  <c r="BO3"/>
  <c r="F15" i="10"/>
  <c r="G15"/>
  <c r="U59" i="8"/>
  <c r="G59"/>
  <c r="I98" i="20"/>
  <c r="J10"/>
  <c r="G28"/>
  <c r="G91"/>
  <c r="G123"/>
  <c r="K80" i="24"/>
  <c r="K69"/>
  <c r="Q70"/>
  <c r="S74"/>
  <c r="Q62" i="20"/>
  <c r="F91"/>
  <c r="D33"/>
  <c r="H72" i="17"/>
  <c r="R146" i="8"/>
  <c r="A92" i="17"/>
  <c r="J30" i="20"/>
  <c r="AI32" i="23"/>
  <c r="AG16" i="17"/>
  <c r="H137" i="8"/>
  <c r="AV15" i="17"/>
  <c r="AQ15"/>
  <c r="Y13"/>
  <c r="Y11"/>
  <c r="F123" i="20"/>
  <c r="K79" i="24"/>
  <c r="Q79"/>
  <c r="Q80"/>
  <c r="J98" i="20"/>
  <c r="J31"/>
  <c r="K10"/>
  <c r="L47"/>
  <c r="K29" i="27"/>
  <c r="I27" i="20"/>
  <c r="AC18" i="17"/>
  <c r="J7" i="20"/>
  <c r="I95"/>
  <c r="I87"/>
  <c r="I8" i="23"/>
  <c r="L25" i="27"/>
  <c r="DB19"/>
  <c r="O11" i="20"/>
  <c r="N14" i="17"/>
  <c r="B72"/>
  <c r="AZ21" i="23"/>
  <c r="AZ8"/>
  <c r="AZ4"/>
  <c r="AZ3"/>
  <c r="AT8"/>
  <c r="AT4"/>
  <c r="AT3"/>
  <c r="M80" i="24"/>
  <c r="M79"/>
  <c r="M69"/>
  <c r="BL21" i="23"/>
  <c r="S41" i="8"/>
  <c r="I40"/>
  <c r="AQ14" i="17"/>
  <c r="K61" i="20"/>
  <c r="J67"/>
  <c r="J120"/>
  <c r="J19"/>
  <c r="J25"/>
  <c r="N12" i="17"/>
  <c r="AH17"/>
  <c r="K71" i="8"/>
  <c r="D80" i="17"/>
  <c r="A80"/>
  <c r="M64" i="20"/>
  <c r="L22"/>
  <c r="I8"/>
  <c r="H88"/>
  <c r="H96"/>
  <c r="P96"/>
  <c r="P8"/>
  <c r="U62" i="8"/>
  <c r="F18" i="10"/>
  <c r="G18"/>
  <c r="G62" i="8"/>
  <c r="E26" i="20"/>
  <c r="E32"/>
  <c r="E33"/>
  <c r="E99"/>
  <c r="C34"/>
  <c r="C35"/>
  <c r="T5" i="23"/>
  <c r="S57"/>
  <c r="S54"/>
  <c r="R54"/>
  <c r="AV14" i="17"/>
  <c r="I120" i="20"/>
  <c r="AV20" i="17"/>
  <c r="R43" i="23"/>
  <c r="S43"/>
  <c r="Q59" i="8"/>
  <c r="E59"/>
  <c r="H28" i="20"/>
  <c r="P28"/>
  <c r="P87"/>
  <c r="DK7" i="27"/>
  <c r="DI19"/>
  <c r="DM7"/>
  <c r="DM19"/>
  <c r="Y15" i="17"/>
  <c r="P8" i="23"/>
  <c r="X9" i="17"/>
  <c r="P25" i="20"/>
  <c r="N20" i="17"/>
  <c r="F11" i="20"/>
  <c r="G5"/>
  <c r="F93"/>
  <c r="K91" i="8"/>
  <c r="U93"/>
  <c r="G93"/>
  <c r="G74"/>
  <c r="Q74"/>
  <c r="M62" i="20"/>
  <c r="L20"/>
  <c r="M10" i="17"/>
  <c r="M21"/>
  <c r="D23" i="4"/>
  <c r="H136" i="8"/>
  <c r="H147"/>
  <c r="R140"/>
  <c r="G29" i="20"/>
  <c r="O26"/>
  <c r="Q61"/>
  <c r="D34"/>
  <c r="U6" i="23"/>
  <c r="D6"/>
  <c r="U5"/>
  <c r="BJ21"/>
  <c r="Q69" i="24"/>
  <c r="J94" i="20"/>
  <c r="J27"/>
  <c r="K6"/>
  <c r="K51"/>
  <c r="K14"/>
  <c r="C127"/>
  <c r="K58" i="8"/>
  <c r="D72" i="17"/>
  <c r="I31" i="20"/>
  <c r="AB16" i="17"/>
  <c r="K97" i="20"/>
  <c r="Q97"/>
  <c r="S97"/>
  <c r="K89"/>
  <c r="Q9"/>
  <c r="K61" i="8"/>
  <c r="S33" i="23"/>
  <c r="S14" i="17"/>
  <c r="L80" i="24"/>
  <c r="L69"/>
  <c r="M63" i="20"/>
  <c r="L21"/>
  <c r="AC11" i="17"/>
  <c r="AH11"/>
  <c r="BA21" i="23"/>
  <c r="BA8"/>
  <c r="BA4"/>
  <c r="BA3"/>
  <c r="AY8"/>
  <c r="AY4"/>
  <c r="AY3"/>
  <c r="Q65" i="8"/>
  <c r="E65"/>
  <c r="AC19" i="17"/>
  <c r="I17" i="24"/>
  <c r="B55" i="17"/>
  <c r="J16" i="24"/>
  <c r="I21"/>
  <c r="I22"/>
  <c r="T22"/>
  <c r="E41" i="4"/>
  <c r="I25" i="20"/>
  <c r="R37" i="23"/>
  <c r="R32"/>
  <c r="H74" i="17"/>
  <c r="S38" i="23"/>
  <c r="S37"/>
  <c r="AQ20" i="17"/>
  <c r="AJ32" i="23"/>
  <c r="R147" i="8"/>
  <c r="Q62"/>
  <c r="D35" i="20"/>
  <c r="H52" i="8"/>
  <c r="K30" i="20"/>
  <c r="Q30"/>
  <c r="S30"/>
  <c r="V5" i="23"/>
  <c r="E34" i="20"/>
  <c r="V6" i="23"/>
  <c r="E6"/>
  <c r="O33" i="20"/>
  <c r="K60" i="8"/>
  <c r="D74" i="17"/>
  <c r="AW11"/>
  <c r="AR11"/>
  <c r="AH12"/>
  <c r="I139" i="8"/>
  <c r="AC13" i="17"/>
  <c r="E21" i="4"/>
  <c r="O65" i="8"/>
  <c r="F65"/>
  <c r="E62"/>
  <c r="N63" i="20"/>
  <c r="M21"/>
  <c r="U61" i="8"/>
  <c r="F17" i="10"/>
  <c r="G17"/>
  <c r="G61" i="8"/>
  <c r="K18" i="20"/>
  <c r="Q14"/>
  <c r="F30" i="4"/>
  <c r="F93" i="8"/>
  <c r="F74"/>
  <c r="P74"/>
  <c r="Q93"/>
  <c r="E93"/>
  <c r="E74"/>
  <c r="F26" i="20"/>
  <c r="F99"/>
  <c r="X10" i="17"/>
  <c r="X21"/>
  <c r="Y16"/>
  <c r="N15"/>
  <c r="F20" i="10"/>
  <c r="G20"/>
  <c r="U71" i="8"/>
  <c r="G71"/>
  <c r="BL8" i="23"/>
  <c r="BL4"/>
  <c r="BL3"/>
  <c r="M21"/>
  <c r="M8"/>
  <c r="L51" i="20"/>
  <c r="L14"/>
  <c r="AQ16" i="17"/>
  <c r="L79" i="24"/>
  <c r="U4" i="23"/>
  <c r="U3"/>
  <c r="D5"/>
  <c r="D4"/>
  <c r="D3"/>
  <c r="AB9" i="17"/>
  <c r="O32" i="20"/>
  <c r="N62"/>
  <c r="N20"/>
  <c r="M20"/>
  <c r="DK19" i="27"/>
  <c r="M25"/>
  <c r="DN7"/>
  <c r="DN19"/>
  <c r="O59" i="8"/>
  <c r="F59"/>
  <c r="C5" i="23"/>
  <c r="AF5"/>
  <c r="E124" i="20"/>
  <c r="O99"/>
  <c r="I96"/>
  <c r="J8"/>
  <c r="I88"/>
  <c r="Y14" i="17"/>
  <c r="N70" i="24"/>
  <c r="J17"/>
  <c r="J21"/>
  <c r="J22"/>
  <c r="S22"/>
  <c r="K94" i="20"/>
  <c r="K27"/>
  <c r="Q27"/>
  <c r="Q6"/>
  <c r="H143" i="8"/>
  <c r="R136"/>
  <c r="U91"/>
  <c r="K72"/>
  <c r="G91"/>
  <c r="H29" i="20"/>
  <c r="P29"/>
  <c r="P88"/>
  <c r="N64"/>
  <c r="M22"/>
  <c r="L61"/>
  <c r="K67"/>
  <c r="K19"/>
  <c r="S40" i="8"/>
  <c r="I80"/>
  <c r="I28" i="20"/>
  <c r="I91"/>
  <c r="R137" i="8"/>
  <c r="H144"/>
  <c r="S32" i="23"/>
  <c r="B74" i="17"/>
  <c r="A74"/>
  <c r="R20" i="20"/>
  <c r="Q89"/>
  <c r="S89"/>
  <c r="BK21" i="23"/>
  <c r="D9" i="26"/>
  <c r="T67" i="24"/>
  <c r="AC20" i="17"/>
  <c r="AC12"/>
  <c r="S21"/>
  <c r="O17"/>
  <c r="S9" i="20"/>
  <c r="U58" i="8"/>
  <c r="F14" i="10"/>
  <c r="G14"/>
  <c r="G58" i="8"/>
  <c r="K118" i="20"/>
  <c r="Q51"/>
  <c r="BJ8" i="23"/>
  <c r="BJ4"/>
  <c r="BJ3"/>
  <c r="BP21"/>
  <c r="K21"/>
  <c r="G93" i="20"/>
  <c r="H5"/>
  <c r="G11"/>
  <c r="T6" i="23"/>
  <c r="AW17" i="17"/>
  <c r="AH18"/>
  <c r="I138" i="8"/>
  <c r="AR17" i="17"/>
  <c r="M47" i="20"/>
  <c r="L29" i="27"/>
  <c r="J95" i="20"/>
  <c r="J87"/>
  <c r="K7"/>
  <c r="K98"/>
  <c r="Q10"/>
  <c r="Y12" i="17"/>
  <c r="AV16"/>
  <c r="R62" i="20"/>
  <c r="S62"/>
  <c r="AH19" i="17"/>
  <c r="H91" i="20"/>
  <c r="A72" i="17"/>
  <c r="Q94" i="20"/>
  <c r="S94"/>
  <c r="O74" i="8"/>
  <c r="T4" i="28"/>
  <c r="U4"/>
  <c r="Q91" i="8"/>
  <c r="R143"/>
  <c r="R52"/>
  <c r="R144"/>
  <c r="P59"/>
  <c r="O62"/>
  <c r="O34" i="20"/>
  <c r="AQ23" i="17"/>
  <c r="E35" i="20"/>
  <c r="O35"/>
  <c r="AD17" i="17"/>
  <c r="AF17"/>
  <c r="AF18"/>
  <c r="AD11"/>
  <c r="S27" i="20"/>
  <c r="H93"/>
  <c r="I5"/>
  <c r="H11"/>
  <c r="P5"/>
  <c r="Z11" i="17"/>
  <c r="S20" i="20"/>
  <c r="K25"/>
  <c r="Q19"/>
  <c r="N22"/>
  <c r="R22"/>
  <c r="R64"/>
  <c r="S64"/>
  <c r="S67" i="24"/>
  <c r="S24"/>
  <c r="J88" i="20"/>
  <c r="J91"/>
  <c r="J123"/>
  <c r="K8"/>
  <c r="Q8"/>
  <c r="J96"/>
  <c r="E127"/>
  <c r="O127"/>
  <c r="O124"/>
  <c r="L18"/>
  <c r="F124"/>
  <c r="T13" i="17"/>
  <c r="Q18" i="20"/>
  <c r="P65" i="8"/>
  <c r="F62"/>
  <c r="AW12" i="17"/>
  <c r="O19"/>
  <c r="S10" i="20"/>
  <c r="E58" i="8"/>
  <c r="Q58"/>
  <c r="O18" i="17"/>
  <c r="Q17"/>
  <c r="E9" i="26"/>
  <c r="E8"/>
  <c r="E20"/>
  <c r="D8"/>
  <c r="I123" i="20"/>
  <c r="I29"/>
  <c r="N47"/>
  <c r="R47"/>
  <c r="S47"/>
  <c r="M29" i="27"/>
  <c r="Q29"/>
  <c r="R29"/>
  <c r="R30"/>
  <c r="Q25"/>
  <c r="R25"/>
  <c r="Q71" i="8"/>
  <c r="E71"/>
  <c r="N16" i="17"/>
  <c r="O93" i="8"/>
  <c r="E91"/>
  <c r="T2" i="28"/>
  <c r="J41" i="8"/>
  <c r="F29" i="4"/>
  <c r="D8" i="10"/>
  <c r="E22" i="4"/>
  <c r="AR12" i="17"/>
  <c r="AG24"/>
  <c r="H123" i="20"/>
  <c r="P91"/>
  <c r="AW18" i="17"/>
  <c r="J28" i="20"/>
  <c r="S80" i="8"/>
  <c r="D9" i="10"/>
  <c r="AC15" i="17"/>
  <c r="U72" i="8"/>
  <c r="F21" i="10"/>
  <c r="G21"/>
  <c r="G72" i="8"/>
  <c r="O11" i="17"/>
  <c r="S6" i="20"/>
  <c r="N69" i="24"/>
  <c r="N80"/>
  <c r="R70"/>
  <c r="S70"/>
  <c r="T118" i="20"/>
  <c r="T51"/>
  <c r="DP19" i="27"/>
  <c r="L118" i="20"/>
  <c r="Q61" i="8"/>
  <c r="E61"/>
  <c r="N21" i="20"/>
  <c r="R21"/>
  <c r="R63"/>
  <c r="S63"/>
  <c r="I146" i="8"/>
  <c r="S139"/>
  <c r="F16" i="10"/>
  <c r="G16"/>
  <c r="U60" i="8"/>
  <c r="G60"/>
  <c r="V4" i="23"/>
  <c r="V3"/>
  <c r="E5"/>
  <c r="E4"/>
  <c r="E3"/>
  <c r="K31" i="20"/>
  <c r="Q31"/>
  <c r="Q98"/>
  <c r="S98"/>
  <c r="S138" i="8"/>
  <c r="I145"/>
  <c r="BP8" i="23"/>
  <c r="BP4"/>
  <c r="BP3"/>
  <c r="AR18" i="17"/>
  <c r="AF6" i="23"/>
  <c r="C6"/>
  <c r="O6"/>
  <c r="K8"/>
  <c r="Q21"/>
  <c r="Q118" i="20"/>
  <c r="M61"/>
  <c r="L19"/>
  <c r="L67"/>
  <c r="AH20" i="17"/>
  <c r="I140" i="8"/>
  <c r="AW19" i="17"/>
  <c r="AR19"/>
  <c r="K95" i="20"/>
  <c r="Q95"/>
  <c r="S95"/>
  <c r="K87"/>
  <c r="Q87"/>
  <c r="S87"/>
  <c r="Q7"/>
  <c r="M51"/>
  <c r="M118"/>
  <c r="M14"/>
  <c r="M18"/>
  <c r="G99"/>
  <c r="G124"/>
  <c r="G127"/>
  <c r="G26"/>
  <c r="G32"/>
  <c r="G33"/>
  <c r="BK8" i="23"/>
  <c r="BK4"/>
  <c r="BK3"/>
  <c r="L21"/>
  <c r="K120" i="20"/>
  <c r="Q120"/>
  <c r="Q67"/>
  <c r="AB10" i="17"/>
  <c r="AB21"/>
  <c r="AG9"/>
  <c r="F32" i="20"/>
  <c r="F33"/>
  <c r="P93" i="8"/>
  <c r="F91"/>
  <c r="AC14" i="17"/>
  <c r="AH13"/>
  <c r="T4" i="23"/>
  <c r="T3"/>
  <c r="H53" i="8"/>
  <c r="T1" i="28"/>
  <c r="U1"/>
  <c r="U2"/>
  <c r="S146" i="8"/>
  <c r="S145"/>
  <c r="Q72"/>
  <c r="P91"/>
  <c r="P62"/>
  <c r="AI17" i="17"/>
  <c r="AX17"/>
  <c r="AD18"/>
  <c r="G34" i="20"/>
  <c r="G35"/>
  <c r="X6" i="23"/>
  <c r="G6"/>
  <c r="X5"/>
  <c r="K28" i="20"/>
  <c r="Q28"/>
  <c r="S140" i="8"/>
  <c r="I147"/>
  <c r="N61" i="20"/>
  <c r="M19"/>
  <c r="M25"/>
  <c r="M67"/>
  <c r="M120"/>
  <c r="N79" i="24"/>
  <c r="R79"/>
  <c r="S79"/>
  <c r="R80"/>
  <c r="S80"/>
  <c r="AC16" i="17"/>
  <c r="O71" i="8"/>
  <c r="F71"/>
  <c r="N51" i="20"/>
  <c r="N118"/>
  <c r="R118"/>
  <c r="S118"/>
  <c r="U118"/>
  <c r="N14"/>
  <c r="N18"/>
  <c r="AD12" i="17"/>
  <c r="AF11"/>
  <c r="AF12"/>
  <c r="F34" i="20"/>
  <c r="F35"/>
  <c r="W5" i="23"/>
  <c r="O13" i="17"/>
  <c r="S7" i="20"/>
  <c r="AW20" i="17"/>
  <c r="L25" i="20"/>
  <c r="L33"/>
  <c r="Q8" i="23"/>
  <c r="E60" i="8"/>
  <c r="Q60"/>
  <c r="AI11" i="17"/>
  <c r="O12"/>
  <c r="Q11"/>
  <c r="O91" i="8"/>
  <c r="E72"/>
  <c r="D20" i="26"/>
  <c r="BS21" i="23"/>
  <c r="I30" i="4"/>
  <c r="O20" i="17"/>
  <c r="Q19"/>
  <c r="F127" i="20"/>
  <c r="Y9" i="17"/>
  <c r="Q25" i="20"/>
  <c r="N9" i="17"/>
  <c r="P11" i="20"/>
  <c r="AH14" i="17"/>
  <c r="AW13"/>
  <c r="AR13"/>
  <c r="L8" i="23"/>
  <c r="AR20" i="17"/>
  <c r="AD19"/>
  <c r="S31" i="20"/>
  <c r="F61" i="8"/>
  <c r="O61"/>
  <c r="P123" i="20"/>
  <c r="E23" i="4"/>
  <c r="J40" i="8"/>
  <c r="T41"/>
  <c r="Z15" i="17"/>
  <c r="S22" i="20"/>
  <c r="Z12" i="17"/>
  <c r="AJ11"/>
  <c r="AA11"/>
  <c r="AA12"/>
  <c r="H26" i="20"/>
  <c r="H99"/>
  <c r="H124"/>
  <c r="H127"/>
  <c r="M127"/>
  <c r="AF4" i="23"/>
  <c r="AF3"/>
  <c r="AH15" i="17"/>
  <c r="C4" i="23"/>
  <c r="C3"/>
  <c r="J29" i="20"/>
  <c r="P93"/>
  <c r="R53" i="8"/>
  <c r="O15" i="17"/>
  <c r="S8" i="20"/>
  <c r="AV9" i="17"/>
  <c r="AQ9"/>
  <c r="AG10"/>
  <c r="L120" i="20"/>
  <c r="Z13" i="17"/>
  <c r="S21" i="20"/>
  <c r="BM21" i="23"/>
  <c r="R69" i="24"/>
  <c r="F41" i="4"/>
  <c r="Q18" i="17"/>
  <c r="AK18"/>
  <c r="G138" i="8"/>
  <c r="AK17" i="17"/>
  <c r="F58" i="8"/>
  <c r="O58"/>
  <c r="T14" i="17"/>
  <c r="K96" i="20"/>
  <c r="Q96"/>
  <c r="S96"/>
  <c r="K88"/>
  <c r="K91"/>
  <c r="J5"/>
  <c r="I93"/>
  <c r="I11"/>
  <c r="M33"/>
  <c r="O5" i="23"/>
  <c r="P61" i="8"/>
  <c r="P71"/>
  <c r="S147"/>
  <c r="P58"/>
  <c r="AS17" i="17"/>
  <c r="AU17"/>
  <c r="AI18"/>
  <c r="J138" i="8"/>
  <c r="T138"/>
  <c r="R14" i="20"/>
  <c r="S14"/>
  <c r="S18"/>
  <c r="V22" i="17"/>
  <c r="K123" i="20"/>
  <c r="Q91"/>
  <c r="S91"/>
  <c r="AD13" i="17"/>
  <c r="S28" i="20"/>
  <c r="M34"/>
  <c r="AD6" i="23"/>
  <c r="M6"/>
  <c r="AD5"/>
  <c r="G30" i="4"/>
  <c r="S69" i="24"/>
  <c r="S83"/>
  <c r="S84"/>
  <c r="H55" i="8"/>
  <c r="AG21" i="17"/>
  <c r="H135" i="8"/>
  <c r="O16" i="17"/>
  <c r="Q15"/>
  <c r="AW14"/>
  <c r="Q20"/>
  <c r="AI12"/>
  <c r="J139" i="8"/>
  <c r="AX11" i="17"/>
  <c r="AS11"/>
  <c r="AC5" i="23"/>
  <c r="L34" i="20"/>
  <c r="L35"/>
  <c r="N19"/>
  <c r="N67"/>
  <c r="R61"/>
  <c r="S61"/>
  <c r="O4" i="23"/>
  <c r="O3"/>
  <c r="F21" i="4"/>
  <c r="AW15" i="17"/>
  <c r="AR15"/>
  <c r="AH16"/>
  <c r="I137" i="8"/>
  <c r="AT11" i="17"/>
  <c r="AT12"/>
  <c r="AY11"/>
  <c r="AY12"/>
  <c r="AJ12"/>
  <c r="K139" i="8"/>
  <c r="AX18" i="17"/>
  <c r="AZ17"/>
  <c r="AZ18"/>
  <c r="AR14"/>
  <c r="P124" i="20"/>
  <c r="K29"/>
  <c r="Q29"/>
  <c r="Q88"/>
  <c r="S88"/>
  <c r="Z16" i="17"/>
  <c r="AJ15"/>
  <c r="AA15"/>
  <c r="AA16"/>
  <c r="T40" i="8"/>
  <c r="J80"/>
  <c r="AD20" i="17"/>
  <c r="AF19"/>
  <c r="AF20"/>
  <c r="N10"/>
  <c r="N21"/>
  <c r="O72" i="8"/>
  <c r="F72"/>
  <c r="AK11" i="17"/>
  <c r="AK12"/>
  <c r="G139" i="8"/>
  <c r="Q12" i="17"/>
  <c r="F60" i="8"/>
  <c r="O60"/>
  <c r="AI13" i="17"/>
  <c r="O14"/>
  <c r="Q13"/>
  <c r="W6" i="23"/>
  <c r="P127" i="20"/>
  <c r="I26"/>
  <c r="I99"/>
  <c r="AV10" i="17"/>
  <c r="U13"/>
  <c r="R18" i="20"/>
  <c r="K5"/>
  <c r="J93"/>
  <c r="J11"/>
  <c r="T21" i="17"/>
  <c r="Q138" i="8"/>
  <c r="G145"/>
  <c r="E138"/>
  <c r="F138"/>
  <c r="N21" i="23"/>
  <c r="BM8"/>
  <c r="BM4"/>
  <c r="BM3"/>
  <c r="BQ21"/>
  <c r="Z14" i="17"/>
  <c r="AA13"/>
  <c r="AA14"/>
  <c r="AQ10"/>
  <c r="H32" i="20"/>
  <c r="H33"/>
  <c r="P26"/>
  <c r="I136" i="8"/>
  <c r="Y10" i="17"/>
  <c r="Y21"/>
  <c r="W4" i="23"/>
  <c r="W3"/>
  <c r="F5"/>
  <c r="G5"/>
  <c r="G4"/>
  <c r="G3"/>
  <c r="X4"/>
  <c r="X3"/>
  <c r="L127" i="20"/>
  <c r="P99"/>
  <c r="AI19" i="17"/>
  <c r="R51" i="20"/>
  <c r="S51"/>
  <c r="U51"/>
  <c r="P138" i="8"/>
  <c r="J145"/>
  <c r="P60"/>
  <c r="P72"/>
  <c r="O138"/>
  <c r="AS18" i="17"/>
  <c r="AU18"/>
  <c r="I52" i="8"/>
  <c r="M35" i="20"/>
  <c r="AD15" i="17"/>
  <c r="S29" i="20"/>
  <c r="I143" i="8"/>
  <c r="S136"/>
  <c r="Y5" i="23"/>
  <c r="H34" i="20"/>
  <c r="H35"/>
  <c r="P35"/>
  <c r="P33"/>
  <c r="K93"/>
  <c r="K11"/>
  <c r="Q11"/>
  <c r="S11"/>
  <c r="Q22" i="17"/>
  <c r="Q5" i="20"/>
  <c r="I124"/>
  <c r="F6" i="23"/>
  <c r="T80" i="8"/>
  <c r="E9" i="10"/>
  <c r="I144" i="8"/>
  <c r="S137"/>
  <c r="E8" i="10"/>
  <c r="F22" i="4"/>
  <c r="AS12" i="17"/>
  <c r="AU12"/>
  <c r="AU11"/>
  <c r="H142" i="8"/>
  <c r="R135"/>
  <c r="H134"/>
  <c r="R134"/>
  <c r="K41"/>
  <c r="G29" i="4"/>
  <c r="H30"/>
  <c r="Q123" i="20"/>
  <c r="S123"/>
  <c r="AK20" i="17"/>
  <c r="G140" i="8"/>
  <c r="F4" i="23"/>
  <c r="F3"/>
  <c r="P32" i="20"/>
  <c r="AC9" i="17"/>
  <c r="N8" i="23"/>
  <c r="R21"/>
  <c r="J26" i="20"/>
  <c r="J32"/>
  <c r="J99"/>
  <c r="J124"/>
  <c r="J127"/>
  <c r="U14" i="17"/>
  <c r="AJ13"/>
  <c r="V13"/>
  <c r="AS13"/>
  <c r="AX13"/>
  <c r="AI14"/>
  <c r="E139" i="8"/>
  <c r="F139"/>
  <c r="G146"/>
  <c r="Q139"/>
  <c r="AJ16" i="17"/>
  <c r="K137" i="8"/>
  <c r="AY15" i="17"/>
  <c r="AY16"/>
  <c r="AT15"/>
  <c r="AT16"/>
  <c r="N25" i="20"/>
  <c r="N33"/>
  <c r="R19"/>
  <c r="AK19" i="17"/>
  <c r="E145" i="8"/>
  <c r="F145"/>
  <c r="Q145"/>
  <c r="I32" i="20"/>
  <c r="I33"/>
  <c r="AW16" i="17"/>
  <c r="N120" i="20"/>
  <c r="R67"/>
  <c r="S67"/>
  <c r="L5" i="23"/>
  <c r="J146" i="8"/>
  <c r="T139"/>
  <c r="R55"/>
  <c r="C12" i="10"/>
  <c r="AD14" i="17"/>
  <c r="AF13"/>
  <c r="AF14"/>
  <c r="J33" i="20"/>
  <c r="AI20" i="17"/>
  <c r="J140" i="8"/>
  <c r="AX19" i="17"/>
  <c r="AS19"/>
  <c r="H56" i="8"/>
  <c r="AQ21" i="17"/>
  <c r="BQ8" i="23"/>
  <c r="BQ4"/>
  <c r="BQ3"/>
  <c r="BR21"/>
  <c r="BR8"/>
  <c r="BR4"/>
  <c r="BR3"/>
  <c r="H85" i="8"/>
  <c r="AV21" i="17"/>
  <c r="AK13"/>
  <c r="AK14"/>
  <c r="G136" i="8"/>
  <c r="Q14" i="17"/>
  <c r="U139" i="8"/>
  <c r="K146"/>
  <c r="AR16" i="17"/>
  <c r="I53" i="8"/>
  <c r="AC6" i="23"/>
  <c r="AX12" i="17"/>
  <c r="AZ11"/>
  <c r="AZ12"/>
  <c r="Q16"/>
  <c r="AG23"/>
  <c r="AG25"/>
  <c r="AD4" i="23"/>
  <c r="AD3"/>
  <c r="M5"/>
  <c r="M4"/>
  <c r="M3"/>
  <c r="Q93" i="20"/>
  <c r="S93"/>
  <c r="U146" i="8"/>
  <c r="P139"/>
  <c r="S144"/>
  <c r="T146"/>
  <c r="O145"/>
  <c r="P145"/>
  <c r="R142"/>
  <c r="T145"/>
  <c r="O139"/>
  <c r="S143"/>
  <c r="S52"/>
  <c r="S53"/>
  <c r="L6" i="23"/>
  <c r="L4"/>
  <c r="L3"/>
  <c r="R85" i="8"/>
  <c r="J147"/>
  <c r="T140"/>
  <c r="Z5" i="23"/>
  <c r="I34" i="20"/>
  <c r="I35"/>
  <c r="AE5" i="23"/>
  <c r="N34" i="20"/>
  <c r="R33"/>
  <c r="AJ24" i="17"/>
  <c r="J136" i="8"/>
  <c r="AJ14" i="17"/>
  <c r="AT13"/>
  <c r="AT14"/>
  <c r="K53" i="8"/>
  <c r="AY13" i="17"/>
  <c r="AY14"/>
  <c r="R8" i="23"/>
  <c r="S21"/>
  <c r="K26" i="20"/>
  <c r="K32"/>
  <c r="K33"/>
  <c r="K99"/>
  <c r="K124"/>
  <c r="K127"/>
  <c r="H5" i="23"/>
  <c r="AG5"/>
  <c r="AD16" i="17"/>
  <c r="AF15"/>
  <c r="AI15"/>
  <c r="AC4" i="23"/>
  <c r="AC3"/>
  <c r="AX20" i="17"/>
  <c r="AZ19"/>
  <c r="AZ20"/>
  <c r="R120" i="20"/>
  <c r="S120"/>
  <c r="N127"/>
  <c r="R127"/>
  <c r="Z9" i="17"/>
  <c r="R25" i="20"/>
  <c r="S19"/>
  <c r="S25"/>
  <c r="AA22" i="17"/>
  <c r="U137" i="8"/>
  <c r="K144"/>
  <c r="AC10" i="17"/>
  <c r="AC21"/>
  <c r="AH9"/>
  <c r="E140" i="8"/>
  <c r="F140"/>
  <c r="Q140"/>
  <c r="G147"/>
  <c r="U41"/>
  <c r="K40"/>
  <c r="G41"/>
  <c r="G143"/>
  <c r="Q136"/>
  <c r="F136"/>
  <c r="E136"/>
  <c r="AS20" i="17"/>
  <c r="AU20"/>
  <c r="AU19"/>
  <c r="AA5" i="23"/>
  <c r="J34" i="20"/>
  <c r="AA6" i="23"/>
  <c r="J6"/>
  <c r="AS14" i="17"/>
  <c r="G41" i="4"/>
  <c r="H29"/>
  <c r="F23"/>
  <c r="O9" i="17"/>
  <c r="S5" i="20"/>
  <c r="Y6" i="23"/>
  <c r="Y4"/>
  <c r="Y3"/>
  <c r="P34" i="20"/>
  <c r="R56" i="8"/>
  <c r="H87"/>
  <c r="C13" i="10"/>
  <c r="C24"/>
  <c r="C26"/>
  <c r="F146" i="8"/>
  <c r="Q146"/>
  <c r="E146"/>
  <c r="AX14" i="17"/>
  <c r="U21"/>
  <c r="V14"/>
  <c r="V21"/>
  <c r="V23"/>
  <c r="I127" i="20"/>
  <c r="Q127"/>
  <c r="S127"/>
  <c r="AH24" i="17"/>
  <c r="H81" i="8"/>
  <c r="O140"/>
  <c r="T147"/>
  <c r="P136"/>
  <c r="P140"/>
  <c r="U144"/>
  <c r="O146"/>
  <c r="P146"/>
  <c r="O136"/>
  <c r="AZ13" i="17"/>
  <c r="AZ14"/>
  <c r="AU13"/>
  <c r="Q26" i="20"/>
  <c r="S26"/>
  <c r="S32"/>
  <c r="AF22" i="17"/>
  <c r="Q124" i="20"/>
  <c r="S124"/>
  <c r="J35"/>
  <c r="K34"/>
  <c r="AB6" i="23"/>
  <c r="K6"/>
  <c r="AB5"/>
  <c r="U40" i="8"/>
  <c r="K80"/>
  <c r="G40"/>
  <c r="N5" i="23"/>
  <c r="AI5"/>
  <c r="Z6"/>
  <c r="AU14" i="17"/>
  <c r="J5" i="23"/>
  <c r="J4"/>
  <c r="J3"/>
  <c r="AA4"/>
  <c r="AA3"/>
  <c r="Q41" i="8"/>
  <c r="E41"/>
  <c r="D67" i="17"/>
  <c r="D68"/>
  <c r="S8" i="23"/>
  <c r="K136" i="8"/>
  <c r="K52"/>
  <c r="AE6" i="23"/>
  <c r="AE4"/>
  <c r="AE3"/>
  <c r="R34" i="20"/>
  <c r="AT23" i="17"/>
  <c r="AR23"/>
  <c r="E143" i="8"/>
  <c r="F143"/>
  <c r="Q143"/>
  <c r="Q147"/>
  <c r="E147"/>
  <c r="F147"/>
  <c r="AW9" i="17"/>
  <c r="AR9"/>
  <c r="AH10"/>
  <c r="AF16"/>
  <c r="AK16"/>
  <c r="G137" i="8"/>
  <c r="AK15" i="17"/>
  <c r="U53" i="8"/>
  <c r="Q99" i="20"/>
  <c r="S99"/>
  <c r="Q33"/>
  <c r="H6" i="23"/>
  <c r="P6"/>
  <c r="AG6"/>
  <c r="R81" i="8"/>
  <c r="R82"/>
  <c r="C25" i="10"/>
  <c r="H82" i="8"/>
  <c r="R87"/>
  <c r="O10" i="17"/>
  <c r="O21"/>
  <c r="Q9"/>
  <c r="G21" i="4"/>
  <c r="H41"/>
  <c r="Z10" i="17"/>
  <c r="Z21"/>
  <c r="AJ9"/>
  <c r="AA9"/>
  <c r="AA10"/>
  <c r="AA21"/>
  <c r="AA23"/>
  <c r="AX15"/>
  <c r="AI16"/>
  <c r="AS15"/>
  <c r="H4" i="23"/>
  <c r="H3"/>
  <c r="P5"/>
  <c r="J143" i="8"/>
  <c r="T136"/>
  <c r="I5" i="23"/>
  <c r="Z4"/>
  <c r="Z3"/>
  <c r="AH5"/>
  <c r="N35" i="20"/>
  <c r="R35"/>
  <c r="T143" i="8"/>
  <c r="O143"/>
  <c r="O147"/>
  <c r="P147"/>
  <c r="P143"/>
  <c r="AD9" i="17"/>
  <c r="AI9"/>
  <c r="AI10"/>
  <c r="Q32" i="20"/>
  <c r="Q34"/>
  <c r="AS16" i="17"/>
  <c r="AU15"/>
  <c r="AJ10"/>
  <c r="AY9"/>
  <c r="AY10"/>
  <c r="AT9"/>
  <c r="AT10"/>
  <c r="Q10"/>
  <c r="Q21"/>
  <c r="Q23"/>
  <c r="AW10"/>
  <c r="R5" i="23"/>
  <c r="U80" i="8"/>
  <c r="F9" i="10"/>
  <c r="G80" i="8"/>
  <c r="S128" i="20"/>
  <c r="F8" i="10"/>
  <c r="G22" i="4"/>
  <c r="H21"/>
  <c r="AR10" i="17"/>
  <c r="U136" i="8"/>
  <c r="K143"/>
  <c r="E40"/>
  <c r="Q40"/>
  <c r="K5" i="23"/>
  <c r="K4"/>
  <c r="K3"/>
  <c r="AB4"/>
  <c r="AB3"/>
  <c r="AK22" i="17"/>
  <c r="P4" i="23"/>
  <c r="P3"/>
  <c r="AX16" i="17"/>
  <c r="AZ15"/>
  <c r="AZ16"/>
  <c r="AI24"/>
  <c r="S33" i="20"/>
  <c r="AK24" i="17"/>
  <c r="I135" i="8"/>
  <c r="I55"/>
  <c r="AH21" i="17"/>
  <c r="U52" i="8"/>
  <c r="O41"/>
  <c r="F41"/>
  <c r="AG4" i="23"/>
  <c r="AG3"/>
  <c r="K35" i="20"/>
  <c r="Q35"/>
  <c r="S35"/>
  <c r="J137" i="8"/>
  <c r="J52"/>
  <c r="G144"/>
  <c r="F137"/>
  <c r="Q137"/>
  <c r="E137"/>
  <c r="N6" i="23"/>
  <c r="R6"/>
  <c r="AI6"/>
  <c r="AI4"/>
  <c r="AI3"/>
  <c r="I6"/>
  <c r="Q6"/>
  <c r="AH6"/>
  <c r="AJ5"/>
  <c r="O137" i="8"/>
  <c r="P137"/>
  <c r="U143"/>
  <c r="P41"/>
  <c r="S6" i="23"/>
  <c r="AD10" i="17"/>
  <c r="AD21"/>
  <c r="AJ6" i="23"/>
  <c r="AJ4"/>
  <c r="AJ3"/>
  <c r="AF9" i="17"/>
  <c r="AF10"/>
  <c r="AF21"/>
  <c r="AF23"/>
  <c r="AS9"/>
  <c r="AS10"/>
  <c r="AU10"/>
  <c r="AX9"/>
  <c r="AX10"/>
  <c r="AX21"/>
  <c r="AS23"/>
  <c r="S34" i="20"/>
  <c r="AU23" i="17"/>
  <c r="I4" i="23"/>
  <c r="I3"/>
  <c r="AH25" i="17"/>
  <c r="AH23"/>
  <c r="O40" i="8"/>
  <c r="F40"/>
  <c r="E80"/>
  <c r="I56"/>
  <c r="AR21" i="17"/>
  <c r="G9" i="10"/>
  <c r="AT21" i="17"/>
  <c r="K56" i="8"/>
  <c r="AU16" i="17"/>
  <c r="J53" i="8"/>
  <c r="AZ9" i="17"/>
  <c r="AZ10"/>
  <c r="AZ21"/>
  <c r="AU9"/>
  <c r="N4" i="23"/>
  <c r="N3"/>
  <c r="E144" i="8"/>
  <c r="Q144"/>
  <c r="F144"/>
  <c r="T52"/>
  <c r="G52"/>
  <c r="J85"/>
  <c r="G23" i="4"/>
  <c r="H22"/>
  <c r="H23"/>
  <c r="Q80" i="8"/>
  <c r="K135"/>
  <c r="AJ21" i="17"/>
  <c r="K55" i="8"/>
  <c r="Q5" i="23"/>
  <c r="R4"/>
  <c r="R3"/>
  <c r="AK9" i="17"/>
  <c r="AK10"/>
  <c r="T137" i="8"/>
  <c r="J144"/>
  <c r="I142"/>
  <c r="S135"/>
  <c r="I134"/>
  <c r="S134"/>
  <c r="S55"/>
  <c r="D12" i="10"/>
  <c r="J55" i="8"/>
  <c r="J135"/>
  <c r="AI21" i="17"/>
  <c r="G8" i="10"/>
  <c r="AW21" i="17"/>
  <c r="I85" i="8"/>
  <c r="K85"/>
  <c r="AY21" i="17"/>
  <c r="AH4" i="23"/>
  <c r="AH3"/>
  <c r="U85" i="8"/>
  <c r="T144"/>
  <c r="O144"/>
  <c r="S142"/>
  <c r="T85"/>
  <c r="T55"/>
  <c r="P144"/>
  <c r="I81"/>
  <c r="J56"/>
  <c r="AS21" i="17"/>
  <c r="AU21"/>
  <c r="AU24"/>
  <c r="G55" i="8"/>
  <c r="T135"/>
  <c r="J142"/>
  <c r="J134"/>
  <c r="T134"/>
  <c r="K134"/>
  <c r="U134"/>
  <c r="U135"/>
  <c r="K142"/>
  <c r="O80"/>
  <c r="AI25" i="17"/>
  <c r="AI23"/>
  <c r="G135" i="8"/>
  <c r="AK21" i="17"/>
  <c r="AJ23"/>
  <c r="AJ25"/>
  <c r="Q52" i="8"/>
  <c r="E52"/>
  <c r="T53"/>
  <c r="G53"/>
  <c r="S56"/>
  <c r="D13" i="10"/>
  <c r="D24"/>
  <c r="D26"/>
  <c r="I87" i="8"/>
  <c r="U55"/>
  <c r="K81"/>
  <c r="F12" i="10"/>
  <c r="E55" i="8"/>
  <c r="S85"/>
  <c r="G85"/>
  <c r="Q4" i="23"/>
  <c r="Q3"/>
  <c r="S5"/>
  <c r="S4"/>
  <c r="S3"/>
  <c r="U56" i="8"/>
  <c r="F13" i="10"/>
  <c r="K87" i="8"/>
  <c r="P40"/>
  <c r="F80"/>
  <c r="E12" i="10"/>
  <c r="I82" i="8"/>
  <c r="S81"/>
  <c r="S82"/>
  <c r="U87"/>
  <c r="U142"/>
  <c r="T142"/>
  <c r="T56"/>
  <c r="Q55"/>
  <c r="D25" i="10"/>
  <c r="J81" i="8"/>
  <c r="G56"/>
  <c r="J87"/>
  <c r="E13" i="10"/>
  <c r="E24"/>
  <c r="E26"/>
  <c r="O55" i="8"/>
  <c r="F55"/>
  <c r="Q53"/>
  <c r="E53"/>
  <c r="O52"/>
  <c r="F52"/>
  <c r="AU22" i="17"/>
  <c r="AK23"/>
  <c r="AK25"/>
  <c r="F24" i="10"/>
  <c r="F26"/>
  <c r="P80" i="8"/>
  <c r="Q85"/>
  <c r="E85"/>
  <c r="F85"/>
  <c r="G12" i="10"/>
  <c r="U81" i="8"/>
  <c r="U82"/>
  <c r="F25" i="10"/>
  <c r="K82" i="8"/>
  <c r="S87"/>
  <c r="Q135"/>
  <c r="G134"/>
  <c r="E135"/>
  <c r="F135"/>
  <c r="G142"/>
  <c r="G13" i="10"/>
  <c r="H13"/>
  <c r="P85" i="8"/>
  <c r="P55"/>
  <c r="Q56"/>
  <c r="T87"/>
  <c r="P135"/>
  <c r="O85"/>
  <c r="E25" i="10"/>
  <c r="G25"/>
  <c r="T81" i="8"/>
  <c r="T82"/>
  <c r="G81"/>
  <c r="E56"/>
  <c r="G87"/>
  <c r="J82"/>
  <c r="F134"/>
  <c r="P134"/>
  <c r="Q134"/>
  <c r="O53"/>
  <c r="F53"/>
  <c r="H12" i="10"/>
  <c r="E142" i="8"/>
  <c r="Q142"/>
  <c r="F142"/>
  <c r="O135"/>
  <c r="E134"/>
  <c r="O134"/>
  <c r="P52"/>
  <c r="G24" i="10"/>
  <c r="G26"/>
  <c r="E81" i="8"/>
  <c r="Q87"/>
  <c r="O142"/>
  <c r="P142"/>
  <c r="E87"/>
  <c r="O56"/>
  <c r="F87"/>
  <c r="F56"/>
  <c r="Q81"/>
  <c r="Q82"/>
  <c r="S1" i="23"/>
  <c r="R1"/>
  <c r="G82" i="8"/>
  <c r="F81"/>
  <c r="P53"/>
  <c r="P81"/>
  <c r="P82"/>
  <c r="O87"/>
  <c r="E82"/>
  <c r="P56"/>
  <c r="P87"/>
  <c r="O81"/>
  <c r="O82"/>
  <c r="F82"/>
</calcChain>
</file>

<file path=xl/comments1.xml><?xml version="1.0" encoding="utf-8"?>
<comments xmlns="http://schemas.openxmlformats.org/spreadsheetml/2006/main">
  <authors>
    <author>Автор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навести вичерпний перелік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sz val="8"/>
            <color indexed="81"/>
            <rFont val="Tahoma"/>
            <family val="2"/>
            <charset val="204"/>
          </rPr>
          <t>у разі наявності персоналу однієї категорії з різною ставкою ЄСВ (22% або 8.41%)- персонал з пільговою ставкою ЄСВ (8.41%) зазначати в окремому стовпці</t>
        </r>
      </text>
    </comment>
    <comment ref="AL7" authorId="0">
      <text>
        <r>
          <rPr>
            <sz val="9"/>
            <color indexed="81"/>
            <rFont val="Tahoma"/>
            <family val="2"/>
            <charset val="204"/>
          </rPr>
          <t>не більше 417.30 за добу - 0,1 рoзміру мінімальної заробітної плати, вcтановленої зaконом на 1 січня пoдаткового (звітного) року, в розрахунку зa кoжeн кaлендарний день тaкого відpядження</t>
        </r>
      </text>
    </comment>
  </commentList>
</comments>
</file>

<file path=xl/sharedStrings.xml><?xml version="1.0" encoding="utf-8"?>
<sst xmlns="http://schemas.openxmlformats.org/spreadsheetml/2006/main" count="3986" uniqueCount="1338">
  <si>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</si>
  <si>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</si>
  <si>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</si>
  <si>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</si>
  <si>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</si>
  <si>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</si>
  <si>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</si>
  <si>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</si>
  <si>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</si>
  <si>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</si>
  <si>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r>
      <rPr>
        <b/>
        <u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>. зазначте відсоток розподілу закупівель за кварталами року (комірки C151-F151 та C159-F159) (автоматично зазначено рівномірний розподіл закупівель протягом 4 кварталів - 25% на кожний квартал).</t>
    </r>
  </si>
  <si>
    <r>
      <rPr>
        <b/>
        <u/>
        <sz val="13"/>
        <rFont val="Times New Roman"/>
        <family val="1"/>
        <charset val="204"/>
      </rPr>
      <t>3.</t>
    </r>
    <r>
      <rPr>
        <b/>
        <sz val="13"/>
        <rFont val="Times New Roman"/>
        <family val="1"/>
        <charset val="204"/>
      </rPr>
      <t xml:space="preserve"> з</t>
    </r>
    <r>
      <rPr>
        <sz val="13"/>
        <rFont val="Times New Roman"/>
        <family val="1"/>
        <charset val="204"/>
      </rPr>
      <t>азначте суму для здійснення розподілу закупівель по Табелю матеріально-технічного оснащення (комірка В138) на 3 групи (автоматично зазначено 6000 грн. відповідно до норм податкового обліку).</t>
    </r>
  </si>
  <si>
    <t xml:space="preserve">План закупок Надавача ПМД відповідно до табелю матеріально-технічного оснащення </t>
  </si>
  <si>
    <r>
      <t>«ІНСАЙТ 4.0» -</t>
    </r>
    <r>
      <rPr>
        <b/>
        <sz val="14"/>
        <color indexed="8"/>
        <rFont val="Times New Roman"/>
        <family val="1"/>
        <charset val="204"/>
      </rPr>
      <t xml:space="preserve"> Електронний інструмент з фінансового планування доходів та видатків надавача первинної медичної допомоги</t>
    </r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</si>
  <si>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</si>
  <si>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</si>
  <si>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</si>
  <si>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</si>
  <si>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</si>
  <si>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</si>
  <si>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</si>
  <si>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</si>
  <si>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</si>
  <si>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</si>
  <si>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</si>
  <si>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</si>
  <si>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</si>
  <si>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</si>
  <si>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</si>
  <si>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</si>
  <si>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</si>
  <si>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</si>
  <si>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</si>
  <si>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</si>
  <si>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</si>
  <si>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</si>
  <si>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тис. грн.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</si>
  <si>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</si>
  <si>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</si>
  <si>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</si>
  <si>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</si>
  <si>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</si>
  <si>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</si>
  <si>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</si>
  <si>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</si>
  <si>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</si>
  <si>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</si>
  <si>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</si>
  <si>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</si>
  <si>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</si>
  <si>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</si>
  <si>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</si>
  <si>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</si>
  <si>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 xml:space="preserve">назва 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</si>
  <si>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</si>
  <si>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</si>
  <si>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</si>
  <si>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</si>
  <si>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</si>
  <si>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</si>
  <si>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</si>
  <si>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</si>
  <si>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</si>
  <si>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</si>
  <si>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</si>
  <si>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</si>
  <si>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</si>
  <si>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</si>
  <si>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</si>
  <si>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</si>
  <si>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</si>
  <si>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</si>
  <si>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</si>
  <si>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</si>
  <si>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</si>
  <si>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</si>
  <si>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</si>
  <si>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</si>
  <si>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</si>
  <si>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</si>
  <si>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</si>
  <si>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</si>
  <si>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</si>
  <si>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</si>
  <si>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</si>
  <si>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</si>
  <si>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</si>
  <si>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</si>
  <si>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</si>
  <si>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</si>
  <si>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</si>
  <si>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</si>
  <si>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</si>
  <si>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</si>
  <si>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</si>
  <si>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</si>
  <si>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</si>
  <si>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</si>
  <si>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</si>
  <si>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</si>
  <si>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</si>
  <si>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</si>
  <si>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</si>
  <si>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</si>
  <si>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</si>
  <si>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</si>
  <si>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</si>
  <si>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</si>
  <si>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</si>
  <si>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</si>
  <si>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</si>
  <si>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x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</si>
  <si>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</si>
  <si>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</si>
  <si>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</si>
  <si>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</si>
  <si>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</si>
  <si>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</si>
  <si>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</si>
  <si>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</si>
  <si>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Всього інші доходи (пункт 3), грн.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</si>
  <si>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</si>
  <si>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</si>
  <si>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</si>
  <si>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</si>
  <si>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</si>
  <si>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</si>
  <si>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</si>
  <si>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</si>
  <si>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</si>
  <si>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</si>
  <si>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</si>
  <si>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</si>
  <si>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</si>
  <si>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</si>
  <si>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</si>
  <si>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Показник/Період</t>
  </si>
  <si>
    <t>за рік</t>
  </si>
  <si>
    <t>ціна за 1 Гкал на початок кварталу, грн.</t>
  </si>
  <si>
    <t>очікуваний обсяг споживання теплової енергії у відповідному кварталі, Гкал</t>
  </si>
  <si>
    <t>обсяг витрат на теплопостачання, грн.</t>
  </si>
  <si>
    <t>обсяг витрат на гарячу воду, грн.</t>
  </si>
  <si>
    <t>обсяг витрат на холодну воду, грн.</t>
  </si>
  <si>
    <t>обсяг витрат на водовідведення, грн.</t>
  </si>
  <si>
    <t>загальні витрати на електроенергію, грн.</t>
  </si>
  <si>
    <t>обсяг витрат на природний газ, грн.</t>
  </si>
  <si>
    <t>Персонал / Показник</t>
  </si>
  <si>
    <t>Група персоналу</t>
  </si>
  <si>
    <t xml:space="preserve"> Ставка ЄСВ для відповідної посади, %</t>
  </si>
  <si>
    <t>Керівники</t>
  </si>
  <si>
    <t>ОПЛАТА ПРАЦІ</t>
  </si>
  <si>
    <t>Витрати на теплопостачання</t>
  </si>
  <si>
    <t>Витрати на водопостачання та водовідведення</t>
  </si>
  <si>
    <t>Витрати на електроенергію</t>
  </si>
  <si>
    <t>Витрати на природний газ</t>
  </si>
  <si>
    <t>КОМУНАЛЬНІ ВИТРАТИ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</si>
  <si>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</si>
  <si>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</si>
  <si>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</si>
  <si>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</si>
  <si>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</si>
  <si>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>окремі заходи по реалізації державних (регіональних) програм, не віднесені до заходів розвитку</t>
  </si>
  <si>
    <t xml:space="preserve">Сума ПДВ до Державного бюджету України </t>
  </si>
  <si>
    <t>Сума плати за землю</t>
  </si>
  <si>
    <t>Інші операційні доходи, грн.</t>
  </si>
  <si>
    <t>Сума плати за воду</t>
  </si>
  <si>
    <t>Транспортний податок з юридичних осіб</t>
  </si>
  <si>
    <t>Податок на нерухомість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</si>
  <si>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</si>
  <si>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</si>
  <si>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</si>
  <si>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</si>
  <si>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</si>
  <si>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Примітка</t>
  </si>
  <si>
    <t>сума повинна співвідноситись із сумою отриманого доходу на ці заходи</t>
  </si>
  <si>
    <t>вказати суму, якщо такий фонд передбачено Статутом/колективним договором</t>
  </si>
  <si>
    <t>відповідно до Закону України "Про охорону праці" (0.5% від фонду оплати праці за попередній рік)</t>
  </si>
  <si>
    <t>вказати суму, якщо даний податок сплачується</t>
  </si>
  <si>
    <t>вказати суму таких податків і зборів, за виключенням ЄСВ</t>
  </si>
  <si>
    <t>Вартість основних засобів</t>
  </si>
  <si>
    <t>відповідно до рахунків 10 "Основні засоби", 11 "Інші необоротні матеріальні активи", 12 "Нематеріальні активи"</t>
  </si>
  <si>
    <t>відповідно до рахунку 13 "Знос (амортизація) необоротних активів"</t>
  </si>
  <si>
    <t>відповідно до рахунку 15 "Капітальні інвестиції"</t>
  </si>
  <si>
    <t>Витрати на охорону праці</t>
  </si>
  <si>
    <t>до 1 року</t>
  </si>
  <si>
    <t>Основні засоби</t>
  </si>
  <si>
    <t>Малоцінні необоротні матеріальні активи</t>
  </si>
  <si>
    <t>Предмети, матеріали</t>
  </si>
  <si>
    <t>більше 1 року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</si>
  <si>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</si>
  <si>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</si>
  <si>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</si>
  <si>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</si>
  <si>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</si>
  <si>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Кількість штатних одиниць, од.</t>
  </si>
  <si>
    <t>видатки на охорону праці</t>
  </si>
  <si>
    <t>Видатки у І кварталі, грн.</t>
  </si>
  <si>
    <t>Видатки у ІІ кварталі, грн.</t>
  </si>
  <si>
    <t>Видатки у ІІІ кварталі, грн.</t>
  </si>
  <si>
    <t>Видатки у IV кварталі, грн.</t>
  </si>
  <si>
    <t xml:space="preserve">Необоротні активи </t>
  </si>
  <si>
    <t>Оборотні активи</t>
  </si>
  <si>
    <t>Термін експлуатації (більше або менше 1 року)</t>
  </si>
  <si>
    <t>реалізація окремих заходів державних (регіональних) програм, не віднесені до заходів розвитку, грн.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</si>
  <si>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</si>
  <si>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</si>
  <si>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</si>
  <si>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</si>
  <si>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</si>
  <si>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</si>
  <si>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</si>
  <si>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</si>
  <si>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</si>
  <si>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</si>
  <si>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</si>
  <si>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</si>
  <si>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</si>
  <si>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</si>
  <si>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</si>
  <si>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</si>
  <si>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</si>
  <si>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</si>
  <si>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</si>
  <si>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</si>
  <si>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</si>
  <si>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</si>
  <si>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</si>
  <si>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</si>
  <si>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</si>
  <si>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</si>
  <si>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</si>
  <si>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</si>
  <si>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</si>
  <si>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</si>
  <si>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</si>
  <si>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</si>
  <si>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</si>
  <si>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</si>
  <si>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</si>
  <si>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</si>
  <si>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</si>
  <si>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</si>
  <si>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</si>
  <si>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</si>
  <si>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</si>
  <si>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</si>
  <si>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покриття вартості комунальних послуг та енергоносіїв надавача МД, грн.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</si>
  <si>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</si>
  <si>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</si>
  <si>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</si>
  <si>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</si>
  <si>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</si>
  <si>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t>В.С.Редзій</t>
  </si>
  <si>
    <t>ВСЬОГО ВИДАТКІВ надавача МД, грн.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</si>
  <si>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</si>
  <si>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r>
      <t xml:space="preserve">Всього річні ДОХОДИ надавача МД, </t>
    </r>
    <r>
      <rPr>
        <b/>
        <i/>
        <sz val="16"/>
        <rFont val="Times New Roman"/>
        <family val="1"/>
        <charset val="204"/>
      </rPr>
      <t>грн.</t>
    </r>
  </si>
  <si>
    <t>Всього річні ВИДАТКИ надавача МД, грн.</t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</si>
  <si>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</si>
  <si>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</si>
  <si>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Капітальні інвестиції</t>
  </si>
  <si>
    <t xml:space="preserve">Витрати на канцтовари, офісне приладдя та устаткування </t>
  </si>
  <si>
    <t xml:space="preserve">Програма розвитку та підтримки комунального підприємства </t>
  </si>
  <si>
    <t>Комунальне підприємство "Рожищенська багатопрофільна лікарня" Рожищенської міської ради</t>
  </si>
  <si>
    <t>Надходження від надання послуг МД іноземцям, грн.</t>
  </si>
  <si>
    <t>Надходження за надання послуг МД, що не входять до програми медичних гарантій, грн.</t>
  </si>
  <si>
    <t xml:space="preserve">Надходження від надання послуг 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</si>
  <si>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</si>
  <si>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</si>
  <si>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</si>
  <si>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</si>
  <si>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</si>
  <si>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</si>
  <si>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</si>
  <si>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</si>
  <si>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</si>
  <si>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</si>
  <si>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</si>
  <si>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</si>
  <si>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</si>
  <si>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</si>
  <si>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</si>
  <si>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</si>
  <si>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</si>
  <si>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</si>
  <si>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</si>
  <si>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</si>
  <si>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</si>
  <si>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</si>
  <si>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</si>
  <si>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</si>
  <si>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</si>
  <si>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</si>
  <si>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</si>
  <si>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</si>
  <si>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</si>
  <si>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</si>
  <si>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</si>
  <si>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</si>
  <si>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</si>
  <si>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</si>
  <si>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</si>
  <si>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</si>
  <si>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</si>
  <si>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</si>
  <si>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</si>
  <si>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</si>
  <si>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</si>
  <si>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</si>
  <si>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</si>
  <si>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</si>
  <si>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</si>
  <si>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ЛІКАРСЬКИЙ МЕДИЧНИЙ ПЕРСОНАЛ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</si>
  <si>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</si>
  <si>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</si>
  <si>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</si>
  <si>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</si>
  <si>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</si>
  <si>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</si>
  <si>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</si>
  <si>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</si>
  <si>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вища категорія терапія № 130-ос/к - 26.06.2018</t>
  </si>
  <si>
    <t>Вінська Т.Й.</t>
  </si>
  <si>
    <t>Лікар - акушер - гінеколог</t>
  </si>
  <si>
    <t>ІІ категорія акушерство і гінекологія № 343-ос/к - 13.12.2017</t>
  </si>
  <si>
    <t>Семенюк В.С.</t>
  </si>
  <si>
    <t>вакансія</t>
  </si>
  <si>
    <t>Лікар-дерматовенеролог</t>
  </si>
  <si>
    <t>вища категорія дерматовенерологія № 54-ос/к - 27.12.2019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</si>
  <si>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</si>
  <si>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</si>
  <si>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</si>
  <si>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</si>
  <si>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</si>
  <si>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</si>
  <si>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</si>
  <si>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 - інфекціоніст (кабінету Довіра )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</si>
  <si>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</si>
  <si>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</si>
  <si>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</si>
  <si>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</si>
  <si>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</si>
  <si>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</si>
  <si>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>від 24.12.2021 року № 15/22</t>
  </si>
  <si>
    <t xml:space="preserve">ЗАТВЕРДЖЕНО </t>
  </si>
  <si>
    <t>Тетяна Величко 0673342252</t>
  </si>
  <si>
    <t>Монтаж системи киснепостачання КНП "Рожищенська ЦРЛ"</t>
  </si>
  <si>
    <t>3 ХІРУРГІЧНІ ОПЕРАЦІЇ ДОРОСЛИМ ТА ДІТЯМ У СТАЦІОНАРНИХ УМОВАХ</t>
  </si>
  <si>
    <t>4 СТАЦІОНАРНА ДОПОМОГА ДОРОСЛИМ ТА ДІТЯМ БЕЗ ПРОВЕДЕННЯ ХІРУРГІЧНИХ ОПЕРАЦІЙ</t>
  </si>
  <si>
    <t>7 МЕДИЧНА ДОПОМОГА ПРИ ПОЛОГАХ</t>
  </si>
  <si>
    <t>9 ПРОФІЛАКТИКА, ДІАГНОСТИКА, СПОСТЕРЕЖЕННЯ, ЛІКУВАННЯ ТА РЕАБІЛІТАЦІЯ В АМБУЛАТОРНИХ УМОВАХ</t>
  </si>
  <si>
    <t>11 ГІСТЕРОСКОПІЯ</t>
  </si>
  <si>
    <t>23 СТАЦІОНАРНА ПАЛІАТИВНА МЕДИЧНА ДОПОМОГА ДОРОСЛИМ ТА ДІТЯМ</t>
  </si>
  <si>
    <t>24 МОБІЛЬНА ПАЛІАТИВНА МЕДИЧНА ДОПОМОГА ДОРОСЛИМ І ДІТЯМ</t>
  </si>
  <si>
    <t>34 СТОМАТОЛОГІЧНА ДОПОМОГА ДОРОСЛИМ ТА ДІТЯМ</t>
  </si>
  <si>
    <t>35 ВЕДЕННЯ ВАГІТНОСТІ В АМБУЛАТОРНИХ УМОВАХ</t>
  </si>
  <si>
    <t>47 ХІРУРГІЧНІ ОПЕРАЦІЇ ДОРОСЛИМ ТА ДІТЯМ В УМОВАХ СТАЦІОНАРУ ОДНОГО ДНЯ</t>
  </si>
  <si>
    <t>31 СТАЦІОНАРНА МЕДИЧНА ДОПОМОГА ПАЦІЄНТАМ З ГОСТРОЮ РЕСПІРАТОРНОЮ ХВОРОБОЮ COVID-19, СПРИЧИНЕНОЮ КОРОНАВІРУСОМ SARS-COV-2</t>
  </si>
  <si>
    <t>Додаток 50. Пакет медичних послуг "Забезпечення кадрового потенціалу системи охорони здоров’я шляхом організації надання медичної допомоги із залученням лікарів-інтернів"</t>
  </si>
  <si>
    <t>укладений договір</t>
  </si>
  <si>
    <t>від ______________________ 2022 року № _______</t>
  </si>
  <si>
    <t>Конкретна назва предмета закупівлі</t>
  </si>
  <si>
    <t>Договір</t>
  </si>
  <si>
    <t>Постачальник</t>
  </si>
  <si>
    <t>ДК 021-2015</t>
  </si>
  <si>
    <t>Придбано</t>
  </si>
  <si>
    <t>Лазер хірургічний діодний Lika-surgeon+10ВТ 1940нм</t>
  </si>
  <si>
    <t>533/3</t>
  </si>
  <si>
    <t>Західна фармацевтична компанія</t>
  </si>
  <si>
    <t>33160000-9 Устаткування для операційних блоків</t>
  </si>
  <si>
    <t>Інфільтраційна помпа DP30, з педаллю Vario</t>
  </si>
  <si>
    <t>514</t>
  </si>
  <si>
    <t>Степанюк Л.В.</t>
  </si>
  <si>
    <t>Автоматичний Рефрактор Кератометр URK-700A </t>
  </si>
  <si>
    <t>1064-08/22</t>
  </si>
  <si>
    <t>33122000-1Офтальмологічне обладнання</t>
  </si>
  <si>
    <t>Лампа щілинна ЩЛ-2Б</t>
  </si>
  <si>
    <t>33120000-7 Системи реєстрації медичної інформації та дослідне обладнання</t>
  </si>
  <si>
    <t>ІНМА</t>
  </si>
  <si>
    <t xml:space="preserve">Балон в\т 40л вуглекисл. </t>
  </si>
  <si>
    <t>00007</t>
  </si>
  <si>
    <t>Волиньпромзабезпечення</t>
  </si>
  <si>
    <t>42662000-4 Зварювальні матеріали та обладнання</t>
  </si>
  <si>
    <t>Простинь 75*75 тк.бязь</t>
  </si>
  <si>
    <t>1</t>
  </si>
  <si>
    <t>ТзОВ Волинь-текстиль-контакт</t>
  </si>
  <si>
    <t>39510000-0 Вироби домашнього текстилю</t>
  </si>
  <si>
    <t>Серветка 30*30 тк. бязь</t>
  </si>
  <si>
    <t>Простинь 1,5 сп бязь</t>
  </si>
  <si>
    <t>Подушка</t>
  </si>
  <si>
    <t xml:space="preserve">Бойлер "Атлантік" 50 л  </t>
  </si>
  <si>
    <t>49</t>
  </si>
  <si>
    <t>Калитюк О.А.</t>
  </si>
  <si>
    <t>39710000-2 Електричні побутові прилади</t>
  </si>
  <si>
    <t xml:space="preserve">Сковорідка чугунна 26см </t>
  </si>
  <si>
    <t>487</t>
  </si>
  <si>
    <t>Волощук А.Г.</t>
  </si>
  <si>
    <t>39220000-0 Кухонне приладдя</t>
  </si>
  <si>
    <t xml:space="preserve">Тонометр механічний Teta  </t>
  </si>
  <si>
    <t>64</t>
  </si>
  <si>
    <t>ТзОВ "Тетафарм"</t>
  </si>
  <si>
    <t xml:space="preserve">Кісткотримач великий, 280мм </t>
  </si>
  <si>
    <t>ФОП Франчук О.В. </t>
  </si>
  <si>
    <t xml:space="preserve">Кісткові щипці,вигнуті, малі Wuhu kaimao  </t>
  </si>
  <si>
    <t xml:space="preserve">Кісткові щипці,вигнуті, великі Wuhu kaimao </t>
  </si>
  <si>
    <t>Перфератор МРТ 800 W</t>
  </si>
  <si>
    <t>848-20/04</t>
  </si>
  <si>
    <t>Давидович О.Г.</t>
  </si>
  <si>
    <t>43830000-0 Електричні інструменти</t>
  </si>
  <si>
    <t>Бензиновий тример</t>
  </si>
  <si>
    <t>3-05/22</t>
  </si>
  <si>
    <t>Миколайчук І.В.</t>
  </si>
  <si>
    <t>16310000-1 Косарки</t>
  </si>
  <si>
    <t>Світильник оглядовий VioLight-2</t>
  </si>
  <si>
    <t>397/3</t>
  </si>
  <si>
    <t>33167000-8 Хірургічні світильники</t>
  </si>
  <si>
    <t>Холодильники "Атлант"МХМ-2835.55</t>
  </si>
  <si>
    <t>838-07/22</t>
  </si>
  <si>
    <t>Гребінь М.О.</t>
  </si>
  <si>
    <t>Морозильна камера GCFW-300</t>
  </si>
  <si>
    <t>30-07.22</t>
  </si>
  <si>
    <t>Бойлер Novatec Standare NS-S 50</t>
  </si>
  <si>
    <t>5314-07/22</t>
  </si>
  <si>
    <t>ПП Шварцкоп Валерiй Борисович</t>
  </si>
  <si>
    <t>42161000-5 Водонагрівальні бойлери</t>
  </si>
  <si>
    <t>Пральна машина GorenjeW1NEI 72 SBS</t>
  </si>
  <si>
    <t>09-06/22</t>
  </si>
  <si>
    <t>39713200-5 Пральні та сушильні машини</t>
  </si>
  <si>
    <t>Принтер HP LaserJet P2015dn</t>
  </si>
  <si>
    <t>439-06/22</t>
  </si>
  <si>
    <t>Лелюх В.В.</t>
  </si>
  <si>
    <t>30230000-0 Комп’ютерне обладнання</t>
  </si>
  <si>
    <t>Кущоріз електричний</t>
  </si>
  <si>
    <t>5-14/06-22</t>
  </si>
  <si>
    <t>16160000-4 Садова техніка різна: кущоріз електричний</t>
  </si>
  <si>
    <t>Жалюзi вертикальні</t>
  </si>
  <si>
    <t>16-06/22</t>
  </si>
  <si>
    <t>Євродек-М</t>
  </si>
  <si>
    <t>39515000-5 Штори, портьєри, кухонні штори та тканинні жалюзі</t>
  </si>
  <si>
    <t>Універсальна пробна оправа, з градусною шкалою по системі САБО</t>
  </si>
  <si>
    <t>596/В</t>
  </si>
  <si>
    <t>Васнєцова Н.І.</t>
  </si>
  <si>
    <t>33730000-6 Офтальмологічні вироби та коригувальні лінзи</t>
  </si>
  <si>
    <t>Персональний комп'ютер Intel Core i3-10105</t>
  </si>
  <si>
    <t>445-06/22</t>
  </si>
  <si>
    <t>30210000-4 Машини для обробки даних (апаратна частина)</t>
  </si>
  <si>
    <t>Морозильна скриня GCFW-300</t>
  </si>
  <si>
    <t>06-07/22</t>
  </si>
  <si>
    <t>Роїк Р.Ю.</t>
  </si>
  <si>
    <t>39710000-2: Електричні побутові прилади</t>
  </si>
  <si>
    <t>Монітор Philips 271V8LA/00</t>
  </si>
  <si>
    <t>553-08/22</t>
  </si>
  <si>
    <t>30230000-0: Комп’ютерне обладнання</t>
  </si>
  <si>
    <t>світловодний інструмент для лазерної хірургії LGO-Innity Side Fiber, світловодний інструмент для лазерної хірургії LGO-Saturn Side Fiber</t>
  </si>
  <si>
    <t>33160000-9: Устаткування для операційних блоків:</t>
  </si>
  <si>
    <t>секція огорожа 3Д вис.2м., довж.2,5м, розміром вічка 50*200мм, товщ. дроту 4+4 мм., оц.+зел.; стовп для огорожі вис.2,5м, розм.60*40мм.; кріплення прижимне оц.+фарба зелене</t>
  </si>
  <si>
    <t>44310000-6 — Вироби з дроту</t>
  </si>
  <si>
    <t>каструля нержав. 16л., каструля оцинков.15 л., каструля оцинков. 5 л.</t>
  </si>
  <si>
    <t>39220000-0: Кухонне приладдя, товари для дому та господарства і приладдя для закладів громадського харчування</t>
  </si>
  <si>
    <t>Маршрутизатор Wi-Fi-Link Archer C54</t>
  </si>
  <si>
    <t>32413100-2 Маршрутизатори</t>
  </si>
  <si>
    <t>Столик під лазер хірургічний діодний</t>
  </si>
  <si>
    <t>33190000-8: Медичне обладнання та вироби медичного призначення різні</t>
  </si>
  <si>
    <t>Капітальний ремонт головного входу будівлі лікарні</t>
  </si>
  <si>
    <t xml:space="preserve">Поточний ремонт пандуса для автомобілів швидкої медичної допомоги </t>
  </si>
  <si>
    <t>906 093,10 грн</t>
  </si>
  <si>
    <t>1 927 183,68 грн</t>
  </si>
  <si>
    <t>ПОСЛУГИ,ОРЕНДА,БЕЗКОШТОВНЕ ПОСТАЧАННЯ</t>
  </si>
  <si>
    <r>
      <t xml:space="preserve">Інші надходження від медичного обслуговування населення , </t>
    </r>
    <r>
      <rPr>
        <i/>
        <sz val="17"/>
        <rFont val="Times New Roman"/>
        <family val="1"/>
        <charset val="204"/>
      </rPr>
      <t>грн.</t>
    </r>
  </si>
  <si>
    <t>економія</t>
  </si>
  <si>
    <t>план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</si>
  <si>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</si>
  <si>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</si>
  <si>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</si>
  <si>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</si>
  <si>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</si>
  <si>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І категорія отоларингологія № 371-ос/к - 25.10.2018</t>
  </si>
  <si>
    <t>Малиш С. І.</t>
  </si>
  <si>
    <t>Лікар-офтальмолог</t>
  </si>
  <si>
    <t>вища категорія офтальмологія № 33-ос/к - 21.02.2018</t>
  </si>
  <si>
    <t>Давидюк Г.С.</t>
  </si>
  <si>
    <t>Лікар - психіатр</t>
  </si>
  <si>
    <t>вища категорія психіатрія № 97-ос/к - 29.06.2017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</si>
  <si>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</si>
  <si>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</si>
  <si>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</si>
  <si>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</si>
  <si>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І категорія урологія № 411-ос/к - 21.12.2018</t>
  </si>
  <si>
    <t>Лікар-хірург</t>
  </si>
  <si>
    <t xml:space="preserve">лікар-спеціаліст хірургія №415/05-і  30.06.2020 </t>
  </si>
  <si>
    <t>Карпунь В.В.</t>
  </si>
  <si>
    <t>Лікар з ультразвукової діагностики</t>
  </si>
  <si>
    <t>Галян Я.С.</t>
  </si>
  <si>
    <t>І категорія ультразвукова діагностика № 301-ос/к - 26.10.2017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</si>
  <si>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</si>
  <si>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</si>
  <si>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</si>
  <si>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</si>
  <si>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вища категорія акушерство і гінекологія № 77-ос/к - 25.05.2017</t>
  </si>
  <si>
    <t>Гулавська Н.А.</t>
  </si>
  <si>
    <t>Лікар - акушер - гінеколог (для надання цілодобової екстреної допомоги)</t>
  </si>
  <si>
    <t>І категорія акушерство і гінекологія № 112-ос/к - 25.06.2019</t>
  </si>
  <si>
    <t>Жук О.К.</t>
  </si>
  <si>
    <t>Лікар - педіатр неонатолог</t>
  </si>
  <si>
    <t>Пашков В.М.</t>
  </si>
  <si>
    <t>Лікар - анестезіолог</t>
  </si>
  <si>
    <t>Дейна С. О.</t>
  </si>
  <si>
    <t>Лікар - педіатр</t>
  </si>
  <si>
    <t>Ющук К.В.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</si>
  <si>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</si>
  <si>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</si>
  <si>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</si>
  <si>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</si>
  <si>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</si>
  <si>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</si>
  <si>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</si>
  <si>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</si>
  <si>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педіатр</t>
  </si>
  <si>
    <t>Завідувач відділення , лікар - хірург</t>
  </si>
  <si>
    <t>Лікар - хірург</t>
  </si>
  <si>
    <t>Гриценя М.В.</t>
  </si>
  <si>
    <t>І категорія хірургія № 45-ос/к - 31.03.2017</t>
  </si>
  <si>
    <t>Долішняк Р.В.</t>
  </si>
  <si>
    <t>Лікар - хірург (ургентний)</t>
  </si>
  <si>
    <t>І категорія хірургія № 23-ос/к - 28.02.2019</t>
  </si>
  <si>
    <t>Мосійчук Т.О.</t>
  </si>
  <si>
    <t>ІІ категорія хірургія № 97-ос/к - 29.06.2017</t>
  </si>
  <si>
    <t>І категорія хірургія № 49-ос/к - 28.03.2019</t>
  </si>
  <si>
    <t>Клемра В.В.</t>
  </si>
  <si>
    <t>ВІДДІЛЕННЯ АНЕСТЕЗІОЛОГІЇ ТА ІНТЕНСИВНОЇ ТЕРАПІЇ НА 6 ЛІЖОК</t>
  </si>
  <si>
    <t xml:space="preserve">вища категорія анестезіологія № 281-ос/к - 28.09.2017 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</si>
  <si>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</si>
  <si>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</si>
  <si>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</si>
  <si>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</si>
  <si>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</si>
  <si>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</si>
  <si>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</si>
  <si>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</si>
  <si>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Біолог</t>
  </si>
  <si>
    <t>вища категорія клінічна лабораторна діагностика № 316/ОС - 04.10.2016</t>
  </si>
  <si>
    <t>Карпюк Л. І.</t>
  </si>
  <si>
    <t>РЕНТГЕН - КАБІНЕТ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</si>
  <si>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</si>
  <si>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</si>
  <si>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</si>
  <si>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</si>
  <si>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</si>
  <si>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</si>
  <si>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</si>
  <si>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ВСЬОГО ЛІКАРСЬКИЙ ПЕРСОНАЛ</t>
  </si>
  <si>
    <t>ЛІКАРІ ІНТЕРНИ</t>
  </si>
  <si>
    <t>Лікар - інтерн (анестезіологія )</t>
  </si>
  <si>
    <t>Павленко О.Ю.</t>
  </si>
  <si>
    <t>Філюк А.В.</t>
  </si>
  <si>
    <t>Джуджук М.Т.</t>
  </si>
  <si>
    <t>Буба І.П.</t>
  </si>
  <si>
    <t>Денис А.В.</t>
  </si>
  <si>
    <t>Салій Р.Л.</t>
  </si>
  <si>
    <t>ВСЬОГО ЛІКАРІ ІНТЕРНИ</t>
  </si>
  <si>
    <t>СЕРЕДНІЙ МЕДИЧНИЙ ПЕРСОНАЛ</t>
  </si>
  <si>
    <t>ЗАГАЛЬНО - ЛІКАРНЯНИЙ ПЕРСОНАЛ</t>
  </si>
  <si>
    <t>Головна медична сестра (головний медичний брат)</t>
  </si>
  <si>
    <t>вища категорія сестринська справа № 233-ос-к - 25.11.2020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</si>
  <si>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</si>
  <si>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</si>
  <si>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</si>
  <si>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</si>
  <si>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</si>
  <si>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</si>
  <si>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Сестра медична (брат медичний ) поліклініки (ендоскопічний кабінет)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</si>
  <si>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</si>
  <si>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</si>
  <si>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</si>
  <si>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</si>
  <si>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</si>
  <si>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</si>
  <si>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Сестра медична (брат медичний) поліклініки (ендокринологічний кабінет)</t>
  </si>
  <si>
    <t>вища категорія сестринська справа № 82-ос/к - 08.06.2017</t>
  </si>
  <si>
    <t>Скуба С.О.</t>
  </si>
  <si>
    <t>Сестра медична (брат медичний) поліклініки (неврологічний кабінет)</t>
  </si>
  <si>
    <t>Джусюк Л. М.</t>
  </si>
  <si>
    <t>Сестра медична поліклініки (брат медичний) (отоларингологічний кабінет)</t>
  </si>
  <si>
    <t>Панасюк А. Л.</t>
  </si>
  <si>
    <t>Сестра медична (брат медичний )поліклініки (офтальмологічний кабінет)</t>
  </si>
  <si>
    <t>вища категорія сестринська справа № 346-ос/к - 14.12.2017</t>
  </si>
  <si>
    <t>Побережнюк Т.М.</t>
  </si>
  <si>
    <t>Сестра медична (брат медичний) поліклініки (дерматовенерологічний кабінет)</t>
  </si>
  <si>
    <t>Сестра медична (брат медичний) поліклініки (травматологічний кабінет)</t>
  </si>
  <si>
    <t>Артемчук Л.П.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</si>
  <si>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</si>
  <si>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</si>
  <si>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</si>
  <si>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</si>
  <si>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</si>
  <si>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</si>
  <si>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</si>
  <si>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</si>
  <si>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вища категорія акушерська справа № 293-ос/к - 12.10.2017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</si>
  <si>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</si>
  <si>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</si>
  <si>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</si>
  <si>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</si>
  <si>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</si>
  <si>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І категорія сестринська справа № 322-ос/к - 23.11.2017</t>
  </si>
  <si>
    <t>Антонюк Л.П.</t>
  </si>
  <si>
    <t>вища категорія сестринська справа № 204-ос/к - 12.07.2018</t>
  </si>
  <si>
    <t>Ващук Л.В.</t>
  </si>
  <si>
    <t>вища категорія сестринська справа № 95-ос/к - 17.05.2018</t>
  </si>
  <si>
    <t>Карпук Ж. О.</t>
  </si>
  <si>
    <t>вища категорія сестринська справа № 67-ос/к - 12.04.2018</t>
  </si>
  <si>
    <t>Остапчук С. П.</t>
  </si>
  <si>
    <t>Герасимюк О.В.</t>
  </si>
  <si>
    <t>Сестра медична - анестезист ( брат медичний - анестезист )</t>
  </si>
  <si>
    <t>вища категорія сестринська справа (операційна) № 363/ОС - 15.12.2016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</si>
  <si>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</si>
  <si>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</si>
  <si>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</si>
  <si>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</si>
  <si>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вища категорія сестринська справа № 269-ос/к - 14.09.2017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</si>
  <si>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</si>
  <si>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</si>
  <si>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</si>
  <si>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</si>
  <si>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</si>
  <si>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</si>
  <si>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</si>
  <si>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вища категорія сестринська справа № 341/ОС - 10.11.2016</t>
  </si>
  <si>
    <t>Лоза Н. П.</t>
  </si>
  <si>
    <t>вища категорія сестринська справа № 65-ос/к - 10.05.2017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</si>
  <si>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</si>
  <si>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</si>
  <si>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</si>
  <si>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</si>
  <si>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</si>
  <si>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</si>
  <si>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вища категорія сестринська справа № 335-ОС - 07.11.2019</t>
  </si>
  <si>
    <t>Бичак А.П.</t>
  </si>
  <si>
    <t>вища категорія сестринська справа № 77-ос/к - 16.05.2019</t>
  </si>
  <si>
    <t>Візітів Н.І.</t>
  </si>
  <si>
    <t>вища категорія сестринська справа № 52-ос/к - 13.04.2017</t>
  </si>
  <si>
    <t>Гусар Л.І.</t>
  </si>
  <si>
    <t>І категорія сестринська справа № 363-ос/к - 22.12.2017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</si>
  <si>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</si>
  <si>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</si>
  <si>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</si>
  <si>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</si>
  <si>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вища категорія сестринська справа № 49-ос/к - 15.03.2018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</si>
  <si>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</si>
  <si>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</si>
  <si>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</si>
  <si>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</si>
  <si>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</si>
  <si>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</si>
  <si>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</si>
  <si>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</si>
  <si>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</si>
  <si>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</si>
  <si>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</si>
  <si>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</si>
  <si>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вища категорія сестринська справа № 152-ос/к - 13.04.2017</t>
  </si>
  <si>
    <t>Бречко Л. П.</t>
  </si>
  <si>
    <t>вища категорія сестринська справа № 380-ос/к - 08.11.2018</t>
  </si>
  <si>
    <t>Попова Л.Л.</t>
  </si>
  <si>
    <t>вища категорія сестринська справа № 314-ос/к - 09.11.2017</t>
  </si>
  <si>
    <t>Загайна В.О.</t>
  </si>
  <si>
    <t>вища категорія сестринська справа № 322-ос/к - 23.11.2017</t>
  </si>
  <si>
    <t>Черняк А. А.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</si>
  <si>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</si>
  <si>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</si>
  <si>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</si>
  <si>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</si>
  <si>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</si>
  <si>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Марчук В. Й.</t>
  </si>
  <si>
    <t>Харитонюк Я.Д.</t>
  </si>
  <si>
    <t>Курчинська Р.П.</t>
  </si>
  <si>
    <t>Кондратовець Н.В.</t>
  </si>
  <si>
    <t>Карпець Л. В.</t>
  </si>
  <si>
    <t>Синюк І.В.</t>
  </si>
  <si>
    <t>Архипчук А. С.</t>
  </si>
  <si>
    <t>вища категорія сестринська справа (операційна) № 52-ос/к - 13.04.2017</t>
  </si>
  <si>
    <t>Остапчук Л. К.</t>
  </si>
  <si>
    <t>вища категорія сестринська справа (операційна) № 248-ос-к - 08.12.2020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</si>
  <si>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</si>
  <si>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</si>
  <si>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</si>
  <si>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</si>
  <si>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</si>
  <si>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</si>
  <si>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</si>
  <si>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</si>
  <si>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вища категорія сестринська справа (операційна) №335-ос/к-07.11.2019</t>
  </si>
  <si>
    <t>Синюк А.С.</t>
  </si>
  <si>
    <t>вища категорія сестринська справа (операційна) № 336-ос/к - 07.12.2017</t>
  </si>
  <si>
    <t>Готь Т. І.</t>
  </si>
  <si>
    <t>вища категорія сестринська справа (операційна) № 15-ос - 09.02.2017</t>
  </si>
  <si>
    <t>Лясковська Н.М.</t>
  </si>
  <si>
    <t>Бондарук С.В.</t>
  </si>
  <si>
    <t>Ковальчук В.В.</t>
  </si>
  <si>
    <t>ІІ категорія лабораторна справа (клініка) № 51-ос/к - 16.03.2018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</si>
  <si>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</si>
  <si>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</si>
  <si>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</si>
  <si>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</si>
  <si>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</si>
  <si>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</si>
  <si>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</si>
  <si>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</si>
  <si>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вища категорія сестринська справа № 360/ОС - 08.12.2016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</si>
  <si>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</si>
  <si>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</si>
  <si>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</si>
  <si>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</si>
  <si>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</si>
  <si>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</si>
  <si>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Соловей О.Г.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</si>
  <si>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</si>
  <si>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</si>
  <si>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</si>
  <si>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</si>
  <si>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вища категорія сестринська справа № 15-ос - 09.02.2017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</si>
  <si>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</si>
  <si>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</si>
  <si>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</si>
  <si>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</si>
  <si>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</si>
  <si>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</si>
  <si>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</si>
  <si>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Фельдшер ІАВ</t>
  </si>
  <si>
    <t>Статистик медичний</t>
  </si>
  <si>
    <t>ІІ категорія медична статистика № 307-ос/к  21.09.2020</t>
  </si>
  <si>
    <t>Трофімчук І.</t>
  </si>
  <si>
    <t>І категорія медична статистика № 141-ос/к  05.07.2019</t>
  </si>
  <si>
    <t>Годлевська Л.Є.</t>
  </si>
  <si>
    <t>ВСЬОГО СЕРЕДНІЙ МЕДИЧНИЙ ПЕРСОНАЛ</t>
  </si>
  <si>
    <t>МОЛОДШИЙ ПЕРСОНАЛ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</si>
  <si>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</si>
  <si>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</si>
  <si>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</si>
  <si>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</si>
  <si>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</si>
  <si>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</si>
  <si>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</si>
  <si>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Кондратюк Т.В.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</si>
  <si>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</si>
  <si>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</si>
  <si>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</si>
  <si>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</si>
  <si>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</si>
  <si>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</si>
  <si>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</si>
  <si>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Халус О. Г.</t>
  </si>
  <si>
    <t>Косинець Т.П.</t>
  </si>
  <si>
    <t>Майструк Ж. А.</t>
  </si>
  <si>
    <t>Давидюк О.В.</t>
  </si>
  <si>
    <t>Лесюк Л.М.</t>
  </si>
  <si>
    <t>Левчук Т.М.</t>
  </si>
  <si>
    <t>Богачук Л.Ф.</t>
  </si>
  <si>
    <t>Молодша медична сестра (молодший медичний брат) (санітарка - буфетниця, санітар - буфетник )</t>
  </si>
  <si>
    <t>Торожнюк С.В.</t>
  </si>
  <si>
    <t>Ліщинська Л.І.</t>
  </si>
  <si>
    <t>Катеринюк Т.І.</t>
  </si>
  <si>
    <t>Бартощук Н.Й.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</si>
  <si>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</si>
  <si>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</si>
  <si>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</si>
  <si>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</si>
  <si>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</si>
  <si>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</si>
  <si>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Савіцька О.Ф.</t>
  </si>
  <si>
    <t>Шломіна М.С.</t>
  </si>
  <si>
    <t>Московчук О.В.</t>
  </si>
  <si>
    <t>Миколайчук Л.В.</t>
  </si>
  <si>
    <t>Дем'янюк О.О.</t>
  </si>
  <si>
    <t>Белей О.Б.</t>
  </si>
  <si>
    <t>ВСЬОГО МОЛОДШИЙ МЕДИЧНИЙ ПЕРСОНАЛ</t>
  </si>
  <si>
    <t>ІНШИЙ ПЕРСОНАЛ  ПОЛІКЛІНІКИ</t>
  </si>
  <si>
    <t>Реєстратор медичний</t>
  </si>
  <si>
    <t>Мохнюк Т. Є.</t>
  </si>
  <si>
    <t>ГОСПОДАРСЬКО - ОБСЛУГОВУЮЧИЙ ПЕРСОНАЛ</t>
  </si>
  <si>
    <t>ПРОФЕСІОНАЛИ ФАХІВЦІ</t>
  </si>
  <si>
    <t>Головний бухгалтер</t>
  </si>
  <si>
    <t>Шкробот Л.П.</t>
  </si>
  <si>
    <t>Заступник головного бухгалтера</t>
  </si>
  <si>
    <t>Бойчук О.А.</t>
  </si>
  <si>
    <t>Бухгалтер</t>
  </si>
  <si>
    <t>ІІ категорія № 88б-од - 20.12.2018</t>
  </si>
  <si>
    <t>Ляшук К.О.</t>
  </si>
  <si>
    <t>Книш Н.О.</t>
  </si>
  <si>
    <t>провідний № 88б-од - 20.12.2018</t>
  </si>
  <si>
    <t xml:space="preserve">Бухгалтер </t>
  </si>
  <si>
    <t>Головатчук В.М.</t>
  </si>
  <si>
    <t>Економіст</t>
  </si>
  <si>
    <t>Шиманська А.М.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</si>
  <si>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</si>
  <si>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</si>
  <si>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</si>
  <si>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</si>
  <si>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</si>
  <si>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</si>
  <si>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</si>
  <si>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</si>
  <si>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</si>
  <si>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</si>
  <si>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</si>
  <si>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</si>
  <si>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</si>
  <si>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</si>
  <si>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</si>
  <si>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 xml:space="preserve">Технік (котельні) 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</si>
  <si>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</si>
  <si>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</si>
  <si>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</si>
  <si>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</si>
  <si>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</si>
  <si>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ІІ категорія № 22в-од - 03.04.2020</t>
  </si>
  <si>
    <t>Біляшевич С.М.</t>
  </si>
  <si>
    <t>РОБІТНИКИ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</si>
  <si>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</si>
  <si>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</si>
  <si>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</si>
  <si>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</si>
  <si>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</si>
  <si>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</si>
  <si>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Електромонтер з ремонту та обслуговування електроустаткування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</si>
  <si>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</si>
  <si>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</si>
  <si>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</si>
  <si>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</si>
  <si>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</si>
  <si>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</si>
  <si>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</si>
  <si>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</si>
  <si>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</si>
  <si>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</si>
  <si>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</si>
  <si>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</si>
  <si>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</si>
  <si>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</si>
  <si>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Забожчук В.І.</t>
  </si>
  <si>
    <t>Прибиральник службових приміщень</t>
  </si>
  <si>
    <t>Козачук С.Б.</t>
  </si>
  <si>
    <t>Рудь Л.О.</t>
  </si>
  <si>
    <t>Пахля К.М.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</si>
  <si>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</si>
  <si>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</si>
  <si>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</si>
  <si>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</si>
  <si>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</si>
  <si>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>Зуй А.В.</t>
  </si>
  <si>
    <t>Кобзар В.С.</t>
  </si>
  <si>
    <t>Кобзар С.В.</t>
  </si>
  <si>
    <t>Садовий Ю.М.</t>
  </si>
  <si>
    <t>Свінтуховський О.І.</t>
  </si>
  <si>
    <t>Сидорук О.Б.</t>
  </si>
  <si>
    <t>Стасюк В.В.</t>
  </si>
  <si>
    <t>Лікарі- інтерни</t>
  </si>
  <si>
    <t>Фахівці з базовою та неповною вищою медичною освітою</t>
  </si>
  <si>
    <t>Молодші медичні сестри</t>
  </si>
  <si>
    <t>Інший персонал</t>
  </si>
  <si>
    <t>Спеціалісти</t>
  </si>
  <si>
    <t xml:space="preserve">Господарсько - обслуговуючий персонал </t>
  </si>
  <si>
    <t xml:space="preserve">Головний бухгалтер     </t>
  </si>
  <si>
    <t>Л.П.Шкробот</t>
  </si>
  <si>
    <t>Члени комісії</t>
  </si>
  <si>
    <t>Т.В.Величко</t>
  </si>
  <si>
    <t>Є.П.Росоловська</t>
  </si>
  <si>
    <t>Р.С.Іванюк</t>
  </si>
  <si>
    <t>С.М.Біляшевич</t>
  </si>
  <si>
    <t>О.А.Бойчук</t>
  </si>
  <si>
    <t>О.М.Поручник</t>
  </si>
  <si>
    <t>(03368) 21248</t>
  </si>
  <si>
    <t>Разом</t>
  </si>
  <si>
    <t xml:space="preserve"> Інші витрати на оплату праці (не включені до ШР, нічні,святкові)</t>
  </si>
  <si>
    <t xml:space="preserve"> Інші види заохочень та стимулювань</t>
  </si>
  <si>
    <t>ВСЬОГО ФОНД ОПЛАТИ ПРАЦІ</t>
  </si>
  <si>
    <t>НАРАХУВАННЯ НА ОПЛАТУ ПРАЦІ</t>
  </si>
  <si>
    <t>РАЗОМ</t>
  </si>
  <si>
    <t>Штатні посади</t>
  </si>
  <si>
    <t>Індексація - 0 % -</t>
  </si>
  <si>
    <t>Індексація  - 0 % -</t>
  </si>
  <si>
    <t>COVID - 19</t>
  </si>
  <si>
    <t>___________</t>
  </si>
  <si>
    <t>інший операційний дохід</t>
  </si>
  <si>
    <t>інші доходи</t>
  </si>
  <si>
    <t>тариф за 1 кВт  на початок кварталу, грн.</t>
  </si>
  <si>
    <t>очікуваний обсяг споживання електроенергії у відповідному кварталі, кВт</t>
  </si>
  <si>
    <t>тариф за 1 кВт на початок кварталу, грн.</t>
  </si>
  <si>
    <t>витрати на розподіл електроенергії , грн.</t>
  </si>
  <si>
    <t>витрати на електроенергію за  тарифом, грн.</t>
  </si>
  <si>
    <t>покриття вартості комунальних послуг та енергоносіїв надавача ВМД, грн.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</si>
  <si>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17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</si>
  <si>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17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</si>
  <si>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17"/>
        <rFont val="Times New Roman"/>
        <family val="1"/>
        <charset val="204"/>
      </rPr>
      <t>грн.</t>
    </r>
  </si>
  <si>
    <t>січень</t>
  </si>
  <si>
    <t>липень</t>
  </si>
  <si>
    <t>Матеріальні витрати</t>
  </si>
  <si>
    <t>Лікарські засоби</t>
  </si>
  <si>
    <t xml:space="preserve">Кров та її компоненти </t>
  </si>
  <si>
    <t>Вироби медичного призначення та допоміжні засоби тощо</t>
  </si>
  <si>
    <t>Імунобіологічні препарати</t>
  </si>
  <si>
    <t>Лікувальне харчування</t>
  </si>
  <si>
    <t>Дезинфекційні засоби</t>
  </si>
  <si>
    <t>Засоби індивідуального захисту</t>
  </si>
  <si>
    <t xml:space="preserve">Продукти харчування </t>
  </si>
  <si>
    <t>Предмети, матеріали та інвентар</t>
  </si>
  <si>
    <t>Будівельні матеріали</t>
  </si>
  <si>
    <t>Паливно-мастильні матеріали</t>
  </si>
  <si>
    <t>Оплата комунальних послуг та інших  енергоносіїв  (тепло, електроенергія, вода, інше)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</si>
  <si>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</si>
  <si>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</si>
  <si>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</si>
  <si>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</si>
  <si>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</si>
  <si>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</si>
  <si>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</si>
  <si>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</si>
  <si>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</si>
  <si>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</si>
  <si>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</si>
  <si>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</si>
  <si>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</si>
  <si>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</si>
  <si>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</si>
  <si>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</si>
  <si>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</si>
  <si>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</si>
  <si>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</si>
  <si>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</si>
  <si>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</si>
  <si>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</si>
  <si>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</si>
  <si>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</si>
  <si>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</si>
  <si>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</si>
  <si>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Інші необоротні матеріальні активи </t>
  </si>
  <si>
    <t>Нематеріальні активи</t>
  </si>
  <si>
    <t>Неопераційні витрати</t>
  </si>
  <si>
    <r>
      <t>Витрати (з</t>
    </r>
    <r>
      <rPr>
        <sz val="10"/>
        <rFont val="Times New Roman"/>
        <family val="1"/>
        <charset val="204"/>
      </rPr>
      <t xml:space="preserve"> основними</t>
    </r>
    <r>
      <rPr>
        <b/>
        <sz val="10"/>
        <rFont val="Times New Roman"/>
        <family val="1"/>
        <charset val="204"/>
      </rPr>
      <t>)</t>
    </r>
  </si>
  <si>
    <r>
      <t xml:space="preserve">Операційні </t>
    </r>
    <r>
      <rPr>
        <sz val="10"/>
        <rFont val="Times New Roman"/>
        <family val="1"/>
        <charset val="204"/>
      </rPr>
      <t>(без амортизвції)</t>
    </r>
  </si>
  <si>
    <t>ВЛАСНІ</t>
  </si>
  <si>
    <t>МІСЦЕВІ</t>
  </si>
  <si>
    <t>Інше ТО та обслуговування (сайт, програми)</t>
  </si>
  <si>
    <t>ВЛАСНІ КОШТИ</t>
  </si>
  <si>
    <t>кВт год</t>
  </si>
  <si>
    <t>Активна</t>
  </si>
  <si>
    <t>Розподіл</t>
  </si>
  <si>
    <t>Реактивна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</si>
  <si>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</si>
  <si>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</si>
  <si>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</si>
  <si>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</si>
  <si>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</si>
  <si>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</si>
  <si>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</si>
  <si>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</si>
  <si>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</si>
  <si>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</si>
  <si>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</si>
  <si>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</si>
  <si>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ціна</t>
  </si>
  <si>
    <t>сума</t>
  </si>
  <si>
    <t xml:space="preserve">Додаток 1 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</si>
  <si>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</si>
  <si>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</si>
  <si>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</si>
  <si>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</si>
  <si>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</si>
  <si>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</si>
  <si>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</si>
  <si>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</si>
  <si>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</si>
  <si>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Придбання відеоендоскопічного комплексу з відеогастроскопом, відеоколоноскопом, відеобронхоскопом</t>
  </si>
  <si>
    <t>Реконструкція покрівель на будівлях  КНП "Рожищенська ЦРЛ" . Будівля лікарні.</t>
  </si>
  <si>
    <t>Придбання твердопаливного котла</t>
  </si>
  <si>
    <t>Легковий автомобіль спеціалізованого (санітарного) призначення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</si>
  <si>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2022 рік</t>
  </si>
  <si>
    <t>Орієнтовні обсяги фінансування на 2022 рік</t>
  </si>
  <si>
    <t>ЗАТВЕРДЖЕНО на 2022 рік</t>
  </si>
  <si>
    <t>ІV квартал</t>
  </si>
  <si>
    <t>м3</t>
  </si>
  <si>
    <t>дні</t>
  </si>
  <si>
    <t>Площа загальна - 13429,8</t>
  </si>
  <si>
    <t>Площа орендарів - 1258,27</t>
  </si>
  <si>
    <t>Оплата інших енергоносіїв (утилізація сміття)</t>
  </si>
  <si>
    <t xml:space="preserve">Розрахунок видатків на оплату праці на 2022 рік </t>
  </si>
  <si>
    <t>ФІНАНСОВИЙ ПЛАН ПІДПРИЄМСТВА НА  2022 рік</t>
  </si>
  <si>
    <t>разом</t>
  </si>
  <si>
    <t>місцеві</t>
  </si>
  <si>
    <t>власні</t>
  </si>
  <si>
    <t>МІСЦЕВІ КОШТИ</t>
  </si>
  <si>
    <t>очікуваний  обсяг споживання електроенергії у відповідному кварталі, кВАр-год</t>
  </si>
  <si>
    <t>12200 кВАР-год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</si>
  <si>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</si>
  <si>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</si>
  <si>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</si>
  <si>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</si>
  <si>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</si>
  <si>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</si>
  <si>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</si>
  <si>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</si>
  <si>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вища категорія епідеміологія № 86-ос/к - 14.06.2017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</si>
  <si>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</si>
  <si>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</si>
  <si>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</si>
  <si>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</si>
  <si>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</si>
  <si>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АКУШЕРСЬКО-ГІНЕКОЛОГІЧНЕ ВІДДІЛЕННЯ НА 9 ЛІЖОК ( 4 акушерські , 2 патологія вагітних , 3 гінекологічних)</t>
  </si>
  <si>
    <t>І категорія акушерство і гінекологія №  68-ос/к - 29.04.2021</t>
  </si>
  <si>
    <t>Галущак О.В.</t>
  </si>
  <si>
    <t>лікар-спеціаліст акушерство і гінекологія № 2018-з - 22.06.2021</t>
  </si>
  <si>
    <t>лікар-спеціаліст акушерство і гінекологія № 2018-з - 22.06.2022</t>
  </si>
  <si>
    <t>І категорія акушерство і гінекологія №  23-ос/к - 28.02.2019</t>
  </si>
  <si>
    <t>Ничипорук Н.П.</t>
  </si>
  <si>
    <t>Лікар - анестезіолог дитячий</t>
  </si>
  <si>
    <t>І категорія дитяча анестезіологія № 44-ос/к - 18.03.2021</t>
  </si>
  <si>
    <t>Миколайчук О.А.</t>
  </si>
  <si>
    <t>вища категорія неонатологія № 359-ос/к - 27.12.2017</t>
  </si>
  <si>
    <t>Неїлко Р.А.</t>
  </si>
  <si>
    <t>ІНФЕКЦІЙНЕ ВІДДІЛЕННЯ НА 100 ЛІЖОК</t>
  </si>
  <si>
    <t>Завідувач відділення , лікар - інфекціоніст</t>
  </si>
  <si>
    <t>вища категорія інфекційні хвороби № 288-ос/к - 28.10.2021</t>
  </si>
  <si>
    <t>вища категорія анестезіологія № 264-ос/к - 30.09.2021</t>
  </si>
  <si>
    <t>Лікар терапевт</t>
  </si>
  <si>
    <t xml:space="preserve">лікар-спеціаліст внутрішні хвороби №1433-з  22.06.2020 </t>
  </si>
  <si>
    <t>Денис І.Ю.</t>
  </si>
  <si>
    <t>лікар-спеціаліст внутрішні хвороби №2018-з  23.06.2021</t>
  </si>
  <si>
    <t>ІІ категорія ортопедія і травматологія № 455 к - 06.06.2017</t>
  </si>
  <si>
    <t>Миськовець А.С.</t>
  </si>
  <si>
    <t>НЕВРОЛОГІЧНЕ ВІДДІЛЕННЯ НА 15 ЛІЖОК</t>
  </si>
  <si>
    <t>ТЕРАПЕВТИЧНЕ ВІДДІЛЕННЯ НА 20 ЛІЖОК</t>
  </si>
  <si>
    <t>І категорія терапія № 264-ос/к - 30.09.2021</t>
  </si>
  <si>
    <t>ПЕДІАТРИЧНЕ ВІДДІЛЕННЯ  НА 6 ЛІЖОК</t>
  </si>
  <si>
    <t xml:space="preserve">ІІ категорія педіатрія №264-ос/к - 30.09.2021 </t>
  </si>
  <si>
    <t>лікар-спеціаліст педіатрія №1988-з  17.06.2021</t>
  </si>
  <si>
    <t xml:space="preserve">ХІРУРГІЧНЕ ВІДДІЛЕННЯ НА 10 ЛІЖОК </t>
  </si>
  <si>
    <t xml:space="preserve">лікар-спеціаліст хірургія № 35 - 30.06.2020 </t>
  </si>
  <si>
    <t xml:space="preserve">лікар-спеціаліст хірургія № 2018 -з - 22.06.2021 </t>
  </si>
  <si>
    <t>Лікар - анестезіолог стажист</t>
  </si>
  <si>
    <t>Кощановський А.Ю.</t>
  </si>
  <si>
    <t xml:space="preserve">лікар-спеціаліст анестезіологія та інтенсивна терапія №  2032-з - 21.06.2019 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</si>
  <si>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</si>
  <si>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</si>
  <si>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</si>
  <si>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вища категорія сестринська справа № 346-ос/к 14.12.2017</t>
  </si>
  <si>
    <t>Богачова А.А.</t>
  </si>
  <si>
    <t>І категорія сестринська справа № 62-ос/к - 21.04.2021</t>
  </si>
  <si>
    <t>Сестра медична (брат медичний) поліклініки (кабінет Довіра)</t>
  </si>
  <si>
    <t>вища категорія сестринська справа № 39-ос/к - 04.03.2021</t>
  </si>
  <si>
    <t>вища категорія сестринська справа № 58-ос/к - 08.04.2021</t>
  </si>
  <si>
    <t>вища категорія сестринська справа № 363/ОС - 15.12.2016</t>
  </si>
  <si>
    <t xml:space="preserve">вища категорія сестринська справа № 248-ос/к - 22.09.2021 </t>
  </si>
  <si>
    <t>І категорія сестринська справа № 65-ос/к - 10.05.2017</t>
  </si>
  <si>
    <t>Книш Т.В.</t>
  </si>
  <si>
    <t>І категорія сестринська справа № 58-ос/к - 08.04.2021</t>
  </si>
  <si>
    <t>ІІ категорія сестринська справа № 43-ос/к - 17.03.2021</t>
  </si>
  <si>
    <t>вища категорія сестринська справа № 254-ос-к - 09.09.2021</t>
  </si>
  <si>
    <t>вища категорія сестринська справа № 43-ос/к - 17.03.2021</t>
  </si>
  <si>
    <t>ХІРУРГІЧНЕ ВІДДІЛЕННЯ НА 10 ЛІЖОК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</si>
  <si>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</si>
  <si>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</si>
  <si>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</si>
  <si>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</si>
  <si>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</si>
  <si>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</si>
  <si>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</si>
  <si>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</si>
  <si>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вища категорія сестринська справа (інстр. ЛФК ) № 43-ос/к - 17.03.2021</t>
  </si>
  <si>
    <t>ХІРУРГІЧНЕ ВІДДІЛЕННЯ НА 25 ЛІЖОК ( 15  - хірургічні , 5 - гінекологічні , 5 - травматологічні )</t>
  </si>
  <si>
    <t>Райхерт Л.В.</t>
  </si>
  <si>
    <t>Клімішина О.В.</t>
  </si>
  <si>
    <t>Лукашенко Г.Г.</t>
  </si>
  <si>
    <t>Росоловська Н.В.</t>
  </si>
  <si>
    <t>Психолог</t>
  </si>
  <si>
    <t>Миронюк С.О.</t>
  </si>
  <si>
    <t>Миронюк В.О.</t>
  </si>
  <si>
    <t>Шрай Ю.Ю.</t>
  </si>
  <si>
    <t>РАЗОМ  у т.ч.</t>
  </si>
  <si>
    <t>Н.В.Росоловська</t>
  </si>
  <si>
    <t>Н.О.Книш</t>
  </si>
  <si>
    <t>І.Р.Кучинський</t>
  </si>
  <si>
    <t>Доплата до указу президента</t>
  </si>
  <si>
    <t>Придбання гістероскопа</t>
  </si>
  <si>
    <t>Придбання комп'ютерної та офісної техніки</t>
  </si>
  <si>
    <t>Придбання портативного пристрою для скринінгу слуху у новонароджених</t>
  </si>
  <si>
    <t xml:space="preserve">Оклади з урахуванням доплат до мінімальної заробітної плати , </t>
  </si>
  <si>
    <t>Тарифікаційний список працівників КП "Рожищенська багатопрофільна лікарня" на 01 січня 2022 рік</t>
  </si>
  <si>
    <t>ПРОЕКТ</t>
  </si>
  <si>
    <t>Тарифікаційний список працівників КП "Рожищенська багатопрофільна лікарня" на 01 жовтня 2022 рік</t>
  </si>
  <si>
    <t xml:space="preserve">Розрахунок </t>
  </si>
  <si>
    <t>на 2021 рік.</t>
  </si>
  <si>
    <t>Пости</t>
  </si>
  <si>
    <t>Годин за 1 ніч</t>
  </si>
  <si>
    <t>Категорія</t>
  </si>
  <si>
    <t>Тарифікаційний розряд</t>
  </si>
  <si>
    <t>Всього годин</t>
  </si>
  <si>
    <t>З/п</t>
  </si>
  <si>
    <t>Заробітна плата за годину</t>
  </si>
  <si>
    <t>Робочий тиждень</t>
  </si>
  <si>
    <t>Заробітна плата за годину*%</t>
  </si>
  <si>
    <t>К-ть постів</t>
  </si>
  <si>
    <t>К-ть годин</t>
  </si>
  <si>
    <t>Нараховано</t>
  </si>
  <si>
    <t>Кількість календарних днів</t>
  </si>
  <si>
    <t>Середній медперсонал</t>
  </si>
  <si>
    <t>Молодший медперсонал</t>
  </si>
  <si>
    <t>Інший персонал ( машиніст кочегар котельні )</t>
  </si>
  <si>
    <t>Інший персонал ( кухпрацівники,водії )</t>
  </si>
  <si>
    <t xml:space="preserve">ВСЬОГО: </t>
  </si>
  <si>
    <t xml:space="preserve">нічної праці без права сну </t>
  </si>
  <si>
    <t xml:space="preserve">2 п х 365 дн х 8 год = 5840 год х  35% </t>
  </si>
  <si>
    <t xml:space="preserve">2 п х 365 дн х 8 год = 5840год  х 50% </t>
  </si>
  <si>
    <t xml:space="preserve">5 п х 365 дн х 8 год = 14600 х 50% </t>
  </si>
  <si>
    <t xml:space="preserve">7 п х 365 дн х 8 год = 20440 х 35% </t>
  </si>
  <si>
    <t>2 п х 182,5 дн х 8 год = 2920 х 35%</t>
  </si>
  <si>
    <t>Інший персонал ( водії )</t>
  </si>
  <si>
    <t>1 п х 36 5дн х 8 год = 2920 х 35%</t>
  </si>
  <si>
    <t>Ліжка</t>
  </si>
  <si>
    <t>Лікарський персонал</t>
  </si>
  <si>
    <t>Господарсько-обслуговуючий</t>
  </si>
  <si>
    <t>Пологове (5 - патологія вагітних , 10 - акушерські )</t>
  </si>
  <si>
    <t>Інфекційне відділення  - 40</t>
  </si>
  <si>
    <t>Неврологічне відділення - 25</t>
  </si>
  <si>
    <t>Терапевтичне відділення - 25</t>
  </si>
  <si>
    <t xml:space="preserve">Педіатричне відділення </t>
  </si>
  <si>
    <t>Хірургічне відділення ( 20-хірургічні , 5 -гінекологічні )</t>
  </si>
  <si>
    <t>Операційний блок</t>
  </si>
  <si>
    <t>Відділення анестезіології та інтенсивної терапії</t>
  </si>
  <si>
    <t>Клінічна лабораторія</t>
  </si>
  <si>
    <t>Приймальне відділення</t>
  </si>
  <si>
    <t>Господарсько - обслуговуючий персонал</t>
  </si>
  <si>
    <t>Сума всього на 2022 рік</t>
  </si>
  <si>
    <t>Сума всього на 2022</t>
  </si>
  <si>
    <t xml:space="preserve">2 п х 11 дн х 24 год = 528 год </t>
  </si>
  <si>
    <t>Відділення</t>
  </si>
  <si>
    <t xml:space="preserve">Відділення </t>
  </si>
  <si>
    <t>Розрахунок видатків на оплату праці в святкові дні 2022</t>
  </si>
  <si>
    <t>І кв</t>
  </si>
  <si>
    <t>ІІ кв</t>
  </si>
  <si>
    <t>ІІІ кв</t>
  </si>
  <si>
    <t>IV кв</t>
  </si>
  <si>
    <t xml:space="preserve">2 п х 365 дн х 8 год = 5840 х 50% </t>
  </si>
  <si>
    <t>7 п х 365 дн х 8 год = 20440 х 35%</t>
  </si>
  <si>
    <t>7 п х 11 дн х 24 год = 1848 год</t>
  </si>
  <si>
    <t>5 п х 11 дн х 24 год = 1320 год</t>
  </si>
  <si>
    <t>2 п х 11 дн х 24 год = 528 год</t>
  </si>
  <si>
    <t>1п х 11 дн х 24 год = 264 год</t>
  </si>
  <si>
    <t>ріст</t>
  </si>
  <si>
    <t>Оплата праці в святкові дні</t>
  </si>
  <si>
    <t>Видатки на оплату особам на заміщення  - 2 % -</t>
  </si>
  <si>
    <t>Оплата перших п'яти днів тимчасової непрацездатності - 0,5 % -</t>
  </si>
  <si>
    <t>Віктор РЕДЗІЙ</t>
  </si>
  <si>
    <t>(підпис)</t>
  </si>
  <si>
    <t>НСЗУ+ Ковід</t>
  </si>
  <si>
    <t>Фахівець з публічних закупівель</t>
  </si>
  <si>
    <t>Інші видатки</t>
  </si>
  <si>
    <t>програма розвитку та підтримки комунального підприємства</t>
  </si>
  <si>
    <t>надійшло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</si>
  <si>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</si>
  <si>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</si>
  <si>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</si>
  <si>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Інші послуги</t>
  </si>
  <si>
    <t>Інші операційні витрати (2,7=307-c, 217-н,2174к)</t>
  </si>
  <si>
    <t>Ремонт ННМА (ППЗ)</t>
  </si>
  <si>
    <t xml:space="preserve">Інші доходи (не зазначені вище), грн. Залишок коштів </t>
  </si>
  <si>
    <t>COVID - 19 -0 %</t>
  </si>
  <si>
    <t>Основні засоби , ремонт</t>
  </si>
  <si>
    <t xml:space="preserve"> Інші витрати на оплату праці </t>
  </si>
  <si>
    <t>Інші види оплати</t>
  </si>
  <si>
    <t>2020 рік</t>
  </si>
  <si>
    <t>у поточних цінах на 21 січня 2021</t>
  </si>
  <si>
    <t>у поточних цінах на 04 березня 2021</t>
  </si>
  <si>
    <t>Залишок</t>
  </si>
  <si>
    <t>Всього за зведеним кошторисним розрахунком : Монтаж системи киснепостачання КНП "Рожищенська ЦРЛ"</t>
  </si>
  <si>
    <t>Всього оплачено</t>
  </si>
  <si>
    <t>Будівельні роботи</t>
  </si>
  <si>
    <t>Проведення робіт з монтажу системи киснепостачання ( Андрусік Ю.П. 23.12.2020)</t>
  </si>
  <si>
    <t>Проведення робіт з монтажу системи киснепостачання ( ЗЕЛКО ГРУП 24.12.2020)</t>
  </si>
  <si>
    <t>Вартість устаткування</t>
  </si>
  <si>
    <t>Компресор для забезпечення роботи дихальної апаратури Модель ZS 11-RD-Т500 (у комплекті)</t>
  </si>
  <si>
    <t>Кисневий концентратор  OxyG OG 050 (у комплекті)</t>
  </si>
  <si>
    <t>Вартість проєктних робіт</t>
  </si>
  <si>
    <t>Вартість експертизи кошторисної документації 14.12.2020</t>
  </si>
  <si>
    <t>Повторне проведення експертизи кошторисної документації 02.03.2021</t>
  </si>
  <si>
    <t>Наркозно-дихальний апарат</t>
  </si>
  <si>
    <t>Аппарат для ендовенозної лазерної коогуляції варикозно змінених вен</t>
  </si>
  <si>
    <t>КАПІТАЛЬНІ ВИДАТКИ</t>
  </si>
  <si>
    <r>
      <t>Оклад з урахуванням доплат до мінімальної заробітної плати 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</si>
  <si>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 Інші витрати на оплату праці (не включені до ШР, нічні,святкові) ,</t>
    </r>
    <r>
      <rPr>
        <i/>
        <sz val="17"/>
        <rFont val="Times New Roman"/>
        <family val="1"/>
        <charset val="204"/>
      </rPr>
      <t xml:space="preserve"> грн.</t>
    </r>
  </si>
  <si>
    <r>
      <t xml:space="preserve"> Інші види заохочень та стимулювань , </t>
    </r>
    <r>
      <rPr>
        <b/>
        <i/>
        <sz val="17"/>
        <rFont val="Times New Roman"/>
        <family val="1"/>
        <charset val="204"/>
      </rPr>
      <t>грн.</t>
    </r>
  </si>
  <si>
    <r>
      <t xml:space="preserve"> Інші витрати на оплату праці ,</t>
    </r>
    <r>
      <rPr>
        <i/>
        <sz val="17"/>
        <rFont val="Times New Roman"/>
        <family val="1"/>
        <charset val="204"/>
      </rPr>
      <t xml:space="preserve"> грн.</t>
    </r>
  </si>
  <si>
    <r>
      <rPr>
        <b/>
        <u/>
        <sz val="17"/>
        <rFont val="Times New Roman"/>
        <family val="1"/>
        <charset val="204"/>
      </rPr>
      <t>ВСЬОГО Фонд оплати праці</t>
    </r>
    <r>
      <rPr>
        <b/>
        <sz val="17"/>
        <rFont val="Times New Roman"/>
        <family val="1"/>
        <charset val="204"/>
      </rPr>
      <t xml:space="preserve">
по відповідній групі персоналу, </t>
    </r>
    <r>
      <rPr>
        <b/>
        <i/>
        <sz val="17"/>
        <rFont val="Times New Roman"/>
        <family val="1"/>
        <charset val="204"/>
      </rPr>
      <t>грн.</t>
    </r>
  </si>
  <si>
    <r>
      <t xml:space="preserve">Оплата відряджень, </t>
    </r>
    <r>
      <rPr>
        <b/>
        <i/>
        <sz val="17"/>
        <rFont val="Times New Roman"/>
        <family val="1"/>
        <charset val="204"/>
      </rPr>
      <t>грн.</t>
    </r>
  </si>
  <si>
    <r>
      <t xml:space="preserve">Нарахування на оплату праці </t>
    </r>
    <r>
      <rPr>
        <sz val="17"/>
        <rFont val="Times New Roman"/>
        <family val="1"/>
        <charset val="204"/>
      </rPr>
      <t>(загальнообов'язкове державне соціальне страхування)</t>
    </r>
    <r>
      <rPr>
        <b/>
        <sz val="17"/>
        <rFont val="Times New Roman"/>
        <family val="1"/>
        <charset val="204"/>
      </rPr>
      <t>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</si>
  <si>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Утримання із заробітної плати
</t>
    </r>
    <r>
      <rPr>
        <sz val="17"/>
        <rFont val="Times New Roman"/>
        <family val="1"/>
        <charset val="204"/>
      </rPr>
      <t>(податок з доходів фізичних осіб 18% та військовий збір 1.5%)</t>
    </r>
    <r>
      <rPr>
        <b/>
        <sz val="17"/>
        <rFont val="Times New Roman"/>
        <family val="1"/>
        <charset val="204"/>
      </rPr>
      <t xml:space="preserve">, </t>
    </r>
    <r>
      <rPr>
        <b/>
        <i/>
        <sz val="17"/>
        <rFont val="Times New Roman"/>
        <family val="1"/>
        <charset val="204"/>
      </rPr>
      <t>грн.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</si>
  <si>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(гаряча вода)</t>
    </r>
  </si>
  <si>
    <r>
      <t>очікуваний обсяг споживання гарячої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</si>
  <si>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(холодна вода)</t>
    </r>
  </si>
  <si>
    <r>
      <t>очікуваний обсяг споживання холодної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</si>
  <si>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 (водовідведення), грн.</t>
    </r>
  </si>
  <si>
    <r>
      <t>очікуваний обсяг водовідведення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</si>
  <si>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природного газу на початок кварталу, грн.</t>
    </r>
  </si>
  <si>
    <r>
      <t>очікуваний обсяг споживання природного газу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</si>
  <si>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 xml:space="preserve">ВСЬОГО витрат на комунальні послуги, </t>
    </r>
    <r>
      <rPr>
        <b/>
        <i/>
        <sz val="17"/>
        <color indexed="8"/>
        <rFont val="Times New Roman"/>
        <family val="1"/>
        <charset val="204"/>
      </rPr>
      <t>грн.</t>
    </r>
  </si>
  <si>
    <t>звірка деталізація</t>
  </si>
  <si>
    <t>Факт минулого року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</si>
  <si>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</si>
  <si>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</si>
  <si>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</si>
  <si>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</si>
  <si>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Тріска паливна</t>
  </si>
  <si>
    <t>* Утилізація сміття</t>
  </si>
  <si>
    <t>5000 * 12 = 60000 У 2021 - 4562,28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</si>
  <si>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</si>
  <si>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 xml:space="preserve">Інші поточні видатки </t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</si>
  <si>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</si>
  <si>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</si>
  <si>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</si>
  <si>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</si>
  <si>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</si>
  <si>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</si>
  <si>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t>тис.грн.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</si>
  <si>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</si>
  <si>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</si>
  <si>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</si>
  <si>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</si>
  <si>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</si>
  <si>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ВИДАТКИ НАДАВАЧА </t>
  </si>
  <si>
    <t xml:space="preserve">Керівники </t>
  </si>
  <si>
    <t xml:space="preserve">Середній медичний персонал </t>
  </si>
  <si>
    <t>тариф за 1 кВт (реактивна) на початок кварталу, грн.</t>
  </si>
  <si>
    <t>витрати на реактивну електроенергію тарифом, грн.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</si>
  <si>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</si>
  <si>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</si>
  <si>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</si>
  <si>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</si>
  <si>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</si>
  <si>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</si>
  <si>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</si>
  <si>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</si>
  <si>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</si>
  <si>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</si>
  <si>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</si>
  <si>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</si>
  <si>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</si>
  <si>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</si>
  <si>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</si>
  <si>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</si>
  <si>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</si>
  <si>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</si>
  <si>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</si>
  <si>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</si>
  <si>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</si>
  <si>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</si>
  <si>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Інструкція для користувачів вкладки "03_МТО":</t>
  </si>
  <si>
    <t>Всього</t>
  </si>
  <si>
    <t xml:space="preserve">Амортизація </t>
  </si>
  <si>
    <t>Амортизація</t>
  </si>
  <si>
    <r>
      <rPr>
        <b/>
        <u/>
        <sz val="13"/>
        <color indexed="8"/>
        <rFont val="Times New Roman"/>
        <family val="1"/>
        <charset val="204"/>
      </rPr>
      <t>5</t>
    </r>
    <r>
      <rPr>
        <b/>
        <sz val="13"/>
        <color indexed="8"/>
        <rFont val="Times New Roman"/>
        <family val="1"/>
        <charset val="204"/>
      </rPr>
      <t xml:space="preserve">. </t>
    </r>
    <r>
      <rPr>
        <sz val="13"/>
        <color indexed="8"/>
        <rFont val="Times New Roman"/>
        <family val="1"/>
        <charset val="204"/>
      </rPr>
      <t>перевірте, чи  залишились комірки з жовтою заливкою (колір знімається автоматично при заповненні).</t>
    </r>
  </si>
  <si>
    <r>
      <rPr>
        <b/>
        <u/>
        <sz val="13"/>
        <color indexed="8"/>
        <rFont val="Times New Roman"/>
        <family val="1"/>
        <charset val="204"/>
      </rPr>
      <t>6.</t>
    </r>
    <r>
      <rPr>
        <sz val="13"/>
        <color indexed="8"/>
        <rFont val="Times New Roman"/>
        <family val="1"/>
        <charset val="204"/>
      </rPr>
      <t xml:space="preserve"> перейдіть до вкладки </t>
    </r>
    <r>
      <rPr>
        <b/>
        <sz val="13"/>
        <color indexed="8"/>
        <rFont val="Times New Roman"/>
        <family val="1"/>
        <charset val="204"/>
      </rPr>
      <t>"04_Фін_стійкість"</t>
    </r>
    <r>
      <rPr>
        <sz val="13"/>
        <color indexed="8"/>
        <rFont val="Times New Roman"/>
        <family val="1"/>
        <charset val="204"/>
      </rPr>
      <t>.</t>
    </r>
  </si>
  <si>
    <t>Дата проведення розрахунку</t>
  </si>
  <si>
    <t>вказати інші, які не входять до Табелю МТО  (вкладка "03_МТО")</t>
  </si>
  <si>
    <t>ІНШІ ВИДАТКИ та ПОКАЗНИКИ БАЛАНСУ ПІДПРИЄМСТВА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</si>
  <si>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</si>
  <si>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</si>
  <si>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</si>
  <si>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</si>
  <si>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</si>
  <si>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</si>
  <si>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</si>
  <si>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</si>
  <si>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</si>
  <si>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</si>
  <si>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</si>
  <si>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</si>
  <si>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</si>
  <si>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</si>
  <si>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</si>
  <si>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</si>
  <si>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</si>
  <si>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</si>
  <si>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</si>
  <si>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</si>
  <si>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</si>
  <si>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r>
      <rPr>
        <b/>
        <u/>
        <sz val="13"/>
        <color indexed="8"/>
        <rFont val="Times New Roman"/>
        <family val="1"/>
        <charset val="204"/>
      </rPr>
      <t>2.</t>
    </r>
    <r>
      <rPr>
        <sz val="13"/>
        <color indexed="8"/>
        <rFont val="Times New Roman"/>
        <family val="1"/>
        <charset val="204"/>
      </rPr>
      <t xml:space="preserve"> заповніть комірки з жовтою заливкою - зазначте термін експлуатації по кожній позиції Табелю матеріально-технічного оснащення (колір знімається автоматично).</t>
    </r>
  </si>
  <si>
    <r>
      <t xml:space="preserve">Доходи у І кварталі, </t>
    </r>
    <r>
      <rPr>
        <b/>
        <i/>
        <sz val="16"/>
        <rFont val="Times New Roman"/>
        <family val="1"/>
        <charset val="204"/>
      </rPr>
      <t>грн.</t>
    </r>
  </si>
  <si>
    <r>
      <t>Доходи у ІІ кварталі,</t>
    </r>
    <r>
      <rPr>
        <b/>
        <i/>
        <sz val="16"/>
        <rFont val="Times New Roman"/>
        <family val="1"/>
        <charset val="204"/>
      </rPr>
      <t xml:space="preserve"> грн.</t>
    </r>
  </si>
  <si>
    <r>
      <t xml:space="preserve">Доходи у ІІІ кварталі, </t>
    </r>
    <r>
      <rPr>
        <b/>
        <i/>
        <sz val="16"/>
        <rFont val="Times New Roman"/>
        <family val="1"/>
        <charset val="204"/>
      </rPr>
      <t>грн.</t>
    </r>
  </si>
  <si>
    <r>
      <t xml:space="preserve">Доходи у IV кварталі, </t>
    </r>
    <r>
      <rPr>
        <b/>
        <i/>
        <sz val="16"/>
        <rFont val="Times New Roman"/>
        <family val="1"/>
        <charset val="204"/>
      </rPr>
      <t>грн.</t>
    </r>
  </si>
  <si>
    <t>Величко Т.В.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</si>
  <si>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</si>
  <si>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</si>
  <si>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</si>
  <si>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</si>
  <si>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</si>
  <si>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</si>
  <si>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</si>
  <si>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</si>
  <si>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</si>
  <si>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</si>
  <si>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</si>
  <si>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</si>
  <si>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>Видатки на оплату праці в святкові дні</t>
  </si>
  <si>
    <t xml:space="preserve">Видатки за години нічної праці без права сну </t>
  </si>
  <si>
    <t>Оплата праці по трудових угодах</t>
  </si>
  <si>
    <t>Допомога на оздоровлення медики</t>
  </si>
  <si>
    <t>Матеріальна допомога інший персонал</t>
  </si>
  <si>
    <t>Доплати, що носять стимулюючий характер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</si>
  <si>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</si>
  <si>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</si>
  <si>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</si>
  <si>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r>
      <rPr>
        <b/>
        <u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>. розрахунки мають базуватись на актуальній редакції Табелю матеріально-технічного оснащення закладів охорони здоров’я та фізичних осіб – підприємців, які надають первинну медичну допомогу.</t>
    </r>
  </si>
  <si>
    <r>
      <t xml:space="preserve">Увага: </t>
    </r>
    <r>
      <rPr>
        <sz val="18"/>
        <rFont val="Times New Roman"/>
        <family val="1"/>
        <charset val="204"/>
      </rPr>
      <t>перед початком роботи обов'язково перевірити стовпчик "найменування обладання" у відповідність до затвердженої актуальної редакції Табелю матеріально-технічного оснащення</t>
    </r>
    <r>
      <rPr>
        <b/>
        <sz val="18"/>
        <rFont val="Times New Roman"/>
        <family val="1"/>
        <charset val="204"/>
      </rPr>
      <t>.</t>
    </r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</si>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</sst>
</file>

<file path=xl/styles.xml><?xml version="1.0" encoding="utf-8"?>
<styleSheet xmlns="http://schemas.openxmlformats.org/spreadsheetml/2006/main">
  <numFmts count="14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#,##0.000"/>
    <numFmt numFmtId="175" formatCode="#,##0.0000"/>
    <numFmt numFmtId="176" formatCode="#,##0.000000"/>
    <numFmt numFmtId="177" formatCode="dd/mm/yy;@"/>
  </numFmts>
  <fonts count="19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trike/>
      <sz val="14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62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b/>
      <sz val="3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20"/>
      <color indexed="10"/>
      <name val="Times New Roman"/>
      <family val="1"/>
      <charset val="204"/>
    </font>
    <font>
      <b/>
      <sz val="16"/>
      <color indexed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18"/>
      <name val="Arial"/>
      <family val="2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u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Times New Roman"/>
      <family val="1"/>
      <charset val="204"/>
    </font>
    <font>
      <sz val="18"/>
      <color indexed="9"/>
      <name val="Times New Roman"/>
      <family val="1"/>
      <charset val="204"/>
    </font>
    <font>
      <sz val="14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Helv"/>
    </font>
    <font>
      <sz val="12"/>
      <name val="UkrainianPragmatica"/>
      <charset val="204"/>
    </font>
    <font>
      <sz val="30"/>
      <color indexed="9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Calibri"/>
      <family val="2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3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7"/>
      <color indexed="9"/>
      <name val="Times New Roman"/>
      <family val="1"/>
      <charset val="204"/>
    </font>
    <font>
      <sz val="17"/>
      <color indexed="9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</font>
    <font>
      <sz val="12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4"/>
      <name val="Arial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color indexed="10"/>
      <name val="Arial"/>
      <family val="2"/>
      <charset val="204"/>
    </font>
    <font>
      <sz val="50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24"/>
      <color indexed="10"/>
      <name val="Arial"/>
      <family val="2"/>
      <charset val="204"/>
    </font>
    <font>
      <sz val="22"/>
      <color indexed="10"/>
      <name val="Times New Roman"/>
      <family val="1"/>
      <charset val="204"/>
    </font>
    <font>
      <sz val="10"/>
      <name val="Arial Cyr"/>
      <charset val="1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sz val="15"/>
      <color indexed="8"/>
      <name val="Calibri"/>
      <family val="2"/>
      <charset val="204"/>
    </font>
    <font>
      <sz val="15"/>
      <color indexed="8"/>
      <name val="Calibri"/>
      <family val="2"/>
    </font>
    <font>
      <b/>
      <sz val="15"/>
      <color indexed="8"/>
      <name val="Calibri"/>
      <family val="2"/>
      <charset val="204"/>
    </font>
    <font>
      <b/>
      <sz val="15"/>
      <color indexed="8"/>
      <name val="Calibri"/>
      <family val="2"/>
    </font>
    <font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i/>
      <sz val="17"/>
      <name val="Times New Roman"/>
      <family val="1"/>
      <charset val="204"/>
    </font>
    <font>
      <b/>
      <u/>
      <sz val="17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b/>
      <sz val="17"/>
      <color indexed="40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i/>
      <sz val="17"/>
      <color indexed="40"/>
      <name val="Times New Roman"/>
      <family val="1"/>
      <charset val="204"/>
    </font>
    <font>
      <sz val="17"/>
      <color indexed="40"/>
      <name val="Times New Roman"/>
      <family val="1"/>
      <charset val="204"/>
    </font>
    <font>
      <vertAlign val="superscript"/>
      <sz val="17"/>
      <name val="Times New Roman"/>
      <family val="1"/>
      <charset val="204"/>
    </font>
    <font>
      <b/>
      <i/>
      <sz val="17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  <font>
      <b/>
      <sz val="22"/>
      <color indexed="36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1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.5"/>
      <name val="Times New Roman"/>
      <family val="1"/>
      <charset val="204"/>
    </font>
    <font>
      <sz val="18"/>
      <color indexed="57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7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19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9" fontId="2" fillId="0" borderId="0" applyFont="0" applyFill="0" applyBorder="0" applyAlignment="0" applyProtection="0"/>
    <xf numFmtId="0" fontId="90" fillId="0" borderId="0"/>
    <xf numFmtId="172" fontId="4" fillId="0" borderId="0" applyFont="0" applyFill="0" applyBorder="0" applyAlignment="0" applyProtection="0"/>
    <xf numFmtId="173" fontId="91" fillId="0" borderId="0" applyFont="0" applyFill="0" applyBorder="0" applyAlignment="0" applyProtection="0"/>
  </cellStyleXfs>
  <cellXfs count="1240">
    <xf numFmtId="0" fontId="0" fillId="0" borderId="0" xfId="0"/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 shrinkToFit="1"/>
    </xf>
    <xf numFmtId="0" fontId="8" fillId="0" borderId="0" xfId="6" applyFont="1" applyAlignment="1">
      <alignment vertical="center"/>
    </xf>
    <xf numFmtId="0" fontId="6" fillId="0" borderId="1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 indent="2"/>
    </xf>
    <xf numFmtId="0" fontId="6" fillId="0" borderId="0" xfId="6" applyFont="1" applyAlignment="1">
      <alignment horizontal="left" vertical="center" wrapText="1"/>
    </xf>
    <xf numFmtId="164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right" vertical="center" wrapText="1"/>
    </xf>
    <xf numFmtId="0" fontId="8" fillId="0" borderId="0" xfId="6" applyFont="1" applyAlignment="1">
      <alignment horizontal="left" vertical="center" wrapText="1"/>
    </xf>
    <xf numFmtId="165" fontId="9" fillId="0" borderId="0" xfId="6" applyNumberFormat="1" applyFont="1" applyAlignment="1">
      <alignment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vertical="center" wrapText="1"/>
    </xf>
    <xf numFmtId="0" fontId="8" fillId="0" borderId="1" xfId="6" applyFont="1" applyBorder="1" applyAlignment="1">
      <alignment horizontal="left" vertical="center" wrapText="1"/>
    </xf>
    <xf numFmtId="0" fontId="13" fillId="0" borderId="0" xfId="6" applyFont="1" applyAlignment="1">
      <alignment vertical="center"/>
    </xf>
    <xf numFmtId="3" fontId="6" fillId="0" borderId="1" xfId="6" applyNumberFormat="1" applyFont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center" vertical="center" wrapText="1"/>
    </xf>
    <xf numFmtId="3" fontId="8" fillId="2" borderId="1" xfId="6" applyNumberFormat="1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21" fillId="0" borderId="1" xfId="6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6" quotePrefix="1" applyFont="1" applyBorder="1" applyAlignment="1">
      <alignment horizontal="center" vertical="center"/>
    </xf>
    <xf numFmtId="0" fontId="22" fillId="0" borderId="0" xfId="0" applyFont="1"/>
    <xf numFmtId="0" fontId="22" fillId="3" borderId="0" xfId="0" applyFont="1" applyFill="1"/>
    <xf numFmtId="0" fontId="23" fillId="0" borderId="0" xfId="0" applyFont="1"/>
    <xf numFmtId="0" fontId="21" fillId="4" borderId="1" xfId="0" applyFont="1" applyFill="1" applyBorder="1" applyAlignment="1">
      <alignment wrapText="1"/>
    </xf>
    <xf numFmtId="0" fontId="21" fillId="3" borderId="0" xfId="6" applyFont="1" applyFill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3" fontId="27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6" applyFont="1" applyBorder="1" applyAlignment="1">
      <alignment vertical="center"/>
    </xf>
    <xf numFmtId="0" fontId="6" fillId="0" borderId="1" xfId="6" quotePrefix="1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0" xfId="6" quotePrefix="1" applyFont="1" applyAlignment="1">
      <alignment horizontal="center" vertical="center"/>
    </xf>
    <xf numFmtId="0" fontId="15" fillId="6" borderId="0" xfId="0" applyFont="1" applyFill="1"/>
    <xf numFmtId="0" fontId="16" fillId="6" borderId="0" xfId="0" applyFont="1" applyFill="1"/>
    <xf numFmtId="0" fontId="19" fillId="0" borderId="0" xfId="0" applyFont="1" applyAlignment="1">
      <alignment horizontal="left"/>
    </xf>
    <xf numFmtId="0" fontId="15" fillId="0" borderId="0" xfId="0" applyFont="1"/>
    <xf numFmtId="0" fontId="29" fillId="3" borderId="0" xfId="0" applyFont="1" applyFill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/>
    <xf numFmtId="0" fontId="29" fillId="0" borderId="0" xfId="0" applyFont="1"/>
    <xf numFmtId="0" fontId="23" fillId="3" borderId="0" xfId="0" applyFont="1" applyFill="1"/>
    <xf numFmtId="0" fontId="32" fillId="3" borderId="0" xfId="0" applyFont="1" applyFill="1"/>
    <xf numFmtId="0" fontId="33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35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27" fillId="0" borderId="0" xfId="0" applyNumberFormat="1" applyFont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9" fontId="37" fillId="5" borderId="1" xfId="13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9" fontId="37" fillId="3" borderId="0" xfId="13" applyFont="1" applyFill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167" fontId="34" fillId="0" borderId="5" xfId="0" applyNumberFormat="1" applyFont="1" applyBorder="1"/>
    <xf numFmtId="164" fontId="23" fillId="2" borderId="6" xfId="0" applyNumberFormat="1" applyFont="1" applyFill="1" applyBorder="1" applyAlignment="1">
      <alignment horizontal="center" vertical="center" wrapText="1"/>
    </xf>
    <xf numFmtId="168" fontId="23" fillId="2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38" fillId="0" borderId="4" xfId="0" applyFont="1" applyBorder="1" applyAlignment="1">
      <alignment vertical="center" wrapText="1"/>
    </xf>
    <xf numFmtId="0" fontId="10" fillId="0" borderId="0" xfId="0" applyFont="1"/>
    <xf numFmtId="0" fontId="40" fillId="6" borderId="0" xfId="0" applyFont="1" applyFill="1"/>
    <xf numFmtId="0" fontId="31" fillId="0" borderId="0" xfId="0" applyFont="1"/>
    <xf numFmtId="0" fontId="32" fillId="0" borderId="0" xfId="0" applyFont="1"/>
    <xf numFmtId="167" fontId="10" fillId="0" borderId="5" xfId="0" applyNumberFormat="1" applyFont="1" applyBorder="1"/>
    <xf numFmtId="167" fontId="38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center" vertical="center" wrapText="1"/>
    </xf>
    <xf numFmtId="167" fontId="38" fillId="0" borderId="5" xfId="0" applyNumberFormat="1" applyFont="1" applyBorder="1"/>
    <xf numFmtId="0" fontId="19" fillId="0" borderId="0" xfId="0" applyFont="1" applyAlignment="1">
      <alignment horizontal="center" vertical="center"/>
    </xf>
    <xf numFmtId="0" fontId="44" fillId="0" borderId="0" xfId="0" applyFont="1"/>
    <xf numFmtId="0" fontId="43" fillId="0" borderId="0" xfId="0" applyFont="1"/>
    <xf numFmtId="0" fontId="49" fillId="0" borderId="0" xfId="0" applyFont="1" applyAlignment="1">
      <alignment vertical="center"/>
    </xf>
    <xf numFmtId="0" fontId="47" fillId="0" borderId="0" xfId="0" applyFont="1"/>
    <xf numFmtId="0" fontId="48" fillId="0" borderId="0" xfId="0" applyFont="1"/>
    <xf numFmtId="0" fontId="46" fillId="0" borderId="0" xfId="0" applyFont="1"/>
    <xf numFmtId="0" fontId="48" fillId="0" borderId="0" xfId="0" applyFont="1" applyAlignment="1">
      <alignment horizontal="center"/>
    </xf>
    <xf numFmtId="0" fontId="52" fillId="0" borderId="0" xfId="0" applyFont="1"/>
    <xf numFmtId="0" fontId="45" fillId="0" borderId="0" xfId="0" applyFont="1"/>
    <xf numFmtId="0" fontId="37" fillId="0" borderId="0" xfId="0" applyFont="1"/>
    <xf numFmtId="0" fontId="1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/>
    <xf numFmtId="0" fontId="15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vertical="center"/>
    </xf>
    <xf numFmtId="0" fontId="16" fillId="0" borderId="0" xfId="0" applyFont="1"/>
    <xf numFmtId="0" fontId="41" fillId="0" borderId="0" xfId="0" applyFont="1"/>
    <xf numFmtId="0" fontId="51" fillId="0" borderId="0" xfId="0" applyFont="1"/>
    <xf numFmtId="0" fontId="16" fillId="0" borderId="0" xfId="0" applyFont="1" applyAlignment="1">
      <alignment horizontal="center" vertical="center"/>
    </xf>
    <xf numFmtId="9" fontId="45" fillId="0" borderId="0" xfId="0" applyNumberFormat="1" applyFont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21" fillId="4" borderId="1" xfId="6" applyFont="1" applyFill="1" applyBorder="1" applyAlignment="1">
      <alignment horizontal="left" vertical="center" wrapText="1"/>
    </xf>
    <xf numFmtId="165" fontId="64" fillId="0" borderId="5" xfId="3" applyNumberFormat="1" applyFont="1" applyBorder="1" applyAlignment="1">
      <alignment horizontal="center" vertical="center"/>
    </xf>
    <xf numFmtId="165" fontId="61" fillId="0" borderId="3" xfId="0" applyNumberFormat="1" applyFont="1" applyBorder="1" applyAlignment="1">
      <alignment horizontal="center" vertical="center" wrapText="1"/>
    </xf>
    <xf numFmtId="165" fontId="64" fillId="0" borderId="5" xfId="0" applyNumberFormat="1" applyFont="1" applyBorder="1" applyAlignment="1">
      <alignment horizontal="center" vertical="center"/>
    </xf>
    <xf numFmtId="0" fontId="54" fillId="3" borderId="0" xfId="0" applyFont="1" applyFill="1"/>
    <xf numFmtId="0" fontId="53" fillId="3" borderId="0" xfId="0" applyFont="1" applyFill="1" applyAlignment="1">
      <alignment horizontal="center" vertical="center"/>
    </xf>
    <xf numFmtId="169" fontId="62" fillId="3" borderId="1" xfId="0" applyNumberFormat="1" applyFont="1" applyFill="1" applyBorder="1" applyAlignment="1">
      <alignment horizontal="center" vertical="center"/>
    </xf>
    <xf numFmtId="3" fontId="55" fillId="3" borderId="1" xfId="0" applyNumberFormat="1" applyFont="1" applyFill="1" applyBorder="1" applyAlignment="1">
      <alignment horizontal="center" vertical="center"/>
    </xf>
    <xf numFmtId="0" fontId="34" fillId="3" borderId="0" xfId="0" applyFont="1" applyFill="1"/>
    <xf numFmtId="3" fontId="50" fillId="4" borderId="1" xfId="0" applyNumberFormat="1" applyFont="1" applyFill="1" applyBorder="1" applyAlignment="1">
      <alignment horizontal="center" vertical="center"/>
    </xf>
    <xf numFmtId="0" fontId="60" fillId="3" borderId="0" xfId="0" applyFont="1" applyFill="1"/>
    <xf numFmtId="169" fontId="62" fillId="0" borderId="1" xfId="0" applyNumberFormat="1" applyFont="1" applyBorder="1" applyAlignment="1">
      <alignment horizontal="center" vertical="center"/>
    </xf>
    <xf numFmtId="0" fontId="31" fillId="3" borderId="0" xfId="0" applyFont="1" applyFill="1" applyBorder="1"/>
    <xf numFmtId="0" fontId="29" fillId="3" borderId="0" xfId="0" applyFont="1" applyFill="1" applyBorder="1"/>
    <xf numFmtId="0" fontId="68" fillId="3" borderId="0" xfId="0" applyFont="1" applyFill="1" applyBorder="1" applyAlignment="1">
      <alignment horizontal="center" vertical="center"/>
    </xf>
    <xf numFmtId="167" fontId="34" fillId="0" borderId="5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 wrapText="1"/>
    </xf>
    <xf numFmtId="165" fontId="61" fillId="0" borderId="3" xfId="0" applyNumberFormat="1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 indent="2"/>
    </xf>
    <xf numFmtId="0" fontId="10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67" fillId="0" borderId="0" xfId="0" applyFont="1"/>
    <xf numFmtId="0" fontId="1" fillId="0" borderId="0" xfId="0" applyFont="1"/>
    <xf numFmtId="0" fontId="48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5" fillId="0" borderId="0" xfId="6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16" fillId="0" borderId="0" xfId="0" applyFont="1" applyFill="1"/>
    <xf numFmtId="0" fontId="37" fillId="0" borderId="0" xfId="0" applyFont="1" applyFill="1"/>
    <xf numFmtId="0" fontId="67" fillId="0" borderId="0" xfId="0" applyFont="1" applyFill="1" applyAlignment="1">
      <alignment vertical="center"/>
    </xf>
    <xf numFmtId="0" fontId="15" fillId="0" borderId="0" xfId="0" applyFont="1" applyFill="1"/>
    <xf numFmtId="0" fontId="12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43" fillId="0" borderId="0" xfId="0" applyNumberFormat="1" applyFont="1"/>
    <xf numFmtId="0" fontId="36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 wrapText="1"/>
    </xf>
    <xf numFmtId="0" fontId="43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horizontal="left" vertical="center"/>
    </xf>
    <xf numFmtId="0" fontId="43" fillId="8" borderId="0" xfId="0" applyFont="1" applyFill="1"/>
    <xf numFmtId="0" fontId="47" fillId="8" borderId="0" xfId="0" applyFont="1" applyFill="1"/>
    <xf numFmtId="0" fontId="48" fillId="8" borderId="0" xfId="0" applyFont="1" applyFill="1"/>
    <xf numFmtId="0" fontId="46" fillId="8" borderId="0" xfId="0" applyFont="1" applyFill="1"/>
    <xf numFmtId="0" fontId="76" fillId="3" borderId="0" xfId="11" applyFont="1" applyFill="1" applyAlignment="1">
      <alignment horizontal="center"/>
    </xf>
    <xf numFmtId="14" fontId="77" fillId="3" borderId="0" xfId="11" applyNumberFormat="1" applyFont="1" applyFill="1" applyAlignment="1">
      <alignment horizontal="left"/>
    </xf>
    <xf numFmtId="0" fontId="78" fillId="3" borderId="0" xfId="11" applyFont="1" applyFill="1" applyAlignment="1">
      <alignment horizontal="center"/>
    </xf>
    <xf numFmtId="0" fontId="78" fillId="3" borderId="0" xfId="11" applyFont="1" applyFill="1" applyAlignment="1">
      <alignment horizontal="right"/>
    </xf>
    <xf numFmtId="0" fontId="72" fillId="3" borderId="0" xfId="11" applyFont="1" applyFill="1" applyAlignment="1">
      <alignment horizontal="right"/>
    </xf>
    <xf numFmtId="0" fontId="72" fillId="3" borderId="0" xfId="11" applyFont="1" applyFill="1"/>
    <xf numFmtId="0" fontId="79" fillId="3" borderId="0" xfId="11" applyFont="1" applyFill="1" applyAlignment="1">
      <alignment horizontal="center"/>
    </xf>
    <xf numFmtId="2" fontId="57" fillId="3" borderId="0" xfId="11" applyNumberFormat="1" applyFont="1" applyFill="1" applyAlignment="1">
      <alignment horizontal="center"/>
    </xf>
    <xf numFmtId="0" fontId="57" fillId="3" borderId="0" xfId="11" applyFont="1" applyFill="1" applyAlignment="1">
      <alignment horizontal="right"/>
    </xf>
    <xf numFmtId="170" fontId="57" fillId="3" borderId="0" xfId="11" applyNumberFormat="1" applyFont="1" applyFill="1" applyAlignment="1">
      <alignment horizontal="right"/>
    </xf>
    <xf numFmtId="171" fontId="57" fillId="3" borderId="0" xfId="11" applyNumberFormat="1" applyFont="1" applyFill="1" applyAlignment="1">
      <alignment horizontal="right"/>
    </xf>
    <xf numFmtId="170" fontId="54" fillId="3" borderId="0" xfId="11" applyNumberFormat="1" applyFont="1" applyFill="1" applyAlignment="1">
      <alignment horizontal="right"/>
    </xf>
    <xf numFmtId="0" fontId="79" fillId="3" borderId="0" xfId="11" applyFont="1" applyFill="1" applyAlignment="1">
      <alignment horizontal="right"/>
    </xf>
    <xf numFmtId="0" fontId="79" fillId="3" borderId="0" xfId="11" applyFont="1" applyFill="1"/>
    <xf numFmtId="0" fontId="6" fillId="3" borderId="0" xfId="11" applyFont="1" applyFill="1" applyAlignment="1">
      <alignment horizontal="center"/>
    </xf>
    <xf numFmtId="0" fontId="56" fillId="3" borderId="0" xfId="11" applyFont="1" applyFill="1" applyAlignment="1">
      <alignment horizontal="left"/>
    </xf>
    <xf numFmtId="0" fontId="57" fillId="3" borderId="0" xfId="11" applyFont="1" applyFill="1" applyAlignment="1">
      <alignment horizontal="center"/>
    </xf>
    <xf numFmtId="0" fontId="83" fillId="3" borderId="0" xfId="11" applyFont="1" applyFill="1" applyAlignment="1">
      <alignment horizontal="right"/>
    </xf>
    <xf numFmtId="0" fontId="83" fillId="3" borderId="0" xfId="11" applyFont="1" applyFill="1"/>
    <xf numFmtId="0" fontId="42" fillId="3" borderId="0" xfId="11" applyFont="1" applyFill="1"/>
    <xf numFmtId="0" fontId="6" fillId="3" borderId="1" xfId="11" applyFont="1" applyFill="1" applyBorder="1" applyAlignment="1">
      <alignment horizontal="center" vertical="center" textRotation="90"/>
    </xf>
    <xf numFmtId="0" fontId="42" fillId="3" borderId="1" xfId="11" applyFont="1" applyFill="1" applyBorder="1" applyAlignment="1">
      <alignment horizontal="center" vertical="center" wrapText="1"/>
    </xf>
    <xf numFmtId="0" fontId="57" fillId="3" borderId="1" xfId="11" applyFont="1" applyFill="1" applyBorder="1" applyAlignment="1">
      <alignment horizontal="right"/>
    </xf>
    <xf numFmtId="0" fontId="42" fillId="3" borderId="1" xfId="11" applyFont="1" applyFill="1" applyBorder="1" applyAlignment="1">
      <alignment horizontal="right"/>
    </xf>
    <xf numFmtId="0" fontId="42" fillId="3" borderId="0" xfId="11" applyFont="1" applyFill="1" applyAlignment="1"/>
    <xf numFmtId="49" fontId="42" fillId="3" borderId="1" xfId="11" applyNumberFormat="1" applyFont="1" applyFill="1" applyBorder="1" applyAlignment="1">
      <alignment horizontal="center" vertical="center" wrapText="1" shrinkToFit="1"/>
    </xf>
    <xf numFmtId="49" fontId="42" fillId="3" borderId="1" xfId="11" applyNumberFormat="1" applyFont="1" applyFill="1" applyBorder="1" applyAlignment="1">
      <alignment horizontal="left" vertical="center" wrapText="1" shrinkToFit="1"/>
    </xf>
    <xf numFmtId="0" fontId="42" fillId="3" borderId="1" xfId="11" applyFont="1" applyFill="1" applyBorder="1" applyAlignment="1">
      <alignment horizontal="center"/>
    </xf>
    <xf numFmtId="0" fontId="56" fillId="3" borderId="1" xfId="11" applyFont="1" applyFill="1" applyBorder="1" applyAlignment="1">
      <alignment horizontal="center"/>
    </xf>
    <xf numFmtId="0" fontId="21" fillId="3" borderId="1" xfId="11" applyFont="1" applyFill="1" applyBorder="1" applyAlignment="1">
      <alignment horizontal="center"/>
    </xf>
    <xf numFmtId="0" fontId="56" fillId="3" borderId="1" xfId="11" applyFont="1" applyFill="1" applyBorder="1" applyAlignment="1">
      <alignment horizontal="right"/>
    </xf>
    <xf numFmtId="0" fontId="21" fillId="3" borderId="1" xfId="11" applyFont="1" applyFill="1" applyBorder="1" applyAlignment="1">
      <alignment horizontal="right"/>
    </xf>
    <xf numFmtId="0" fontId="21" fillId="3" borderId="0" xfId="11" applyFont="1" applyFill="1"/>
    <xf numFmtId="2" fontId="21" fillId="3" borderId="1" xfId="11" applyNumberFormat="1" applyFont="1" applyFill="1" applyBorder="1" applyAlignment="1">
      <alignment horizontal="center"/>
    </xf>
    <xf numFmtId="0" fontId="57" fillId="3" borderId="1" xfId="11" applyFont="1" applyFill="1" applyBorder="1" applyAlignment="1">
      <alignment horizontal="right" vertical="center"/>
    </xf>
    <xf numFmtId="0" fontId="57" fillId="3" borderId="0" xfId="11" applyFont="1" applyFill="1" applyAlignment="1">
      <alignment vertical="center"/>
    </xf>
    <xf numFmtId="0" fontId="56" fillId="3" borderId="1" xfId="11" applyFont="1" applyFill="1" applyBorder="1" applyAlignment="1">
      <alignment horizontal="center" vertical="center"/>
    </xf>
    <xf numFmtId="0" fontId="56" fillId="3" borderId="1" xfId="11" applyFont="1" applyFill="1" applyBorder="1" applyAlignment="1">
      <alignment horizontal="left" vertical="center"/>
    </xf>
    <xf numFmtId="0" fontId="57" fillId="3" borderId="1" xfId="11" applyFont="1" applyFill="1" applyBorder="1" applyAlignment="1">
      <alignment horizontal="center" vertical="center"/>
    </xf>
    <xf numFmtId="1" fontId="56" fillId="3" borderId="1" xfId="11" applyNumberFormat="1" applyFont="1" applyFill="1" applyBorder="1" applyAlignment="1">
      <alignment horizontal="center" vertical="center"/>
    </xf>
    <xf numFmtId="3" fontId="56" fillId="3" borderId="1" xfId="11" applyNumberFormat="1" applyFont="1" applyFill="1" applyBorder="1" applyAlignment="1">
      <alignment horizontal="center" vertical="center"/>
    </xf>
    <xf numFmtId="165" fontId="56" fillId="3" borderId="1" xfId="11" applyNumberFormat="1" applyFont="1" applyFill="1" applyBorder="1" applyAlignment="1">
      <alignment horizontal="center" vertical="center"/>
    </xf>
    <xf numFmtId="4" fontId="56" fillId="3" borderId="1" xfId="11" applyNumberFormat="1" applyFont="1" applyFill="1" applyBorder="1" applyAlignment="1">
      <alignment horizontal="center" vertical="center"/>
    </xf>
    <xf numFmtId="0" fontId="76" fillId="3" borderId="0" xfId="11" applyFont="1" applyFill="1" applyAlignment="1">
      <alignment horizontal="left"/>
    </xf>
    <xf numFmtId="0" fontId="88" fillId="0" borderId="0" xfId="11" applyFont="1" applyFill="1" applyAlignment="1">
      <alignment horizontal="center"/>
    </xf>
    <xf numFmtId="0" fontId="76" fillId="0" borderId="0" xfId="11" applyFont="1" applyFill="1" applyAlignment="1">
      <alignment horizontal="center"/>
    </xf>
    <xf numFmtId="0" fontId="78" fillId="0" borderId="0" xfId="11" applyFont="1" applyFill="1" applyAlignment="1">
      <alignment horizontal="right"/>
    </xf>
    <xf numFmtId="0" fontId="72" fillId="0" borderId="0" xfId="11" applyFont="1" applyFill="1" applyAlignment="1">
      <alignment horizontal="right"/>
    </xf>
    <xf numFmtId="0" fontId="89" fillId="0" borderId="0" xfId="11" applyFont="1" applyFill="1" applyAlignment="1">
      <alignment horizontal="right"/>
    </xf>
    <xf numFmtId="0" fontId="72" fillId="0" borderId="0" xfId="11" applyFont="1" applyFill="1"/>
    <xf numFmtId="4" fontId="76" fillId="3" borderId="0" xfId="11" applyNumberFormat="1" applyFont="1" applyFill="1" applyAlignment="1">
      <alignment horizontal="center"/>
    </xf>
    <xf numFmtId="2" fontId="76" fillId="3" borderId="0" xfId="11" applyNumberFormat="1" applyFont="1" applyFill="1" applyAlignment="1">
      <alignment horizontal="center"/>
    </xf>
    <xf numFmtId="2" fontId="76" fillId="0" borderId="0" xfId="11" applyNumberFormat="1" applyFont="1" applyFill="1" applyAlignment="1">
      <alignment horizontal="center"/>
    </xf>
    <xf numFmtId="0" fontId="72" fillId="0" borderId="0" xfId="11" applyFill="1" applyAlignment="1">
      <alignment horizontal="right"/>
    </xf>
    <xf numFmtId="0" fontId="72" fillId="0" borderId="0" xfId="11" applyFill="1"/>
    <xf numFmtId="0" fontId="79" fillId="3" borderId="1" xfId="11" applyFont="1" applyFill="1" applyBorder="1"/>
    <xf numFmtId="0" fontId="79" fillId="3" borderId="1" xfId="6" applyFont="1" applyFill="1" applyBorder="1" applyAlignment="1">
      <alignment horizontal="left" vertical="center" wrapText="1"/>
    </xf>
    <xf numFmtId="0" fontId="79" fillId="3" borderId="1" xfId="11" applyFont="1" applyFill="1" applyBorder="1" applyAlignment="1">
      <alignment horizontal="center"/>
    </xf>
    <xf numFmtId="0" fontId="92" fillId="0" borderId="0" xfId="11" applyFont="1" applyFill="1" applyAlignment="1">
      <alignment horizontal="center"/>
    </xf>
    <xf numFmtId="0" fontId="79" fillId="0" borderId="0" xfId="11" applyFont="1" applyFill="1"/>
    <xf numFmtId="2" fontId="83" fillId="3" borderId="1" xfId="11" applyNumberFormat="1" applyFont="1" applyFill="1" applyBorder="1" applyAlignment="1">
      <alignment horizontal="center"/>
    </xf>
    <xf numFmtId="4" fontId="83" fillId="3" borderId="1" xfId="11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93" fillId="0" borderId="0" xfId="8" applyFont="1" applyFill="1" applyAlignment="1">
      <alignment horizontal="center" wrapText="1"/>
    </xf>
    <xf numFmtId="0" fontId="53" fillId="3" borderId="1" xfId="6" applyFont="1" applyFill="1" applyBorder="1" applyAlignment="1">
      <alignment horizontal="left" vertical="center" wrapText="1"/>
    </xf>
    <xf numFmtId="0" fontId="53" fillId="3" borderId="1" xfId="6" applyFont="1" applyFill="1" applyBorder="1" applyAlignment="1">
      <alignment horizontal="center" vertical="center" wrapText="1"/>
    </xf>
    <xf numFmtId="0" fontId="54" fillId="3" borderId="1" xfId="6" applyFont="1" applyFill="1" applyBorder="1" applyAlignment="1">
      <alignment horizontal="left" vertical="center" wrapText="1"/>
    </xf>
    <xf numFmtId="4" fontId="54" fillId="3" borderId="1" xfId="6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/>
    </xf>
    <xf numFmtId="49" fontId="53" fillId="2" borderId="1" xfId="8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9" fillId="9" borderId="1" xfId="6" applyFont="1" applyFill="1" applyBorder="1" applyAlignment="1">
      <alignment horizontal="right" vertical="center" wrapText="1"/>
    </xf>
    <xf numFmtId="0" fontId="59" fillId="9" borderId="1" xfId="0" applyFont="1" applyFill="1" applyBorder="1" applyAlignment="1">
      <alignment horizontal="right" vertical="center" wrapText="1"/>
    </xf>
    <xf numFmtId="3" fontId="99" fillId="10" borderId="1" xfId="6" applyNumberFormat="1" applyFont="1" applyFill="1" applyBorder="1" applyAlignment="1">
      <alignment horizontal="center" vertical="center" wrapText="1"/>
    </xf>
    <xf numFmtId="49" fontId="53" fillId="0" borderId="1" xfId="8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101" fillId="0" borderId="0" xfId="0" applyFont="1"/>
    <xf numFmtId="1" fontId="78" fillId="3" borderId="0" xfId="11" applyNumberFormat="1" applyFont="1" applyFill="1" applyAlignment="1">
      <alignment horizontal="center"/>
    </xf>
    <xf numFmtId="49" fontId="53" fillId="8" borderId="1" xfId="8" applyNumberFormat="1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 wrapText="1"/>
    </xf>
    <xf numFmtId="49" fontId="53" fillId="11" borderId="1" xfId="8" applyNumberFormat="1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1" fontId="54" fillId="0" borderId="1" xfId="8" applyNumberFormat="1" applyFont="1" applyFill="1" applyBorder="1" applyAlignment="1">
      <alignment horizontal="center" vertical="center"/>
    </xf>
    <xf numFmtId="3" fontId="53" fillId="0" borderId="1" xfId="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4" fillId="0" borderId="1" xfId="8" applyNumberFormat="1" applyFont="1" applyFill="1" applyBorder="1" applyAlignment="1">
      <alignment horizontal="center" vertical="center"/>
    </xf>
    <xf numFmtId="4" fontId="58" fillId="9" borderId="1" xfId="0" applyNumberFormat="1" applyFont="1" applyFill="1" applyBorder="1" applyAlignment="1">
      <alignment horizontal="center" vertical="center"/>
    </xf>
    <xf numFmtId="3" fontId="58" fillId="9" borderId="1" xfId="0" applyNumberFormat="1" applyFont="1" applyFill="1" applyBorder="1" applyAlignment="1">
      <alignment horizontal="center" vertical="center"/>
    </xf>
    <xf numFmtId="3" fontId="59" fillId="9" borderId="1" xfId="8" applyNumberFormat="1" applyFont="1" applyFill="1" applyBorder="1" applyAlignment="1">
      <alignment horizontal="center" vertical="center"/>
    </xf>
    <xf numFmtId="0" fontId="97" fillId="9" borderId="0" xfId="0" applyFont="1" applyFill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8" fillId="9" borderId="0" xfId="0" applyFont="1" applyFill="1" applyAlignment="1">
      <alignment horizontal="center" vertical="center"/>
    </xf>
    <xf numFmtId="4" fontId="58" fillId="10" borderId="1" xfId="0" applyNumberFormat="1" applyFont="1" applyFill="1" applyBorder="1" applyAlignment="1">
      <alignment horizontal="center" vertical="center"/>
    </xf>
    <xf numFmtId="3" fontId="58" fillId="10" borderId="1" xfId="0" applyNumberFormat="1" applyFont="1" applyFill="1" applyBorder="1" applyAlignment="1">
      <alignment horizontal="center" vertical="center"/>
    </xf>
    <xf numFmtId="3" fontId="59" fillId="10" borderId="1" xfId="8" applyNumberFormat="1" applyFont="1" applyFill="1" applyBorder="1" applyAlignment="1">
      <alignment horizontal="center" vertical="center"/>
    </xf>
    <xf numFmtId="0" fontId="98" fillId="10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96" fillId="2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4" fillId="0" borderId="1" xfId="7" applyFont="1" applyBorder="1" applyAlignment="1">
      <alignment horizontal="center" vertical="center"/>
    </xf>
    <xf numFmtId="3" fontId="54" fillId="0" borderId="1" xfId="7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53" fillId="0" borderId="1" xfId="7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96" fillId="8" borderId="0" xfId="0" applyFont="1" applyFill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96" fillId="11" borderId="0" xfId="0" applyFont="1" applyFill="1" applyAlignment="1">
      <alignment horizontal="center" vertical="center"/>
    </xf>
    <xf numFmtId="4" fontId="54" fillId="0" borderId="1" xfId="9" applyNumberFormat="1" applyFont="1" applyFill="1" applyBorder="1" applyAlignment="1">
      <alignment horizontal="center" vertical="center" wrapText="1"/>
    </xf>
    <xf numFmtId="4" fontId="54" fillId="0" borderId="1" xfId="9" applyNumberFormat="1" applyFont="1" applyFill="1" applyBorder="1" applyAlignment="1">
      <alignment horizontal="center" vertical="center"/>
    </xf>
    <xf numFmtId="0" fontId="93" fillId="0" borderId="0" xfId="8" applyFont="1" applyFill="1" applyAlignment="1">
      <alignment horizontal="left" wrapText="1"/>
    </xf>
    <xf numFmtId="0" fontId="53" fillId="0" borderId="1" xfId="8" applyFont="1" applyFill="1" applyBorder="1" applyAlignment="1">
      <alignment horizontal="left" vertical="center"/>
    </xf>
    <xf numFmtId="0" fontId="59" fillId="10" borderId="1" xfId="6" applyFont="1" applyFill="1" applyBorder="1" applyAlignment="1">
      <alignment horizontal="left" vertical="center" wrapText="1"/>
    </xf>
    <xf numFmtId="0" fontId="53" fillId="2" borderId="1" xfId="9" applyFont="1" applyFill="1" applyBorder="1" applyAlignment="1">
      <alignment horizontal="left" vertical="center" wrapText="1"/>
    </xf>
    <xf numFmtId="0" fontId="53" fillId="0" borderId="1" xfId="7" applyFont="1" applyBorder="1" applyAlignment="1">
      <alignment horizontal="left" vertical="center"/>
    </xf>
    <xf numFmtId="0" fontId="53" fillId="8" borderId="1" xfId="9" applyFont="1" applyFill="1" applyBorder="1" applyAlignment="1">
      <alignment horizontal="left" vertical="center" wrapText="1"/>
    </xf>
    <xf numFmtId="0" fontId="53" fillId="11" borderId="1" xfId="9" applyFont="1" applyFill="1" applyBorder="1" applyAlignment="1">
      <alignment horizontal="left" vertical="center" wrapText="1"/>
    </xf>
    <xf numFmtId="49" fontId="53" fillId="11" borderId="1" xfId="9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54" fillId="2" borderId="1" xfId="9" applyFont="1" applyFill="1" applyBorder="1" applyAlignment="1">
      <alignment horizontal="left" vertical="center" wrapText="1"/>
    </xf>
    <xf numFmtId="0" fontId="54" fillId="8" borderId="1" xfId="8" applyFont="1" applyFill="1" applyBorder="1" applyAlignment="1">
      <alignment horizontal="left" vertical="center" wrapText="1"/>
    </xf>
    <xf numFmtId="0" fontId="54" fillId="8" borderId="1" xfId="9" applyFont="1" applyFill="1" applyBorder="1" applyAlignment="1">
      <alignment horizontal="left" vertical="center" wrapText="1"/>
    </xf>
    <xf numFmtId="0" fontId="54" fillId="11" borderId="1" xfId="9" applyFont="1" applyFill="1" applyBorder="1" applyAlignment="1">
      <alignment horizontal="left" vertical="center" wrapText="1"/>
    </xf>
    <xf numFmtId="49" fontId="54" fillId="11" borderId="1" xfId="9" applyNumberFormat="1" applyFont="1" applyFill="1" applyBorder="1" applyAlignment="1">
      <alignment horizontal="left" vertical="center" wrapText="1"/>
    </xf>
    <xf numFmtId="0" fontId="54" fillId="11" borderId="1" xfId="9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100" fillId="0" borderId="1" xfId="0" applyFont="1" applyBorder="1"/>
    <xf numFmtId="0" fontId="28" fillId="0" borderId="1" xfId="0" applyFont="1" applyBorder="1" applyAlignment="1">
      <alignment horizontal="left"/>
    </xf>
    <xf numFmtId="0" fontId="28" fillId="12" borderId="1" xfId="0" applyFont="1" applyFill="1" applyBorder="1" applyAlignment="1">
      <alignment horizontal="center" vertical="center"/>
    </xf>
    <xf numFmtId="0" fontId="53" fillId="12" borderId="1" xfId="9" applyFont="1" applyFill="1" applyBorder="1" applyAlignment="1">
      <alignment horizontal="left" vertical="center"/>
    </xf>
    <xf numFmtId="49" fontId="53" fillId="12" borderId="1" xfId="8" applyNumberFormat="1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0" fontId="96" fillId="12" borderId="0" xfId="0" applyFont="1" applyFill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47" fillId="8" borderId="0" xfId="0" applyFont="1" applyFill="1" applyAlignment="1">
      <alignment horizontal="center" vertical="center"/>
    </xf>
    <xf numFmtId="0" fontId="65" fillId="8" borderId="0" xfId="0" applyFont="1" applyFill="1"/>
    <xf numFmtId="1" fontId="83" fillId="3" borderId="1" xfId="11" applyNumberFormat="1" applyFont="1" applyFill="1" applyBorder="1" applyAlignment="1">
      <alignment horizontal="center"/>
    </xf>
    <xf numFmtId="174" fontId="83" fillId="3" borderId="1" xfId="11" applyNumberFormat="1" applyFont="1" applyFill="1" applyBorder="1" applyAlignment="1">
      <alignment horizontal="center"/>
    </xf>
    <xf numFmtId="4" fontId="6" fillId="2" borderId="1" xfId="6" applyNumberFormat="1" applyFont="1" applyFill="1" applyBorder="1" applyAlignment="1">
      <alignment horizontal="center" vertical="center" wrapText="1"/>
    </xf>
    <xf numFmtId="49" fontId="6" fillId="3" borderId="1" xfId="11" applyNumberFormat="1" applyFont="1" applyFill="1" applyBorder="1" applyAlignment="1">
      <alignment horizontal="center" vertical="center" wrapText="1" shrinkToFit="1"/>
    </xf>
    <xf numFmtId="49" fontId="57" fillId="3" borderId="1" xfId="11" applyNumberFormat="1" applyFont="1" applyFill="1" applyBorder="1" applyAlignment="1">
      <alignment horizontal="center" vertical="center" wrapText="1" shrinkToFit="1"/>
    </xf>
    <xf numFmtId="49" fontId="6" fillId="3" borderId="1" xfId="11" applyNumberFormat="1" applyFont="1" applyFill="1" applyBorder="1" applyAlignment="1">
      <alignment horizontal="center" vertical="center" textRotation="90" wrapText="1" shrinkToFit="1"/>
    </xf>
    <xf numFmtId="0" fontId="6" fillId="3" borderId="1" xfId="11" applyFont="1" applyFill="1" applyBorder="1" applyAlignment="1">
      <alignment horizontal="center" vertical="center" wrapText="1"/>
    </xf>
    <xf numFmtId="0" fontId="57" fillId="3" borderId="1" xfId="1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 textRotation="90" wrapText="1"/>
    </xf>
    <xf numFmtId="9" fontId="57" fillId="3" borderId="1" xfId="11" applyNumberFormat="1" applyFont="1" applyFill="1" applyBorder="1" applyAlignment="1">
      <alignment horizontal="center" vertical="center" wrapText="1"/>
    </xf>
    <xf numFmtId="1" fontId="57" fillId="3" borderId="1" xfId="11" applyNumberFormat="1" applyFont="1" applyFill="1" applyBorder="1" applyAlignment="1">
      <alignment horizontal="center" vertical="center" wrapText="1"/>
    </xf>
    <xf numFmtId="0" fontId="107" fillId="0" borderId="7" xfId="0" applyFont="1" applyBorder="1" applyAlignment="1" applyProtection="1">
      <alignment horizontal="center" vertical="center" wrapText="1"/>
      <protection locked="0"/>
    </xf>
    <xf numFmtId="0" fontId="107" fillId="0" borderId="8" xfId="0" applyFont="1" applyBorder="1" applyAlignment="1" applyProtection="1">
      <alignment horizontal="center" vertical="center" wrapText="1"/>
      <protection locked="0"/>
    </xf>
    <xf numFmtId="3" fontId="108" fillId="8" borderId="9" xfId="0" applyNumberFormat="1" applyFont="1" applyFill="1" applyBorder="1" applyAlignment="1" applyProtection="1">
      <alignment horizontal="center" vertical="center"/>
      <protection locked="0"/>
    </xf>
    <xf numFmtId="3" fontId="109" fillId="8" borderId="10" xfId="0" applyNumberFormat="1" applyFont="1" applyFill="1" applyBorder="1" applyAlignment="1" applyProtection="1">
      <alignment horizontal="center" vertical="center"/>
      <protection locked="0"/>
    </xf>
    <xf numFmtId="3" fontId="108" fillId="8" borderId="1" xfId="0" applyNumberFormat="1" applyFont="1" applyFill="1" applyBorder="1" applyAlignment="1" applyProtection="1">
      <alignment horizontal="center" vertical="center"/>
      <protection locked="0"/>
    </xf>
    <xf numFmtId="3" fontId="109" fillId="8" borderId="11" xfId="0" applyNumberFormat="1" applyFont="1" applyFill="1" applyBorder="1" applyAlignment="1" applyProtection="1">
      <alignment horizontal="center" vertical="center"/>
      <protection locked="0"/>
    </xf>
    <xf numFmtId="3" fontId="108" fillId="2" borderId="1" xfId="0" applyNumberFormat="1" applyFont="1" applyFill="1" applyBorder="1" applyAlignment="1" applyProtection="1">
      <alignment horizontal="center" vertical="center"/>
      <protection locked="0"/>
    </xf>
    <xf numFmtId="3" fontId="109" fillId="0" borderId="11" xfId="0" applyNumberFormat="1" applyFont="1" applyBorder="1" applyAlignment="1" applyProtection="1">
      <alignment horizontal="center" vertical="center"/>
      <protection locked="0"/>
    </xf>
    <xf numFmtId="3" fontId="109" fillId="0" borderId="12" xfId="0" applyNumberFormat="1" applyFont="1" applyBorder="1" applyAlignment="1" applyProtection="1">
      <alignment horizontal="center" vertical="center"/>
      <protection locked="0"/>
    </xf>
    <xf numFmtId="3" fontId="109" fillId="0" borderId="13" xfId="0" applyNumberFormat="1" applyFont="1" applyBorder="1" applyAlignment="1" applyProtection="1">
      <alignment horizontal="center" vertical="center"/>
      <protection locked="0"/>
    </xf>
    <xf numFmtId="0" fontId="111" fillId="0" borderId="0" xfId="0" applyFont="1" applyAlignment="1">
      <alignment horizontal="center" vertical="center"/>
    </xf>
    <xf numFmtId="0" fontId="111" fillId="0" borderId="0" xfId="0" applyFont="1"/>
    <xf numFmtId="0" fontId="114" fillId="0" borderId="0" xfId="0" applyFont="1"/>
    <xf numFmtId="0" fontId="108" fillId="0" borderId="0" xfId="0" applyFont="1" applyAlignment="1">
      <alignment horizontal="center" vertical="center"/>
    </xf>
    <xf numFmtId="0" fontId="108" fillId="0" borderId="0" xfId="0" applyFont="1"/>
    <xf numFmtId="0" fontId="115" fillId="0" borderId="0" xfId="0" applyFont="1"/>
    <xf numFmtId="0" fontId="108" fillId="2" borderId="0" xfId="0" applyFont="1" applyFill="1" applyAlignment="1">
      <alignment horizontal="center" vertical="center"/>
    </xf>
    <xf numFmtId="0" fontId="111" fillId="2" borderId="0" xfId="0" applyFont="1" applyFill="1"/>
    <xf numFmtId="0" fontId="108" fillId="2" borderId="0" xfId="0" applyFont="1" applyFill="1"/>
    <xf numFmtId="0" fontId="115" fillId="2" borderId="0" xfId="0" applyFont="1" applyFill="1"/>
    <xf numFmtId="0" fontId="108" fillId="8" borderId="0" xfId="0" applyFont="1" applyFill="1" applyAlignment="1">
      <alignment horizontal="center" vertical="center"/>
    </xf>
    <xf numFmtId="0" fontId="111" fillId="8" borderId="0" xfId="0" applyFont="1" applyFill="1"/>
    <xf numFmtId="0" fontId="108" fillId="8" borderId="0" xfId="0" applyFont="1" applyFill="1"/>
    <xf numFmtId="0" fontId="115" fillId="8" borderId="0" xfId="0" applyFont="1" applyFill="1"/>
    <xf numFmtId="0" fontId="108" fillId="8" borderId="1" xfId="0" applyFont="1" applyFill="1" applyBorder="1" applyAlignment="1" applyProtection="1">
      <alignment horizontal="left" vertical="center" wrapText="1"/>
      <protection locked="0"/>
    </xf>
    <xf numFmtId="0" fontId="108" fillId="0" borderId="1" xfId="0" applyFont="1" applyFill="1" applyBorder="1" applyAlignment="1">
      <alignment horizontal="left" vertical="center" wrapText="1"/>
    </xf>
    <xf numFmtId="0" fontId="117" fillId="0" borderId="0" xfId="0" applyFont="1"/>
    <xf numFmtId="0" fontId="117" fillId="0" borderId="1" xfId="0" applyFont="1" applyBorder="1"/>
    <xf numFmtId="0" fontId="118" fillId="0" borderId="1" xfId="0" applyFont="1" applyBorder="1"/>
    <xf numFmtId="0" fontId="102" fillId="0" borderId="1" xfId="6" applyNumberFormat="1" applyFont="1" applyFill="1" applyBorder="1" applyAlignment="1">
      <alignment horizontal="center" vertical="center"/>
    </xf>
    <xf numFmtId="0" fontId="103" fillId="10" borderId="1" xfId="6" applyFont="1" applyFill="1" applyBorder="1" applyAlignment="1">
      <alignment horizontal="left" vertical="center" wrapText="1"/>
    </xf>
    <xf numFmtId="4" fontId="119" fillId="10" borderId="1" xfId="0" quotePrefix="1" applyNumberFormat="1" applyFont="1" applyFill="1" applyBorder="1" applyAlignment="1">
      <alignment horizontal="center"/>
    </xf>
    <xf numFmtId="4" fontId="119" fillId="10" borderId="1" xfId="0" applyNumberFormat="1" applyFont="1" applyFill="1" applyBorder="1"/>
    <xf numFmtId="0" fontId="103" fillId="3" borderId="1" xfId="6" applyFont="1" applyFill="1" applyBorder="1" applyAlignment="1">
      <alignment vertical="center" wrapText="1"/>
    </xf>
    <xf numFmtId="4" fontId="120" fillId="3" borderId="1" xfId="0" applyNumberFormat="1" applyFont="1" applyFill="1" applyBorder="1" applyProtection="1">
      <protection locked="0"/>
    </xf>
    <xf numFmtId="4" fontId="119" fillId="3" borderId="1" xfId="0" applyNumberFormat="1" applyFont="1" applyFill="1" applyBorder="1"/>
    <xf numFmtId="0" fontId="102" fillId="3" borderId="1" xfId="6" applyFont="1" applyFill="1" applyBorder="1" applyAlignment="1">
      <alignment vertical="center" wrapText="1"/>
    </xf>
    <xf numFmtId="0" fontId="103" fillId="10" borderId="1" xfId="6" applyFont="1" applyFill="1" applyBorder="1" applyAlignment="1">
      <alignment vertical="center" wrapText="1"/>
    </xf>
    <xf numFmtId="0" fontId="121" fillId="10" borderId="1" xfId="6" applyFont="1" applyFill="1" applyBorder="1" applyAlignment="1">
      <alignment vertical="center" wrapText="1"/>
    </xf>
    <xf numFmtId="0" fontId="102" fillId="3" borderId="1" xfId="6" applyFont="1" applyFill="1" applyBorder="1" applyAlignment="1">
      <alignment horizontal="right" vertical="center" wrapText="1"/>
    </xf>
    <xf numFmtId="0" fontId="102" fillId="3" borderId="1" xfId="6" applyFont="1" applyFill="1" applyBorder="1" applyAlignment="1">
      <alignment horizontal="left" vertical="center" wrapText="1"/>
    </xf>
    <xf numFmtId="4" fontId="119" fillId="10" borderId="1" xfId="0" applyNumberFormat="1" applyFont="1" applyFill="1" applyBorder="1" applyProtection="1"/>
    <xf numFmtId="0" fontId="121" fillId="3" borderId="1" xfId="6" applyFont="1" applyFill="1" applyBorder="1" applyAlignment="1">
      <alignment vertical="center" wrapText="1"/>
    </xf>
    <xf numFmtId="0" fontId="121" fillId="3" borderId="1" xfId="6" applyFont="1" applyFill="1" applyBorder="1" applyAlignment="1">
      <alignment vertical="center"/>
    </xf>
    <xf numFmtId="0" fontId="122" fillId="3" borderId="1" xfId="6" applyFont="1" applyFill="1" applyBorder="1" applyAlignment="1">
      <alignment vertical="center" wrapText="1"/>
    </xf>
    <xf numFmtId="0" fontId="120" fillId="3" borderId="1" xfId="6" applyFont="1" applyFill="1" applyBorder="1" applyAlignment="1">
      <alignment horizontal="left" vertical="center" wrapText="1"/>
    </xf>
    <xf numFmtId="0" fontId="102" fillId="0" borderId="1" xfId="6" applyFont="1" applyFill="1" applyBorder="1" applyAlignment="1">
      <alignment vertical="center" wrapText="1"/>
    </xf>
    <xf numFmtId="0" fontId="119" fillId="3" borderId="1" xfId="6" applyFont="1" applyFill="1" applyBorder="1" applyAlignment="1">
      <alignment vertical="center" wrapText="1"/>
    </xf>
    <xf numFmtId="0" fontId="118" fillId="0" borderId="0" xfId="0" applyFont="1"/>
    <xf numFmtId="0" fontId="124" fillId="0" borderId="1" xfId="0" applyFont="1" applyBorder="1"/>
    <xf numFmtId="0" fontId="103" fillId="0" borderId="1" xfId="6" applyFont="1" applyFill="1" applyBorder="1" applyAlignment="1">
      <alignment horizontal="left" vertical="center" wrapText="1"/>
    </xf>
    <xf numFmtId="0" fontId="103" fillId="0" borderId="1" xfId="0" applyFont="1" applyBorder="1" applyAlignment="1">
      <alignment horizontal="center" vertical="center" wrapText="1"/>
    </xf>
    <xf numFmtId="0" fontId="103" fillId="0" borderId="1" xfId="6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0" fontId="125" fillId="0" borderId="1" xfId="0" applyFont="1" applyBorder="1" applyAlignment="1">
      <alignment horizontal="left" wrapText="1"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4" fontId="48" fillId="0" borderId="1" xfId="0" applyNumberFormat="1" applyFont="1" applyFill="1" applyBorder="1" applyAlignment="1">
      <alignment horizontal="center"/>
    </xf>
    <xf numFmtId="3" fontId="48" fillId="0" borderId="1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left"/>
    </xf>
    <xf numFmtId="4" fontId="52" fillId="0" borderId="1" xfId="0" applyNumberFormat="1" applyFont="1" applyFill="1" applyBorder="1" applyAlignment="1">
      <alignment horizontal="center"/>
    </xf>
    <xf numFmtId="0" fontId="125" fillId="0" borderId="1" xfId="0" applyFont="1" applyBorder="1" applyAlignment="1">
      <alignment horizontal="center" wrapText="1"/>
    </xf>
    <xf numFmtId="165" fontId="5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 horizontal="center"/>
    </xf>
    <xf numFmtId="0" fontId="6" fillId="0" borderId="0" xfId="6" applyFont="1"/>
    <xf numFmtId="0" fontId="8" fillId="0" borderId="0" xfId="6" applyFont="1" applyAlignment="1">
      <alignment horizontal="right" wrapText="1"/>
    </xf>
    <xf numFmtId="0" fontId="4" fillId="0" borderId="0" xfId="6"/>
    <xf numFmtId="0" fontId="8" fillId="0" borderId="0" xfId="6" applyFont="1" applyAlignment="1">
      <alignment horizontal="center" wrapText="1"/>
    </xf>
    <xf numFmtId="0" fontId="6" fillId="0" borderId="0" xfId="6" applyFont="1" applyAlignment="1">
      <alignment wrapText="1"/>
    </xf>
    <xf numFmtId="2" fontId="111" fillId="0" borderId="1" xfId="6" applyNumberFormat="1" applyFont="1" applyBorder="1" applyAlignment="1">
      <alignment horizontal="center" vertical="center" wrapText="1"/>
    </xf>
    <xf numFmtId="0" fontId="108" fillId="0" borderId="1" xfId="6" applyFont="1" applyBorder="1" applyAlignment="1">
      <alignment horizontal="left" vertical="center" wrapText="1"/>
    </xf>
    <xf numFmtId="2" fontId="108" fillId="0" borderId="1" xfId="6" applyNumberFormat="1" applyFont="1" applyBorder="1" applyAlignment="1">
      <alignment horizontal="center" vertical="center"/>
    </xf>
    <xf numFmtId="0" fontId="108" fillId="3" borderId="1" xfId="6" applyFont="1" applyFill="1" applyBorder="1" applyAlignment="1">
      <alignment vertical="center"/>
    </xf>
    <xf numFmtId="0" fontId="4" fillId="0" borderId="0" xfId="6" applyFont="1"/>
    <xf numFmtId="0" fontId="125" fillId="0" borderId="0" xfId="0" applyFont="1"/>
    <xf numFmtId="3" fontId="117" fillId="0" borderId="1" xfId="0" applyNumberFormat="1" applyFont="1" applyBorder="1" applyAlignment="1">
      <alignment horizontal="center"/>
    </xf>
    <xf numFmtId="174" fontId="48" fillId="0" borderId="1" xfId="0" applyNumberFormat="1" applyFont="1" applyFill="1" applyBorder="1" applyAlignment="1">
      <alignment horizontal="center"/>
    </xf>
    <xf numFmtId="174" fontId="52" fillId="0" borderId="1" xfId="0" applyNumberFormat="1" applyFont="1" applyFill="1" applyBorder="1" applyAlignment="1">
      <alignment horizontal="center"/>
    </xf>
    <xf numFmtId="4" fontId="117" fillId="0" borderId="1" xfId="0" applyNumberFormat="1" applyFont="1" applyBorder="1" applyAlignment="1">
      <alignment horizontal="center"/>
    </xf>
    <xf numFmtId="0" fontId="126" fillId="0" borderId="1" xfId="0" applyFont="1" applyBorder="1"/>
    <xf numFmtId="3" fontId="126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 wrapText="1"/>
    </xf>
    <xf numFmtId="0" fontId="117" fillId="0" borderId="0" xfId="0" applyFont="1" applyAlignment="1">
      <alignment horizontal="center"/>
    </xf>
    <xf numFmtId="4" fontId="48" fillId="0" borderId="1" xfId="0" applyNumberFormat="1" applyFont="1" applyBorder="1" applyAlignment="1">
      <alignment horizontal="center"/>
    </xf>
    <xf numFmtId="4" fontId="52" fillId="0" borderId="1" xfId="0" applyNumberFormat="1" applyFont="1" applyBorder="1" applyAlignment="1">
      <alignment horizontal="center"/>
    </xf>
    <xf numFmtId="4" fontId="126" fillId="0" borderId="1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3" fontId="52" fillId="0" borderId="1" xfId="0" applyNumberFormat="1" applyFont="1" applyBorder="1" applyAlignment="1">
      <alignment horizontal="center"/>
    </xf>
    <xf numFmtId="0" fontId="127" fillId="0" borderId="0" xfId="0" applyFont="1"/>
    <xf numFmtId="0" fontId="127" fillId="0" borderId="1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126" fillId="0" borderId="0" xfId="0" applyFont="1" applyBorder="1"/>
    <xf numFmtId="3" fontId="126" fillId="0" borderId="0" xfId="0" applyNumberFormat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0" fontId="101" fillId="0" borderId="0" xfId="0" applyFont="1" applyBorder="1"/>
    <xf numFmtId="3" fontId="120" fillId="3" borderId="1" xfId="0" applyNumberFormat="1" applyFont="1" applyFill="1" applyBorder="1" applyProtection="1">
      <protection locked="0"/>
    </xf>
    <xf numFmtId="3" fontId="119" fillId="3" borderId="1" xfId="0" applyNumberFormat="1" applyFont="1" applyFill="1" applyBorder="1"/>
    <xf numFmtId="4" fontId="101" fillId="0" borderId="0" xfId="0" applyNumberFormat="1" applyFont="1"/>
    <xf numFmtId="0" fontId="124" fillId="0" borderId="1" xfId="6" applyFont="1" applyFill="1" applyBorder="1" applyAlignment="1">
      <alignment horizontal="left" vertical="center" wrapText="1"/>
    </xf>
    <xf numFmtId="2" fontId="0" fillId="0" borderId="0" xfId="0" applyNumberFormat="1"/>
    <xf numFmtId="3" fontId="119" fillId="3" borderId="1" xfId="0" applyNumberFormat="1" applyFont="1" applyFill="1" applyBorder="1" applyProtection="1">
      <protection locked="0"/>
    </xf>
    <xf numFmtId="3" fontId="37" fillId="3" borderId="1" xfId="0" applyNumberFormat="1" applyFont="1" applyFill="1" applyBorder="1"/>
    <xf numFmtId="0" fontId="129" fillId="0" borderId="1" xfId="0" applyFont="1" applyBorder="1"/>
    <xf numFmtId="0" fontId="38" fillId="0" borderId="1" xfId="6" applyNumberFormat="1" applyFont="1" applyFill="1" applyBorder="1" applyAlignment="1">
      <alignment horizontal="center" vertical="center"/>
    </xf>
    <xf numFmtId="4" fontId="60" fillId="10" borderId="1" xfId="0" quotePrefix="1" applyNumberFormat="1" applyFont="1" applyFill="1" applyBorder="1" applyAlignment="1">
      <alignment horizontal="center"/>
    </xf>
    <xf numFmtId="4" fontId="60" fillId="10" borderId="1" xfId="0" applyNumberFormat="1" applyFont="1" applyFill="1" applyBorder="1"/>
    <xf numFmtId="4" fontId="60" fillId="3" borderId="1" xfId="0" applyNumberFormat="1" applyFont="1" applyFill="1" applyBorder="1"/>
    <xf numFmtId="4" fontId="60" fillId="10" borderId="1" xfId="0" applyNumberFormat="1" applyFont="1" applyFill="1" applyBorder="1" applyProtection="1"/>
    <xf numFmtId="0" fontId="129" fillId="0" borderId="0" xfId="0" applyFont="1"/>
    <xf numFmtId="165" fontId="52" fillId="0" borderId="0" xfId="0" applyNumberFormat="1" applyFont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" fontId="48" fillId="0" borderId="0" xfId="0" applyNumberFormat="1" applyFont="1"/>
    <xf numFmtId="3" fontId="130" fillId="0" borderId="1" xfId="0" applyNumberFormat="1" applyFont="1" applyBorder="1" applyAlignment="1">
      <alignment horizontal="center"/>
    </xf>
    <xf numFmtId="3" fontId="13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127" fillId="0" borderId="0" xfId="0" applyNumberFormat="1" applyFont="1"/>
    <xf numFmtId="3" fontId="46" fillId="8" borderId="0" xfId="0" applyNumberFormat="1" applyFont="1" applyFill="1" applyAlignment="1">
      <alignment horizontal="left"/>
    </xf>
    <xf numFmtId="4" fontId="111" fillId="0" borderId="1" xfId="6" applyNumberFormat="1" applyFont="1" applyBorder="1" applyAlignment="1">
      <alignment horizontal="center" vertical="center" wrapText="1"/>
    </xf>
    <xf numFmtId="4" fontId="108" fillId="0" borderId="1" xfId="6" applyNumberFormat="1" applyFont="1" applyBorder="1" applyAlignment="1">
      <alignment horizontal="center" vertical="center"/>
    </xf>
    <xf numFmtId="4" fontId="111" fillId="0" borderId="1" xfId="6" applyNumberFormat="1" applyFont="1" applyBorder="1" applyAlignment="1">
      <alignment horizontal="center" vertical="center"/>
    </xf>
    <xf numFmtId="4" fontId="108" fillId="3" borderId="1" xfId="6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3" fontId="108" fillId="0" borderId="1" xfId="6" applyNumberFormat="1" applyFont="1" applyBorder="1" applyAlignment="1">
      <alignment horizontal="center" vertical="center"/>
    </xf>
    <xf numFmtId="3" fontId="111" fillId="0" borderId="1" xfId="6" applyNumberFormat="1" applyFont="1" applyBorder="1" applyAlignment="1">
      <alignment horizontal="center" vertical="center" wrapText="1"/>
    </xf>
    <xf numFmtId="4" fontId="37" fillId="3" borderId="1" xfId="0" applyNumberFormat="1" applyFont="1" applyFill="1" applyBorder="1"/>
    <xf numFmtId="10" fontId="57" fillId="0" borderId="1" xfId="11" applyNumberFormat="1" applyFont="1" applyFill="1" applyBorder="1" applyAlignment="1">
      <alignment horizontal="center" vertical="center" wrapText="1"/>
    </xf>
    <xf numFmtId="9" fontId="57" fillId="0" borderId="1" xfId="11" applyNumberFormat="1" applyFont="1" applyFill="1" applyBorder="1" applyAlignment="1">
      <alignment horizontal="center" vertical="center" wrapText="1"/>
    </xf>
    <xf numFmtId="0" fontId="57" fillId="0" borderId="1" xfId="11" applyFont="1" applyFill="1" applyBorder="1" applyAlignment="1">
      <alignment horizontal="right" vertical="center"/>
    </xf>
    <xf numFmtId="2" fontId="57" fillId="0" borderId="1" xfId="11" applyNumberFormat="1" applyFont="1" applyFill="1" applyBorder="1" applyAlignment="1">
      <alignment horizontal="right" vertical="center"/>
    </xf>
    <xf numFmtId="0" fontId="57" fillId="0" borderId="0" xfId="11" applyFont="1" applyFill="1" applyAlignment="1">
      <alignment vertical="center"/>
    </xf>
    <xf numFmtId="2" fontId="57" fillId="0" borderId="1" xfId="11" applyNumberFormat="1" applyFont="1" applyFill="1" applyBorder="1" applyAlignment="1">
      <alignment horizontal="center" vertical="center" wrapText="1"/>
    </xf>
    <xf numFmtId="2" fontId="57" fillId="0" borderId="0" xfId="11" applyNumberFormat="1" applyFont="1" applyFill="1" applyAlignment="1">
      <alignment vertical="center"/>
    </xf>
    <xf numFmtId="0" fontId="56" fillId="0" borderId="1" xfId="11" applyFont="1" applyFill="1" applyBorder="1" applyAlignment="1">
      <alignment horizontal="center" vertical="center"/>
    </xf>
    <xf numFmtId="0" fontId="56" fillId="0" borderId="1" xfId="11" applyFont="1" applyFill="1" applyBorder="1" applyAlignment="1">
      <alignment horizontal="left" vertical="center"/>
    </xf>
    <xf numFmtId="0" fontId="57" fillId="0" borderId="1" xfId="11" applyFont="1" applyFill="1" applyBorder="1" applyAlignment="1">
      <alignment horizontal="center" vertical="center"/>
    </xf>
    <xf numFmtId="2" fontId="56" fillId="0" borderId="1" xfId="11" applyNumberFormat="1" applyFont="1" applyFill="1" applyBorder="1" applyAlignment="1">
      <alignment horizontal="center" vertical="center"/>
    </xf>
    <xf numFmtId="1" fontId="56" fillId="0" borderId="1" xfId="11" applyNumberFormat="1" applyFont="1" applyFill="1" applyBorder="1" applyAlignment="1">
      <alignment horizontal="center" vertical="center"/>
    </xf>
    <xf numFmtId="0" fontId="56" fillId="0" borderId="0" xfId="11" applyFont="1" applyFill="1" applyAlignment="1">
      <alignment vertical="center"/>
    </xf>
    <xf numFmtId="0" fontId="56" fillId="0" borderId="1" xfId="11" applyNumberFormat="1" applyFont="1" applyFill="1" applyBorder="1" applyAlignment="1">
      <alignment horizontal="center" vertical="center"/>
    </xf>
    <xf numFmtId="0" fontId="57" fillId="0" borderId="1" xfId="11" applyNumberFormat="1" applyFont="1" applyFill="1" applyBorder="1" applyAlignment="1">
      <alignment horizontal="center" vertical="center" wrapText="1"/>
    </xf>
    <xf numFmtId="0" fontId="57" fillId="0" borderId="1" xfId="11" applyFont="1" applyFill="1" applyBorder="1" applyAlignment="1">
      <alignment horizontal="center" vertical="center" wrapText="1"/>
    </xf>
    <xf numFmtId="1" fontId="57" fillId="0" borderId="1" xfId="11" applyNumberFormat="1" applyFont="1" applyFill="1" applyBorder="1" applyAlignment="1">
      <alignment horizontal="center" vertical="center" wrapText="1"/>
    </xf>
    <xf numFmtId="170" fontId="56" fillId="0" borderId="1" xfId="11" applyNumberFormat="1" applyFont="1" applyFill="1" applyBorder="1" applyAlignment="1">
      <alignment horizontal="center" vertical="center"/>
    </xf>
    <xf numFmtId="170" fontId="57" fillId="0" borderId="1" xfId="11" applyNumberFormat="1" applyFont="1" applyFill="1" applyBorder="1" applyAlignment="1">
      <alignment horizontal="center" vertical="center" wrapText="1"/>
    </xf>
    <xf numFmtId="0" fontId="56" fillId="0" borderId="1" xfId="11" applyFont="1" applyFill="1" applyBorder="1" applyAlignment="1">
      <alignment horizontal="right" vertical="center"/>
    </xf>
    <xf numFmtId="2" fontId="56" fillId="0" borderId="1" xfId="11" applyNumberFormat="1" applyFont="1" applyFill="1" applyBorder="1" applyAlignment="1">
      <alignment horizontal="right" vertical="center"/>
    </xf>
    <xf numFmtId="0" fontId="56" fillId="0" borderId="1" xfId="11" applyFont="1" applyFill="1" applyBorder="1" applyAlignment="1">
      <alignment horizontal="center"/>
    </xf>
    <xf numFmtId="0" fontId="56" fillId="0" borderId="0" xfId="11" applyFont="1" applyFill="1"/>
    <xf numFmtId="0" fontId="57" fillId="8" borderId="0" xfId="11" applyFont="1" applyFill="1" applyAlignment="1">
      <alignment vertical="center"/>
    </xf>
    <xf numFmtId="9" fontId="86" fillId="0" borderId="1" xfId="11" applyNumberFormat="1" applyFont="1" applyFill="1" applyBorder="1" applyAlignment="1">
      <alignment horizontal="center" vertical="center" wrapText="1"/>
    </xf>
    <xf numFmtId="0" fontId="86" fillId="0" borderId="1" xfId="11" applyFont="1" applyFill="1" applyBorder="1" applyAlignment="1">
      <alignment horizontal="right" vertical="center"/>
    </xf>
    <xf numFmtId="2" fontId="86" fillId="0" borderId="1" xfId="11" applyNumberFormat="1" applyFont="1" applyFill="1" applyBorder="1" applyAlignment="1">
      <alignment horizontal="right" vertical="center"/>
    </xf>
    <xf numFmtId="0" fontId="86" fillId="0" borderId="0" xfId="11" applyFont="1" applyFill="1" applyAlignment="1">
      <alignment vertical="center"/>
    </xf>
    <xf numFmtId="0" fontId="86" fillId="0" borderId="1" xfId="11" applyFont="1" applyFill="1" applyBorder="1" applyAlignment="1">
      <alignment horizontal="center" vertical="center" wrapText="1"/>
    </xf>
    <xf numFmtId="0" fontId="57" fillId="12" borderId="0" xfId="11" applyFont="1" applyFill="1" applyAlignment="1">
      <alignment vertical="center"/>
    </xf>
    <xf numFmtId="2" fontId="57" fillId="3" borderId="1" xfId="11" applyNumberFormat="1" applyFont="1" applyFill="1" applyBorder="1" applyAlignment="1">
      <alignment horizontal="right" vertical="center"/>
    </xf>
    <xf numFmtId="1" fontId="57" fillId="3" borderId="1" xfId="11" applyNumberFormat="1" applyFont="1" applyFill="1" applyBorder="1" applyAlignment="1">
      <alignment horizontal="right" vertical="center"/>
    </xf>
    <xf numFmtId="2" fontId="57" fillId="3" borderId="1" xfId="11" applyNumberFormat="1" applyFont="1" applyFill="1" applyBorder="1" applyAlignment="1">
      <alignment horizontal="center" vertical="center" wrapText="1"/>
    </xf>
    <xf numFmtId="3" fontId="56" fillId="0" borderId="1" xfId="11" applyNumberFormat="1" applyFont="1" applyFill="1" applyBorder="1" applyAlignment="1">
      <alignment horizontal="center" vertical="center"/>
    </xf>
    <xf numFmtId="165" fontId="56" fillId="0" borderId="1" xfId="11" applyNumberFormat="1" applyFont="1" applyFill="1" applyBorder="1" applyAlignment="1">
      <alignment horizontal="center" vertical="center"/>
    </xf>
    <xf numFmtId="4" fontId="56" fillId="0" borderId="1" xfId="11" applyNumberFormat="1" applyFont="1" applyFill="1" applyBorder="1" applyAlignment="1">
      <alignment horizontal="center" vertical="center"/>
    </xf>
    <xf numFmtId="3" fontId="56" fillId="0" borderId="1" xfId="11" applyNumberFormat="1" applyFont="1" applyFill="1" applyBorder="1" applyAlignment="1">
      <alignment horizontal="right" vertical="center"/>
    </xf>
    <xf numFmtId="0" fontId="56" fillId="0" borderId="1" xfId="11" applyFont="1" applyFill="1" applyBorder="1" applyAlignment="1">
      <alignment horizontal="left" wrapText="1"/>
    </xf>
    <xf numFmtId="0" fontId="57" fillId="0" borderId="1" xfId="11" applyFont="1" applyFill="1" applyBorder="1" applyAlignment="1">
      <alignment horizontal="center"/>
    </xf>
    <xf numFmtId="4" fontId="56" fillId="0" borderId="1" xfId="11" applyNumberFormat="1" applyFont="1" applyFill="1" applyBorder="1" applyAlignment="1">
      <alignment horizontal="center"/>
    </xf>
    <xf numFmtId="0" fontId="57" fillId="0" borderId="1" xfId="11" applyFont="1" applyFill="1" applyBorder="1" applyAlignment="1">
      <alignment horizontal="left" wrapText="1"/>
    </xf>
    <xf numFmtId="4" fontId="57" fillId="0" borderId="1" xfId="11" applyNumberFormat="1" applyFont="1" applyFill="1" applyBorder="1" applyAlignment="1">
      <alignment horizontal="center" vertical="center"/>
    </xf>
    <xf numFmtId="4" fontId="57" fillId="0" borderId="1" xfId="11" applyNumberFormat="1" applyFont="1" applyFill="1" applyBorder="1" applyAlignment="1">
      <alignment horizontal="center"/>
    </xf>
    <xf numFmtId="3" fontId="57" fillId="0" borderId="1" xfId="11" applyNumberFormat="1" applyFont="1" applyFill="1" applyBorder="1" applyAlignment="1">
      <alignment horizontal="right"/>
    </xf>
    <xf numFmtId="0" fontId="57" fillId="0" borderId="0" xfId="11" applyFont="1" applyFill="1"/>
    <xf numFmtId="3" fontId="57" fillId="0" borderId="1" xfId="11" applyNumberFormat="1" applyFont="1" applyFill="1" applyBorder="1" applyAlignment="1">
      <alignment horizontal="right" vertical="center"/>
    </xf>
    <xf numFmtId="1" fontId="57" fillId="0" borderId="1" xfId="11" applyNumberFormat="1" applyFont="1" applyFill="1" applyBorder="1" applyAlignment="1">
      <alignment horizontal="right"/>
    </xf>
    <xf numFmtId="0" fontId="76" fillId="0" borderId="0" xfId="11" applyFont="1" applyFill="1" applyAlignment="1">
      <alignment horizontal="left"/>
    </xf>
    <xf numFmtId="0" fontId="78" fillId="0" borderId="0" xfId="11" applyFont="1" applyFill="1" applyAlignment="1">
      <alignment horizontal="center"/>
    </xf>
    <xf numFmtId="0" fontId="132" fillId="0" borderId="0" xfId="11" applyFont="1" applyFill="1" applyAlignment="1">
      <alignment horizontal="center"/>
    </xf>
    <xf numFmtId="0" fontId="133" fillId="0" borderId="0" xfId="11" applyFont="1" applyFill="1" applyAlignment="1">
      <alignment horizontal="left"/>
    </xf>
    <xf numFmtId="0" fontId="133" fillId="0" borderId="0" xfId="11" applyFont="1" applyFill="1"/>
    <xf numFmtId="0" fontId="133" fillId="0" borderId="14" xfId="11" applyFont="1" applyFill="1" applyBorder="1"/>
    <xf numFmtId="9" fontId="132" fillId="0" borderId="0" xfId="11" applyNumberFormat="1" applyFont="1" applyFill="1" applyBorder="1" applyAlignment="1">
      <alignment horizontal="center" vertical="center" wrapText="1"/>
    </xf>
    <xf numFmtId="0" fontId="132" fillId="0" borderId="0" xfId="11" applyFont="1" applyFill="1"/>
    <xf numFmtId="2" fontId="132" fillId="0" borderId="0" xfId="11" applyNumberFormat="1" applyFont="1" applyFill="1" applyBorder="1" applyAlignment="1">
      <alignment horizontal="center" vertical="center" wrapText="1"/>
    </xf>
    <xf numFmtId="0" fontId="132" fillId="0" borderId="0" xfId="11" applyFont="1" applyFill="1" applyAlignment="1">
      <alignment horizontal="right"/>
    </xf>
    <xf numFmtId="3" fontId="132" fillId="0" borderId="0" xfId="11" applyNumberFormat="1" applyFont="1" applyFill="1" applyAlignment="1">
      <alignment horizontal="center"/>
    </xf>
    <xf numFmtId="0" fontId="133" fillId="0" borderId="15" xfId="11" applyFont="1" applyFill="1" applyBorder="1"/>
    <xf numFmtId="0" fontId="104" fillId="3" borderId="1" xfId="11" applyFont="1" applyFill="1" applyBorder="1" applyAlignment="1">
      <alignment horizontal="center" vertical="center" wrapText="1"/>
    </xf>
    <xf numFmtId="0" fontId="135" fillId="3" borderId="0" xfId="11" applyFont="1" applyFill="1" applyAlignment="1">
      <alignment horizontal="center"/>
    </xf>
    <xf numFmtId="0" fontId="136" fillId="3" borderId="0" xfId="11" applyFont="1" applyFill="1" applyAlignment="1">
      <alignment horizontal="center"/>
    </xf>
    <xf numFmtId="0" fontId="104" fillId="3" borderId="0" xfId="11" applyFont="1" applyFill="1" applyAlignment="1">
      <alignment horizontal="center"/>
    </xf>
    <xf numFmtId="0" fontId="137" fillId="3" borderId="1" xfId="11" applyFont="1" applyFill="1" applyBorder="1" applyAlignment="1">
      <alignment horizontal="center"/>
    </xf>
    <xf numFmtId="0" fontId="138" fillId="3" borderId="1" xfId="11" applyFont="1" applyFill="1" applyBorder="1" applyAlignment="1">
      <alignment horizontal="center"/>
    </xf>
    <xf numFmtId="2" fontId="138" fillId="0" borderId="1" xfId="11" applyNumberFormat="1" applyFont="1" applyFill="1" applyBorder="1" applyAlignment="1">
      <alignment horizontal="center" vertical="center"/>
    </xf>
    <xf numFmtId="0" fontId="138" fillId="0" borderId="1" xfId="11" applyNumberFormat="1" applyFont="1" applyFill="1" applyBorder="1" applyAlignment="1">
      <alignment horizontal="center" vertical="center"/>
    </xf>
    <xf numFmtId="170" fontId="138" fillId="0" borderId="1" xfId="11" applyNumberFormat="1" applyFont="1" applyFill="1" applyBorder="1" applyAlignment="1">
      <alignment horizontal="center" vertical="center"/>
    </xf>
    <xf numFmtId="1" fontId="138" fillId="0" borderId="1" xfId="11" applyNumberFormat="1" applyFont="1" applyFill="1" applyBorder="1" applyAlignment="1">
      <alignment horizontal="center" vertical="center"/>
    </xf>
    <xf numFmtId="0" fontId="138" fillId="0" borderId="1" xfId="11" applyFont="1" applyFill="1" applyBorder="1" applyAlignment="1">
      <alignment horizontal="center" vertical="center"/>
    </xf>
    <xf numFmtId="0" fontId="138" fillId="0" borderId="1" xfId="11" applyFont="1" applyFill="1" applyBorder="1" applyAlignment="1">
      <alignment horizontal="center"/>
    </xf>
    <xf numFmtId="4" fontId="138" fillId="0" borderId="1" xfId="11" applyNumberFormat="1" applyFont="1" applyFill="1" applyBorder="1" applyAlignment="1">
      <alignment horizontal="center" vertical="center"/>
    </xf>
    <xf numFmtId="4" fontId="139" fillId="0" borderId="1" xfId="11" applyNumberFormat="1" applyFont="1" applyFill="1" applyBorder="1" applyAlignment="1">
      <alignment horizontal="center" vertical="center"/>
    </xf>
    <xf numFmtId="0" fontId="135" fillId="0" borderId="0" xfId="11" applyFont="1" applyFill="1" applyAlignment="1">
      <alignment horizontal="center"/>
    </xf>
    <xf numFmtId="0" fontId="140" fillId="0" borderId="0" xfId="11" applyFont="1" applyFill="1" applyAlignment="1">
      <alignment horizontal="center"/>
    </xf>
    <xf numFmtId="2" fontId="141" fillId="3" borderId="1" xfId="11" applyNumberFormat="1" applyFont="1" applyFill="1" applyBorder="1" applyAlignment="1">
      <alignment horizontal="center"/>
    </xf>
    <xf numFmtId="4" fontId="141" fillId="3" borderId="1" xfId="11" applyNumberFormat="1" applyFont="1" applyFill="1" applyBorder="1" applyAlignment="1">
      <alignment horizontal="center"/>
    </xf>
    <xf numFmtId="4" fontId="138" fillId="3" borderId="1" xfId="11" applyNumberFormat="1" applyFont="1" applyFill="1" applyBorder="1" applyAlignment="1">
      <alignment horizontal="center" vertical="center"/>
    </xf>
    <xf numFmtId="4" fontId="135" fillId="3" borderId="0" xfId="11" applyNumberFormat="1" applyFont="1" applyFill="1" applyAlignment="1">
      <alignment horizontal="center"/>
    </xf>
    <xf numFmtId="2" fontId="135" fillId="3" borderId="0" xfId="11" applyNumberFormat="1" applyFont="1" applyFill="1" applyAlignment="1">
      <alignment horizontal="center"/>
    </xf>
    <xf numFmtId="0" fontId="134" fillId="0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 applyProtection="1">
      <alignment horizontal="center" vertical="center" wrapText="1"/>
      <protection locked="0"/>
    </xf>
    <xf numFmtId="3" fontId="108" fillId="0" borderId="1" xfId="0" applyNumberFormat="1" applyFont="1" applyFill="1" applyBorder="1" applyAlignment="1" applyProtection="1">
      <alignment horizontal="center" vertical="center"/>
      <protection locked="0"/>
    </xf>
    <xf numFmtId="3" fontId="108" fillId="0" borderId="1" xfId="0" applyNumberFormat="1" applyFont="1" applyBorder="1" applyAlignment="1" applyProtection="1">
      <alignment horizontal="center" vertical="center"/>
      <protection locked="0"/>
    </xf>
    <xf numFmtId="3" fontId="111" fillId="4" borderId="1" xfId="0" applyNumberFormat="1" applyFont="1" applyFill="1" applyBorder="1" applyAlignment="1" applyProtection="1">
      <alignment horizontal="center" vertical="center"/>
      <protection locked="0"/>
    </xf>
    <xf numFmtId="0" fontId="108" fillId="3" borderId="1" xfId="0" applyFont="1" applyFill="1" applyBorder="1" applyAlignment="1">
      <alignment horizontal="right" vertical="center" wrapText="1"/>
    </xf>
    <xf numFmtId="0" fontId="111" fillId="0" borderId="1" xfId="0" applyFont="1" applyFill="1" applyBorder="1" applyAlignment="1" applyProtection="1">
      <alignment horizontal="center" vertical="center" wrapText="1"/>
      <protection locked="0"/>
    </xf>
    <xf numFmtId="0" fontId="111" fillId="0" borderId="1" xfId="0" applyFont="1" applyFill="1" applyBorder="1" applyAlignment="1" applyProtection="1">
      <alignment horizontal="right" vertical="center" wrapText="1"/>
      <protection locked="0"/>
    </xf>
    <xf numFmtId="3" fontId="111" fillId="0" borderId="1" xfId="0" applyNumberFormat="1" applyFont="1" applyFill="1" applyBorder="1" applyAlignment="1" applyProtection="1">
      <alignment horizontal="center" vertical="center"/>
      <protection locked="0"/>
    </xf>
    <xf numFmtId="0" fontId="116" fillId="8" borderId="1" xfId="0" applyFont="1" applyFill="1" applyBorder="1" applyAlignment="1">
      <alignment horizontal="right" vertical="center" wrapText="1"/>
    </xf>
    <xf numFmtId="3" fontId="111" fillId="8" borderId="1" xfId="0" applyNumberFormat="1" applyFont="1" applyFill="1" applyBorder="1" applyAlignment="1" applyProtection="1">
      <alignment horizontal="center" vertical="center"/>
      <protection locked="0"/>
    </xf>
    <xf numFmtId="3" fontId="11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110" fillId="3" borderId="1" xfId="0" applyFont="1" applyFill="1" applyBorder="1" applyAlignment="1">
      <alignment horizontal="center" vertical="center"/>
    </xf>
    <xf numFmtId="0" fontId="111" fillId="0" borderId="1" xfId="6" applyFont="1" applyBorder="1" applyAlignment="1">
      <alignment vertical="center" wrapText="1"/>
    </xf>
    <xf numFmtId="0" fontId="142" fillId="0" borderId="0" xfId="0" applyFont="1"/>
    <xf numFmtId="0" fontId="108" fillId="0" borderId="1" xfId="6" applyFont="1" applyBorder="1" applyAlignment="1">
      <alignment vertical="center" wrapText="1"/>
    </xf>
    <xf numFmtId="0" fontId="108" fillId="0" borderId="1" xfId="6" applyFont="1" applyBorder="1" applyAlignment="1">
      <alignment vertical="center"/>
    </xf>
    <xf numFmtId="3" fontId="111" fillId="0" borderId="1" xfId="6" applyNumberFormat="1" applyFont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/>
    </xf>
    <xf numFmtId="3" fontId="108" fillId="3" borderId="1" xfId="6" applyNumberFormat="1" applyFont="1" applyFill="1" applyBorder="1" applyAlignment="1">
      <alignment horizontal="center" vertical="center"/>
    </xf>
    <xf numFmtId="0" fontId="38" fillId="0" borderId="0" xfId="7" applyFont="1" applyBorder="1" applyAlignment="1">
      <alignment horizontal="center" wrapText="1"/>
    </xf>
    <xf numFmtId="0" fontId="38" fillId="0" borderId="0" xfId="7" applyFont="1" applyBorder="1" applyAlignment="1">
      <alignment wrapText="1"/>
    </xf>
    <xf numFmtId="0" fontId="38" fillId="0" borderId="0" xfId="7" applyFont="1" applyBorder="1" applyAlignment="1">
      <alignment horizontal="right" wrapText="1"/>
    </xf>
    <xf numFmtId="0" fontId="143" fillId="0" borderId="0" xfId="7" applyFont="1" applyBorder="1" applyAlignment="1">
      <alignment horizontal="center" wrapText="1"/>
    </xf>
    <xf numFmtId="0" fontId="144" fillId="0" borderId="0" xfId="7" applyFont="1" applyBorder="1" applyAlignment="1">
      <alignment horizontal="right"/>
    </xf>
    <xf numFmtId="0" fontId="145" fillId="0" borderId="0" xfId="7" applyFont="1" applyBorder="1" applyAlignment="1">
      <alignment horizontal="right"/>
    </xf>
    <xf numFmtId="0" fontId="146" fillId="0" borderId="0" xfId="7" applyFont="1" applyBorder="1" applyAlignment="1">
      <alignment horizontal="right"/>
    </xf>
    <xf numFmtId="0" fontId="144" fillId="0" borderId="0" xfId="7" applyFont="1" applyBorder="1" applyAlignment="1">
      <alignment horizontal="center"/>
    </xf>
    <xf numFmtId="0" fontId="146" fillId="0" borderId="0" xfId="7" applyFont="1"/>
    <xf numFmtId="0" fontId="38" fillId="0" borderId="0" xfId="9" applyFont="1" applyFill="1" applyBorder="1" applyAlignment="1">
      <alignment horizontal="center" wrapText="1"/>
    </xf>
    <xf numFmtId="0" fontId="21" fillId="0" borderId="1" xfId="7" applyFont="1" applyFill="1" applyBorder="1" applyAlignment="1">
      <alignment horizontal="center"/>
    </xf>
    <xf numFmtId="0" fontId="4" fillId="0" borderId="0" xfId="7" applyFill="1" applyAlignment="1">
      <alignment horizontal="center"/>
    </xf>
    <xf numFmtId="0" fontId="21" fillId="0" borderId="1" xfId="7" applyFont="1" applyFill="1" applyBorder="1" applyAlignment="1"/>
    <xf numFmtId="0" fontId="38" fillId="0" borderId="1" xfId="7" applyFont="1" applyFill="1" applyBorder="1" applyAlignment="1">
      <alignment horizontal="center"/>
    </xf>
    <xf numFmtId="0" fontId="147" fillId="0" borderId="1" xfId="7" applyFont="1" applyFill="1" applyBorder="1" applyAlignment="1">
      <alignment horizontal="center"/>
    </xf>
    <xf numFmtId="0" fontId="148" fillId="0" borderId="1" xfId="7" applyFont="1" applyFill="1" applyBorder="1" applyAlignment="1">
      <alignment horizontal="center"/>
    </xf>
    <xf numFmtId="0" fontId="103" fillId="0" borderId="1" xfId="7" applyFont="1" applyFill="1" applyBorder="1" applyAlignment="1">
      <alignment horizontal="center" wrapText="1"/>
    </xf>
    <xf numFmtId="0" fontId="8" fillId="0" borderId="1" xfId="7" applyFont="1" applyFill="1" applyBorder="1" applyAlignment="1">
      <alignment horizontal="justify"/>
    </xf>
    <xf numFmtId="0" fontId="8" fillId="0" borderId="1" xfId="7" applyFont="1" applyFill="1" applyBorder="1" applyAlignment="1">
      <alignment horizontal="center"/>
    </xf>
    <xf numFmtId="0" fontId="8" fillId="0" borderId="1" xfId="7" applyFont="1" applyFill="1" applyBorder="1" applyAlignment="1"/>
    <xf numFmtId="0" fontId="38" fillId="0" borderId="1" xfId="7" applyFont="1" applyFill="1" applyBorder="1" applyAlignment="1">
      <alignment horizontal="right"/>
    </xf>
    <xf numFmtId="0" fontId="147" fillId="0" borderId="1" xfId="7" applyFont="1" applyFill="1" applyBorder="1" applyAlignment="1">
      <alignment horizontal="right"/>
    </xf>
    <xf numFmtId="0" fontId="21" fillId="0" borderId="1" xfId="7" applyFont="1" applyFill="1" applyBorder="1" applyAlignment="1">
      <alignment horizontal="right"/>
    </xf>
    <xf numFmtId="0" fontId="4" fillId="0" borderId="0" xfId="7" applyFill="1"/>
    <xf numFmtId="0" fontId="150" fillId="0" borderId="1" xfId="7" applyFont="1" applyFill="1" applyBorder="1" applyAlignment="1">
      <alignment horizontal="justify" wrapText="1"/>
    </xf>
    <xf numFmtId="0" fontId="150" fillId="0" borderId="1" xfId="7" applyFont="1" applyFill="1" applyBorder="1" applyAlignment="1">
      <alignment horizontal="center" wrapText="1"/>
    </xf>
    <xf numFmtId="0" fontId="150" fillId="0" borderId="1" xfId="7" applyFont="1" applyFill="1" applyBorder="1" applyAlignment="1">
      <alignment wrapText="1"/>
    </xf>
    <xf numFmtId="0" fontId="150" fillId="0" borderId="1" xfId="7" applyFont="1" applyFill="1" applyBorder="1" applyAlignment="1">
      <alignment horizontal="right" wrapText="1"/>
    </xf>
    <xf numFmtId="0" fontId="151" fillId="0" borderId="1" xfId="7" applyFont="1" applyFill="1" applyBorder="1" applyAlignment="1">
      <alignment horizontal="center" wrapText="1"/>
    </xf>
    <xf numFmtId="0" fontId="152" fillId="0" borderId="1" xfId="7" applyFont="1" applyFill="1" applyBorder="1" applyAlignment="1">
      <alignment horizontal="center" wrapText="1"/>
    </xf>
    <xf numFmtId="0" fontId="151" fillId="0" borderId="1" xfId="7" applyFont="1" applyFill="1" applyBorder="1" applyAlignment="1">
      <alignment horizontal="right" wrapText="1"/>
    </xf>
    <xf numFmtId="0" fontId="153" fillId="0" borderId="1" xfId="7" applyFont="1" applyFill="1" applyBorder="1" applyAlignment="1">
      <alignment horizontal="right" wrapText="1"/>
    </xf>
    <xf numFmtId="0" fontId="154" fillId="0" borderId="1" xfId="7" applyFont="1" applyFill="1" applyBorder="1" applyAlignment="1">
      <alignment horizontal="justify" wrapText="1"/>
    </xf>
    <xf numFmtId="0" fontId="147" fillId="0" borderId="1" xfId="7" applyFont="1" applyFill="1" applyBorder="1" applyAlignment="1">
      <alignment horizontal="center" wrapText="1"/>
    </xf>
    <xf numFmtId="9" fontId="38" fillId="0" borderId="1" xfId="7" applyNumberFormat="1" applyFont="1" applyFill="1" applyBorder="1" applyAlignment="1">
      <alignment wrapText="1"/>
    </xf>
    <xf numFmtId="0" fontId="38" fillId="0" borderId="1" xfId="7" applyFont="1" applyFill="1" applyBorder="1" applyAlignment="1">
      <alignment horizontal="right" wrapText="1"/>
    </xf>
    <xf numFmtId="0" fontId="148" fillId="0" borderId="1" xfId="7" applyFont="1" applyFill="1" applyBorder="1" applyAlignment="1">
      <alignment horizontal="center" wrapText="1"/>
    </xf>
    <xf numFmtId="2" fontId="154" fillId="0" borderId="1" xfId="7" applyNumberFormat="1" applyFont="1" applyFill="1" applyBorder="1" applyAlignment="1">
      <alignment horizontal="right" wrapText="1"/>
    </xf>
    <xf numFmtId="0" fontId="154" fillId="0" borderId="1" xfId="7" applyFont="1" applyFill="1" applyBorder="1" applyAlignment="1">
      <alignment horizontal="right" wrapText="1"/>
    </xf>
    <xf numFmtId="1" fontId="38" fillId="0" borderId="1" xfId="7" applyNumberFormat="1" applyFont="1" applyFill="1" applyBorder="1" applyAlignment="1">
      <alignment horizontal="right" wrapText="1"/>
    </xf>
    <xf numFmtId="0" fontId="147" fillId="0" borderId="1" xfId="7" applyFont="1" applyFill="1" applyBorder="1" applyAlignment="1">
      <alignment horizontal="right" wrapText="1"/>
    </xf>
    <xf numFmtId="2" fontId="151" fillId="0" borderId="1" xfId="7" applyNumberFormat="1" applyFont="1" applyFill="1" applyBorder="1" applyAlignment="1">
      <alignment horizontal="right" wrapText="1"/>
    </xf>
    <xf numFmtId="1" fontId="150" fillId="0" borderId="1" xfId="7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justify" wrapText="1"/>
    </xf>
    <xf numFmtId="0" fontId="38" fillId="0" borderId="1" xfId="7" applyFont="1" applyFill="1" applyBorder="1" applyAlignment="1">
      <alignment wrapText="1"/>
    </xf>
    <xf numFmtId="3" fontId="103" fillId="0" borderId="1" xfId="7" applyNumberFormat="1" applyFont="1" applyFill="1" applyBorder="1" applyAlignment="1">
      <alignment horizontal="right"/>
    </xf>
    <xf numFmtId="0" fontId="4" fillId="0" borderId="0" xfId="7"/>
    <xf numFmtId="0" fontId="149" fillId="0" borderId="0" xfId="7" applyFont="1" applyAlignment="1">
      <alignment horizontal="center"/>
    </xf>
    <xf numFmtId="0" fontId="4" fillId="0" borderId="0" xfId="7" applyAlignment="1"/>
    <xf numFmtId="0" fontId="144" fillId="0" borderId="0" xfId="7" applyFont="1" applyAlignment="1">
      <alignment horizontal="right"/>
    </xf>
    <xf numFmtId="0" fontId="144" fillId="0" borderId="0" xfId="7" applyFont="1" applyAlignment="1">
      <alignment horizontal="center"/>
    </xf>
    <xf numFmtId="0" fontId="155" fillId="0" borderId="0" xfId="7" applyFont="1" applyAlignment="1">
      <alignment horizontal="center"/>
    </xf>
    <xf numFmtId="0" fontId="4" fillId="0" borderId="0" xfId="7" applyAlignment="1">
      <alignment horizontal="right"/>
    </xf>
    <xf numFmtId="0" fontId="149" fillId="0" borderId="0" xfId="7" applyFont="1" applyAlignment="1">
      <alignment horizontal="right"/>
    </xf>
    <xf numFmtId="1" fontId="149" fillId="0" borderId="0" xfId="7" applyNumberFormat="1" applyFont="1" applyAlignment="1">
      <alignment horizontal="right"/>
    </xf>
    <xf numFmtId="1" fontId="156" fillId="0" borderId="0" xfId="7" applyNumberFormat="1" applyFont="1" applyAlignment="1">
      <alignment horizontal="right"/>
    </xf>
    <xf numFmtId="0" fontId="145" fillId="0" borderId="0" xfId="7" applyFont="1" applyAlignment="1">
      <alignment horizontal="right"/>
    </xf>
    <xf numFmtId="0" fontId="38" fillId="0" borderId="1" xfId="9" applyFont="1" applyFill="1" applyBorder="1" applyAlignment="1">
      <alignment wrapText="1"/>
    </xf>
    <xf numFmtId="0" fontId="10" fillId="0" borderId="1" xfId="7" applyFont="1" applyBorder="1" applyAlignment="1">
      <alignment horizontal="center"/>
    </xf>
    <xf numFmtId="0" fontId="10" fillId="0" borderId="1" xfId="7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3" fillId="0" borderId="0" xfId="7" applyFont="1" applyAlignment="1">
      <alignment horizontal="right"/>
    </xf>
    <xf numFmtId="0" fontId="52" fillId="0" borderId="0" xfId="7" applyFont="1" applyAlignment="1">
      <alignment horizontal="right"/>
    </xf>
    <xf numFmtId="0" fontId="102" fillId="0" borderId="0" xfId="7" applyFont="1" applyAlignment="1">
      <alignment horizontal="right"/>
    </xf>
    <xf numFmtId="0" fontId="103" fillId="0" borderId="0" xfId="7" applyFont="1" applyAlignment="1">
      <alignment horizontal="center"/>
    </xf>
    <xf numFmtId="0" fontId="10" fillId="3" borderId="1" xfId="6" applyFont="1" applyFill="1" applyBorder="1" applyAlignment="1">
      <alignment horizontal="left" vertical="center" wrapText="1"/>
    </xf>
    <xf numFmtId="3" fontId="38" fillId="0" borderId="1" xfId="8" applyNumberFormat="1" applyFont="1" applyFill="1" applyBorder="1" applyAlignment="1">
      <alignment horizontal="center"/>
    </xf>
    <xf numFmtId="1" fontId="10" fillId="0" borderId="1" xfId="7" applyNumberFormat="1" applyFont="1" applyBorder="1" applyAlignment="1">
      <alignment horizontal="center"/>
    </xf>
    <xf numFmtId="1" fontId="10" fillId="0" borderId="1" xfId="7" applyNumberFormat="1" applyFont="1" applyFill="1" applyBorder="1" applyAlignment="1">
      <alignment horizontal="center"/>
    </xf>
    <xf numFmtId="0" fontId="10" fillId="0" borderId="1" xfId="7" applyFont="1" applyBorder="1"/>
    <xf numFmtId="0" fontId="10" fillId="0" borderId="1" xfId="7" applyFont="1" applyBorder="1" applyAlignment="1"/>
    <xf numFmtId="0" fontId="38" fillId="0" borderId="1" xfId="7" applyFont="1" applyBorder="1" applyAlignment="1">
      <alignment horizontal="right"/>
    </xf>
    <xf numFmtId="0" fontId="38" fillId="0" borderId="1" xfId="7" applyFont="1" applyBorder="1" applyAlignment="1">
      <alignment horizontal="center"/>
    </xf>
    <xf numFmtId="0" fontId="143" fillId="0" borderId="1" xfId="7" applyFont="1" applyBorder="1" applyAlignment="1">
      <alignment horizontal="center"/>
    </xf>
    <xf numFmtId="0" fontId="10" fillId="0" borderId="1" xfId="7" applyFont="1" applyBorder="1" applyAlignment="1">
      <alignment horizontal="right"/>
    </xf>
    <xf numFmtId="0" fontId="10" fillId="0" borderId="0" xfId="7" applyFont="1" applyBorder="1" applyAlignment="1">
      <alignment horizontal="center" wrapText="1"/>
    </xf>
    <xf numFmtId="0" fontId="154" fillId="0" borderId="1" xfId="7" applyFont="1" applyFill="1" applyBorder="1" applyAlignment="1">
      <alignment horizontal="center" wrapText="1"/>
    </xf>
    <xf numFmtId="0" fontId="10" fillId="0" borderId="1" xfId="7" applyFont="1" applyFill="1" applyBorder="1" applyAlignment="1">
      <alignment horizontal="center" wrapText="1"/>
    </xf>
    <xf numFmtId="0" fontId="4" fillId="0" borderId="0" xfId="7" applyFont="1" applyAlignment="1">
      <alignment horizontal="center"/>
    </xf>
    <xf numFmtId="0" fontId="0" fillId="0" borderId="0" xfId="0" applyFont="1"/>
    <xf numFmtId="0" fontId="102" fillId="0" borderId="16" xfId="7" applyFont="1" applyFill="1" applyBorder="1" applyAlignment="1">
      <alignment horizontal="center" wrapText="1"/>
    </xf>
    <xf numFmtId="0" fontId="102" fillId="0" borderId="1" xfId="7" applyFont="1" applyFill="1" applyBorder="1" applyAlignment="1">
      <alignment horizontal="center" wrapText="1"/>
    </xf>
    <xf numFmtId="0" fontId="102" fillId="0" borderId="17" xfId="7" applyFont="1" applyFill="1" applyBorder="1" applyAlignment="1">
      <alignment horizontal="center" wrapText="1"/>
    </xf>
    <xf numFmtId="0" fontId="102" fillId="0" borderId="0" xfId="7" applyFont="1" applyFill="1" applyAlignment="1">
      <alignment horizontal="center"/>
    </xf>
    <xf numFmtId="0" fontId="102" fillId="0" borderId="1" xfId="7" applyFont="1" applyFill="1" applyBorder="1" applyAlignment="1">
      <alignment horizontal="center"/>
    </xf>
    <xf numFmtId="0" fontId="103" fillId="0" borderId="1" xfId="7" applyFont="1" applyFill="1" applyBorder="1" applyAlignment="1">
      <alignment horizontal="right"/>
    </xf>
    <xf numFmtId="0" fontId="103" fillId="0" borderId="16" xfId="7" applyFont="1" applyFill="1" applyBorder="1" applyAlignment="1">
      <alignment horizontal="right"/>
    </xf>
    <xf numFmtId="0" fontId="52" fillId="0" borderId="1" xfId="7" applyFont="1" applyFill="1" applyBorder="1" applyAlignment="1">
      <alignment horizontal="right"/>
    </xf>
    <xf numFmtId="0" fontId="103" fillId="0" borderId="1" xfId="7" applyFont="1" applyFill="1" applyBorder="1" applyAlignment="1">
      <alignment horizontal="center"/>
    </xf>
    <xf numFmtId="2" fontId="103" fillId="0" borderId="1" xfId="7" applyNumberFormat="1" applyFont="1" applyFill="1" applyBorder="1" applyAlignment="1">
      <alignment horizontal="center"/>
    </xf>
    <xf numFmtId="0" fontId="102" fillId="0" borderId="0" xfId="7" applyFont="1" applyFill="1"/>
    <xf numFmtId="0" fontId="102" fillId="0" borderId="1" xfId="7" applyFont="1" applyFill="1" applyBorder="1" applyAlignment="1">
      <alignment horizontal="right"/>
    </xf>
    <xf numFmtId="2" fontId="103" fillId="0" borderId="1" xfId="7" applyNumberFormat="1" applyFont="1" applyFill="1" applyBorder="1" applyAlignment="1">
      <alignment horizontal="right"/>
    </xf>
    <xf numFmtId="1" fontId="103" fillId="0" borderId="1" xfId="7" applyNumberFormat="1" applyFont="1" applyFill="1" applyBorder="1" applyAlignment="1">
      <alignment horizontal="right"/>
    </xf>
    <xf numFmtId="1" fontId="103" fillId="0" borderId="16" xfId="7" applyNumberFormat="1" applyFont="1" applyFill="1" applyBorder="1" applyAlignment="1">
      <alignment horizontal="right"/>
    </xf>
    <xf numFmtId="1" fontId="102" fillId="0" borderId="1" xfId="7" applyNumberFormat="1" applyFont="1" applyFill="1" applyBorder="1" applyAlignment="1">
      <alignment horizontal="right"/>
    </xf>
    <xf numFmtId="1" fontId="103" fillId="0" borderId="1" xfId="7" applyNumberFormat="1" applyFont="1" applyFill="1" applyBorder="1" applyAlignment="1">
      <alignment horizontal="center"/>
    </xf>
    <xf numFmtId="3" fontId="103" fillId="0" borderId="1" xfId="7" applyNumberFormat="1" applyFont="1" applyFill="1" applyBorder="1" applyAlignment="1">
      <alignment horizontal="center"/>
    </xf>
    <xf numFmtId="3" fontId="157" fillId="0" borderId="1" xfId="7" applyNumberFormat="1" applyFont="1" applyFill="1" applyBorder="1" applyAlignment="1">
      <alignment horizontal="center"/>
    </xf>
    <xf numFmtId="0" fontId="10" fillId="0" borderId="16" xfId="7" applyFont="1" applyFill="1" applyBorder="1" applyAlignment="1">
      <alignment horizontal="center" wrapText="1"/>
    </xf>
    <xf numFmtId="0" fontId="102" fillId="0" borderId="16" xfId="7" applyFont="1" applyFill="1" applyBorder="1" applyAlignment="1">
      <alignment horizontal="center"/>
    </xf>
    <xf numFmtId="0" fontId="102" fillId="0" borderId="16" xfId="7" applyFont="1" applyFill="1" applyBorder="1" applyAlignment="1"/>
    <xf numFmtId="0" fontId="158" fillId="0" borderId="16" xfId="7" applyFont="1" applyFill="1" applyBorder="1" applyAlignment="1">
      <alignment horizontal="center" wrapText="1"/>
    </xf>
    <xf numFmtId="0" fontId="103" fillId="0" borderId="1" xfId="7" applyFont="1" applyFill="1" applyBorder="1" applyAlignment="1">
      <alignment horizontal="justify"/>
    </xf>
    <xf numFmtId="0" fontId="103" fillId="0" borderId="1" xfId="7" applyFont="1" applyFill="1" applyBorder="1" applyAlignment="1"/>
    <xf numFmtId="0" fontId="157" fillId="0" borderId="1" xfId="7" applyFont="1" applyFill="1" applyBorder="1" applyAlignment="1">
      <alignment horizontal="center"/>
    </xf>
    <xf numFmtId="0" fontId="159" fillId="0" borderId="1" xfId="7" applyFont="1" applyFill="1" applyBorder="1" applyAlignment="1">
      <alignment horizontal="justify" wrapText="1"/>
    </xf>
    <xf numFmtId="0" fontId="160" fillId="0" borderId="1" xfId="7" applyFont="1" applyFill="1" applyBorder="1" applyAlignment="1">
      <alignment horizontal="center" wrapText="1"/>
    </xf>
    <xf numFmtId="0" fontId="159" fillId="0" borderId="1" xfId="7" applyFont="1" applyFill="1" applyBorder="1" applyAlignment="1">
      <alignment wrapText="1"/>
    </xf>
    <xf numFmtId="0" fontId="159" fillId="0" borderId="1" xfId="7" applyFont="1" applyFill="1" applyBorder="1" applyAlignment="1">
      <alignment horizontal="right" wrapText="1"/>
    </xf>
    <xf numFmtId="0" fontId="159" fillId="0" borderId="1" xfId="7" applyFont="1" applyFill="1" applyBorder="1" applyAlignment="1">
      <alignment horizontal="center" wrapText="1"/>
    </xf>
    <xf numFmtId="0" fontId="161" fillId="0" borderId="1" xfId="7" applyFont="1" applyFill="1" applyBorder="1" applyAlignment="1">
      <alignment horizontal="center" wrapText="1"/>
    </xf>
    <xf numFmtId="0" fontId="102" fillId="0" borderId="1" xfId="7" applyFont="1" applyFill="1" applyBorder="1" applyAlignment="1">
      <alignment horizontal="justify" wrapText="1"/>
    </xf>
    <xf numFmtId="9" fontId="103" fillId="0" borderId="1" xfId="7" applyNumberFormat="1" applyFont="1" applyFill="1" applyBorder="1" applyAlignment="1">
      <alignment wrapText="1"/>
    </xf>
    <xf numFmtId="0" fontId="103" fillId="0" borderId="1" xfId="7" applyFont="1" applyFill="1" applyBorder="1" applyAlignment="1">
      <alignment horizontal="right" wrapText="1"/>
    </xf>
    <xf numFmtId="0" fontId="157" fillId="0" borderId="1" xfId="7" applyFont="1" applyFill="1" applyBorder="1" applyAlignment="1">
      <alignment horizontal="center" wrapText="1"/>
    </xf>
    <xf numFmtId="2" fontId="102" fillId="0" borderId="1" xfId="7" applyNumberFormat="1" applyFont="1" applyFill="1" applyBorder="1" applyAlignment="1">
      <alignment horizontal="right" wrapText="1"/>
    </xf>
    <xf numFmtId="0" fontId="102" fillId="0" borderId="1" xfId="7" applyFont="1" applyFill="1" applyBorder="1" applyAlignment="1">
      <alignment horizontal="right" wrapText="1"/>
    </xf>
    <xf numFmtId="1" fontId="103" fillId="0" borderId="1" xfId="7" applyNumberFormat="1" applyFont="1" applyFill="1" applyBorder="1" applyAlignment="1">
      <alignment horizontal="right" wrapText="1"/>
    </xf>
    <xf numFmtId="2" fontId="159" fillId="0" borderId="1" xfId="7" applyNumberFormat="1" applyFont="1" applyFill="1" applyBorder="1" applyAlignment="1">
      <alignment horizontal="right" wrapText="1"/>
    </xf>
    <xf numFmtId="1" fontId="159" fillId="0" borderId="1" xfId="7" applyNumberFormat="1" applyFont="1" applyFill="1" applyBorder="1" applyAlignment="1">
      <alignment horizontal="right" wrapText="1"/>
    </xf>
    <xf numFmtId="0" fontId="103" fillId="0" borderId="1" xfId="7" applyFont="1" applyFill="1" applyBorder="1" applyAlignment="1">
      <alignment wrapText="1"/>
    </xf>
    <xf numFmtId="0" fontId="38" fillId="0" borderId="0" xfId="7" applyFont="1" applyFill="1" applyBorder="1" applyAlignment="1">
      <alignment horizontal="right" wrapText="1"/>
    </xf>
    <xf numFmtId="0" fontId="38" fillId="0" borderId="0" xfId="7" applyFont="1" applyBorder="1" applyAlignment="1">
      <alignment horizontal="right"/>
    </xf>
    <xf numFmtId="0" fontId="52" fillId="0" borderId="0" xfId="7" applyFont="1" applyBorder="1" applyAlignment="1">
      <alignment horizontal="right"/>
    </xf>
    <xf numFmtId="0" fontId="10" fillId="0" borderId="0" xfId="7" applyFont="1" applyBorder="1" applyAlignment="1">
      <alignment horizontal="right"/>
    </xf>
    <xf numFmtId="0" fontId="38" fillId="0" borderId="0" xfId="7" applyFont="1" applyBorder="1" applyAlignment="1">
      <alignment horizontal="center"/>
    </xf>
    <xf numFmtId="1" fontId="162" fillId="0" borderId="1" xfId="7" applyNumberFormat="1" applyFont="1" applyFill="1" applyBorder="1" applyAlignment="1">
      <alignment horizontal="center"/>
    </xf>
    <xf numFmtId="0" fontId="102" fillId="0" borderId="0" xfId="7" applyFont="1"/>
    <xf numFmtId="0" fontId="102" fillId="0" borderId="0" xfId="7" applyFont="1" applyAlignment="1">
      <alignment horizontal="center"/>
    </xf>
    <xf numFmtId="0" fontId="102" fillId="0" borderId="0" xfId="7" applyFont="1" applyAlignment="1"/>
    <xf numFmtId="0" fontId="38" fillId="0" borderId="0" xfId="7" applyFont="1" applyAlignment="1">
      <alignment horizontal="right"/>
    </xf>
    <xf numFmtId="0" fontId="38" fillId="0" borderId="0" xfId="7" applyFont="1" applyAlignment="1">
      <alignment horizontal="center"/>
    </xf>
    <xf numFmtId="0" fontId="143" fillId="0" borderId="0" xfId="7" applyFont="1" applyAlignment="1">
      <alignment horizontal="center"/>
    </xf>
    <xf numFmtId="0" fontId="38" fillId="0" borderId="0" xfId="7" applyFont="1" applyFill="1" applyAlignment="1">
      <alignment horizontal="right"/>
    </xf>
    <xf numFmtId="1" fontId="103" fillId="0" borderId="0" xfId="7" applyNumberFormat="1" applyFont="1" applyAlignment="1">
      <alignment horizontal="right"/>
    </xf>
    <xf numFmtId="1" fontId="163" fillId="0" borderId="0" xfId="7" applyNumberFormat="1" applyFont="1" applyAlignment="1">
      <alignment horizontal="right"/>
    </xf>
    <xf numFmtId="1" fontId="103" fillId="0" borderId="0" xfId="7" applyNumberFormat="1" applyFont="1" applyAlignment="1">
      <alignment horizontal="center"/>
    </xf>
    <xf numFmtId="0" fontId="102" fillId="3" borderId="1" xfId="7" applyFont="1" applyFill="1" applyBorder="1" applyAlignment="1">
      <alignment horizontal="center"/>
    </xf>
    <xf numFmtId="0" fontId="102" fillId="3" borderId="16" xfId="7" applyFont="1" applyFill="1" applyBorder="1" applyAlignment="1">
      <alignment horizontal="center"/>
    </xf>
    <xf numFmtId="0" fontId="38" fillId="0" borderId="0" xfId="7" applyFont="1" applyFill="1" applyAlignment="1">
      <alignment horizontal="center"/>
    </xf>
    <xf numFmtId="0" fontId="52" fillId="0" borderId="0" xfId="7" applyFont="1" applyAlignment="1">
      <alignment horizontal="center"/>
    </xf>
    <xf numFmtId="49" fontId="42" fillId="3" borderId="1" xfId="12" applyNumberFormat="1" applyFont="1" applyFill="1" applyBorder="1" applyAlignment="1">
      <alignment horizontal="left" wrapText="1"/>
    </xf>
    <xf numFmtId="49" fontId="42" fillId="3" borderId="1" xfId="12" applyNumberFormat="1" applyFont="1" applyFill="1" applyBorder="1" applyAlignment="1">
      <alignment horizontal="center" wrapText="1"/>
    </xf>
    <xf numFmtId="49" fontId="102" fillId="3" borderId="1" xfId="12" applyNumberFormat="1" applyFont="1" applyFill="1" applyBorder="1" applyAlignment="1">
      <alignment horizontal="center" wrapText="1"/>
    </xf>
    <xf numFmtId="0" fontId="52" fillId="3" borderId="1" xfId="7" applyFont="1" applyFill="1" applyBorder="1" applyAlignment="1">
      <alignment horizontal="center"/>
    </xf>
    <xf numFmtId="0" fontId="157" fillId="0" borderId="0" xfId="7" applyFont="1"/>
    <xf numFmtId="0" fontId="102" fillId="0" borderId="0" xfId="7" applyFont="1" applyFill="1" applyBorder="1"/>
    <xf numFmtId="0" fontId="48" fillId="0" borderId="0" xfId="7" applyFont="1" applyAlignment="1">
      <alignment horizontal="right"/>
    </xf>
    <xf numFmtId="1" fontId="102" fillId="0" borderId="0" xfId="7" applyNumberFormat="1" applyFont="1" applyAlignment="1">
      <alignment horizontal="right"/>
    </xf>
    <xf numFmtId="1" fontId="102" fillId="0" borderId="0" xfId="7" applyNumberFormat="1" applyFont="1" applyAlignment="1">
      <alignment horizontal="center"/>
    </xf>
    <xf numFmtId="0" fontId="4" fillId="0" borderId="0" xfId="7" applyFont="1"/>
    <xf numFmtId="4" fontId="48" fillId="3" borderId="1" xfId="12" applyNumberFormat="1" applyFont="1" applyFill="1" applyBorder="1" applyAlignment="1">
      <alignment horizontal="left" wrapText="1"/>
    </xf>
    <xf numFmtId="3" fontId="48" fillId="3" borderId="1" xfId="12" applyNumberFormat="1" applyFont="1" applyFill="1" applyBorder="1" applyAlignment="1">
      <alignment horizontal="center" wrapText="1"/>
    </xf>
    <xf numFmtId="0" fontId="48" fillId="3" borderId="1" xfId="7" applyFont="1" applyFill="1" applyBorder="1" applyAlignment="1">
      <alignment horizontal="center"/>
    </xf>
    <xf numFmtId="0" fontId="127" fillId="0" borderId="0" xfId="7" applyFont="1" applyAlignment="1">
      <alignment horizontal="center"/>
    </xf>
    <xf numFmtId="0" fontId="52" fillId="0" borderId="0" xfId="7" applyFont="1" applyFill="1" applyAlignment="1">
      <alignment horizontal="right"/>
    </xf>
    <xf numFmtId="0" fontId="164" fillId="0" borderId="0" xfId="7" applyFont="1"/>
    <xf numFmtId="0" fontId="103" fillId="3" borderId="1" xfId="7" applyFont="1" applyFill="1" applyBorder="1" applyAlignment="1">
      <alignment horizontal="center"/>
    </xf>
    <xf numFmtId="3" fontId="103" fillId="3" borderId="1" xfId="7" applyNumberFormat="1" applyFont="1" applyFill="1" applyBorder="1" applyAlignment="1">
      <alignment horizontal="center"/>
    </xf>
    <xf numFmtId="0" fontId="165" fillId="0" borderId="1" xfId="7" applyFont="1" applyFill="1" applyBorder="1" applyAlignment="1">
      <alignment horizontal="center"/>
    </xf>
    <xf numFmtId="0" fontId="165" fillId="0" borderId="1" xfId="7" applyFont="1" applyFill="1" applyBorder="1" applyAlignment="1"/>
    <xf numFmtId="0" fontId="166" fillId="0" borderId="1" xfId="7" applyFont="1" applyFill="1" applyBorder="1" applyAlignment="1">
      <alignment horizontal="center"/>
    </xf>
    <xf numFmtId="0" fontId="165" fillId="0" borderId="16" xfId="7" applyFont="1" applyFill="1" applyBorder="1" applyAlignment="1">
      <alignment horizontal="center" wrapText="1"/>
    </xf>
    <xf numFmtId="0" fontId="165" fillId="0" borderId="1" xfId="7" applyFont="1" applyFill="1" applyBorder="1" applyAlignment="1">
      <alignment horizontal="center" wrapText="1"/>
    </xf>
    <xf numFmtId="0" fontId="165" fillId="0" borderId="0" xfId="7" applyFont="1" applyFill="1" applyAlignment="1">
      <alignment horizontal="center"/>
    </xf>
    <xf numFmtId="3" fontId="85" fillId="3" borderId="0" xfId="11" applyNumberFormat="1" applyFont="1" applyFill="1" applyAlignment="1">
      <alignment horizontal="center"/>
    </xf>
    <xf numFmtId="3" fontId="143" fillId="0" borderId="0" xfId="7" applyNumberFormat="1" applyFont="1" applyAlignment="1">
      <alignment horizontal="center"/>
    </xf>
    <xf numFmtId="3" fontId="102" fillId="0" borderId="0" xfId="7" applyNumberFormat="1" applyFont="1" applyAlignment="1">
      <alignment horizontal="center"/>
    </xf>
    <xf numFmtId="0" fontId="158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3" fontId="48" fillId="0" borderId="0" xfId="7" applyNumberFormat="1" applyFont="1" applyAlignment="1">
      <alignment horizontal="center"/>
    </xf>
    <xf numFmtId="0" fontId="125" fillId="0" borderId="0" xfId="7" applyFont="1" applyAlignment="1">
      <alignment horizontal="center"/>
    </xf>
    <xf numFmtId="0" fontId="38" fillId="0" borderId="0" xfId="7" applyFont="1"/>
    <xf numFmtId="0" fontId="38" fillId="0" borderId="0" xfId="7" applyFont="1" applyFill="1"/>
    <xf numFmtId="1" fontId="38" fillId="0" borderId="0" xfId="7" applyNumberFormat="1" applyFont="1" applyFill="1"/>
    <xf numFmtId="1" fontId="38" fillId="0" borderId="0" xfId="7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2" borderId="0" xfId="7" applyNumberFormat="1" applyFont="1" applyFill="1" applyBorder="1" applyAlignment="1">
      <alignment horizontal="center"/>
    </xf>
    <xf numFmtId="0" fontId="38" fillId="0" borderId="0" xfId="0" applyFont="1"/>
    <xf numFmtId="1" fontId="167" fillId="0" borderId="1" xfId="7" applyNumberFormat="1" applyFont="1" applyFill="1" applyBorder="1" applyAlignment="1">
      <alignment horizontal="center"/>
    </xf>
    <xf numFmtId="0" fontId="53" fillId="2" borderId="1" xfId="8" applyFont="1" applyFill="1" applyBorder="1" applyAlignment="1">
      <alignment horizontal="left" vertical="center" wrapText="1"/>
    </xf>
    <xf numFmtId="4" fontId="58" fillId="8" borderId="1" xfId="0" applyNumberFormat="1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right" vertical="center" wrapText="1"/>
    </xf>
    <xf numFmtId="3" fontId="58" fillId="8" borderId="1" xfId="0" applyNumberFormat="1" applyFont="1" applyFill="1" applyBorder="1" applyAlignment="1">
      <alignment horizontal="center" vertical="center"/>
    </xf>
    <xf numFmtId="0" fontId="98" fillId="8" borderId="0" xfId="0" applyFont="1" applyFill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8" fillId="9" borderId="0" xfId="0" applyFont="1" applyFill="1" applyAlignment="1">
      <alignment horizontal="center" vertical="center"/>
    </xf>
    <xf numFmtId="0" fontId="169" fillId="9" borderId="0" xfId="0" applyFont="1" applyFill="1" applyAlignment="1">
      <alignment horizontal="center" vertical="center"/>
    </xf>
    <xf numFmtId="0" fontId="172" fillId="0" borderId="0" xfId="0" applyFont="1" applyAlignment="1">
      <alignment horizontal="center" vertical="center"/>
    </xf>
    <xf numFmtId="0" fontId="173" fillId="0" borderId="0" xfId="0" applyFont="1" applyAlignment="1">
      <alignment horizontal="center" vertical="center"/>
    </xf>
    <xf numFmtId="0" fontId="172" fillId="8" borderId="0" xfId="0" applyFont="1" applyFill="1" applyAlignment="1">
      <alignment horizontal="center" vertical="center"/>
    </xf>
    <xf numFmtId="0" fontId="173" fillId="8" borderId="0" xfId="0" applyFont="1" applyFill="1" applyAlignment="1">
      <alignment horizontal="center" vertical="center"/>
    </xf>
    <xf numFmtId="0" fontId="172" fillId="9" borderId="0" xfId="0" applyFont="1" applyFill="1" applyAlignment="1">
      <alignment horizontal="center" vertical="center"/>
    </xf>
    <xf numFmtId="0" fontId="173" fillId="9" borderId="0" xfId="0" applyFont="1" applyFill="1" applyAlignment="1">
      <alignment horizontal="center" vertical="center"/>
    </xf>
    <xf numFmtId="0" fontId="172" fillId="10" borderId="0" xfId="0" applyFont="1" applyFill="1" applyAlignment="1">
      <alignment horizontal="center" vertical="center"/>
    </xf>
    <xf numFmtId="0" fontId="173" fillId="10" borderId="0" xfId="0" applyFont="1" applyFill="1" applyAlignment="1">
      <alignment horizontal="center" vertical="center"/>
    </xf>
    <xf numFmtId="0" fontId="174" fillId="8" borderId="0" xfId="0" applyFont="1" applyFill="1" applyAlignment="1">
      <alignment horizontal="center" vertical="center"/>
    </xf>
    <xf numFmtId="0" fontId="175" fillId="8" borderId="0" xfId="0" applyFont="1" applyFill="1" applyAlignment="1">
      <alignment horizontal="center" vertical="center"/>
    </xf>
    <xf numFmtId="1" fontId="174" fillId="0" borderId="0" xfId="0" applyNumberFormat="1" applyFont="1" applyAlignment="1">
      <alignment horizontal="center" vertical="center"/>
    </xf>
    <xf numFmtId="0" fontId="175" fillId="0" borderId="0" xfId="0" applyFont="1" applyAlignment="1">
      <alignment horizontal="center" vertical="center"/>
    </xf>
    <xf numFmtId="1" fontId="175" fillId="0" borderId="0" xfId="0" applyNumberFormat="1" applyFont="1" applyAlignment="1">
      <alignment horizontal="center" vertical="center"/>
    </xf>
    <xf numFmtId="0" fontId="174" fillId="0" borderId="0" xfId="0" applyFont="1" applyAlignment="1">
      <alignment horizontal="center" vertical="center"/>
    </xf>
    <xf numFmtId="0" fontId="174" fillId="2" borderId="0" xfId="0" applyFont="1" applyFill="1" applyAlignment="1">
      <alignment horizontal="center" vertical="center"/>
    </xf>
    <xf numFmtId="0" fontId="175" fillId="2" borderId="0" xfId="0" applyFont="1" applyFill="1" applyAlignment="1">
      <alignment horizontal="center" vertical="center"/>
    </xf>
    <xf numFmtId="0" fontId="174" fillId="11" borderId="0" xfId="0" applyFont="1" applyFill="1" applyAlignment="1">
      <alignment horizontal="center" vertical="center"/>
    </xf>
    <xf numFmtId="0" fontId="175" fillId="11" borderId="0" xfId="0" applyFont="1" applyFill="1" applyAlignment="1">
      <alignment horizontal="center" vertical="center"/>
    </xf>
    <xf numFmtId="0" fontId="174" fillId="12" borderId="0" xfId="0" applyFont="1" applyFill="1" applyAlignment="1">
      <alignment horizontal="center" vertical="center"/>
    </xf>
    <xf numFmtId="0" fontId="175" fillId="12" borderId="0" xfId="0" applyFont="1" applyFill="1" applyAlignment="1">
      <alignment horizontal="center" vertical="center"/>
    </xf>
    <xf numFmtId="1" fontId="168" fillId="0" borderId="0" xfId="0" applyNumberFormat="1" applyFont="1" applyAlignment="1">
      <alignment horizontal="center" vertical="center"/>
    </xf>
    <xf numFmtId="0" fontId="170" fillId="0" borderId="0" xfId="0" applyFont="1"/>
    <xf numFmtId="0" fontId="171" fillId="0" borderId="0" xfId="0" applyFont="1"/>
    <xf numFmtId="1" fontId="78" fillId="0" borderId="0" xfId="11" applyNumberFormat="1" applyFont="1" applyFill="1" applyAlignment="1">
      <alignment horizontal="right"/>
    </xf>
    <xf numFmtId="0" fontId="54" fillId="12" borderId="1" xfId="9" applyFont="1" applyFill="1" applyBorder="1" applyAlignment="1">
      <alignment horizontal="left" vertical="center"/>
    </xf>
    <xf numFmtId="3" fontId="119" fillId="10" borderId="1" xfId="0" quotePrefix="1" applyNumberFormat="1" applyFont="1" applyFill="1" applyBorder="1" applyAlignment="1">
      <alignment horizontal="center"/>
    </xf>
    <xf numFmtId="3" fontId="119" fillId="10" borderId="1" xfId="0" applyNumberFormat="1" applyFont="1" applyFill="1" applyBorder="1"/>
    <xf numFmtId="3" fontId="129" fillId="0" borderId="1" xfId="0" applyNumberFormat="1" applyFont="1" applyBorder="1"/>
    <xf numFmtId="0" fontId="8" fillId="0" borderId="1" xfId="6" applyFont="1" applyFill="1" applyBorder="1" applyAlignment="1">
      <alignment horizontal="left" vertical="center"/>
    </xf>
    <xf numFmtId="3" fontId="108" fillId="0" borderId="1" xfId="0" applyNumberFormat="1" applyFont="1" applyFill="1" applyBorder="1" applyAlignment="1">
      <alignment horizontal="center" vertical="center" wrapText="1"/>
    </xf>
    <xf numFmtId="3" fontId="108" fillId="0" borderId="1" xfId="0" applyNumberFormat="1" applyFont="1" applyFill="1" applyBorder="1" applyAlignment="1">
      <alignment horizontal="center" vertical="center"/>
    </xf>
    <xf numFmtId="0" fontId="80" fillId="3" borderId="0" xfId="11" applyFont="1" applyFill="1" applyAlignment="1">
      <alignment horizontal="center"/>
    </xf>
    <xf numFmtId="0" fontId="108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111" fillId="0" borderId="1" xfId="6" applyFont="1" applyBorder="1" applyAlignment="1">
      <alignment horizontal="center" vertical="center" wrapText="1"/>
    </xf>
    <xf numFmtId="0" fontId="111" fillId="0" borderId="1" xfId="6" applyFont="1" applyBorder="1" applyAlignment="1">
      <alignment horizontal="left" vertical="center" wrapText="1"/>
    </xf>
    <xf numFmtId="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Alignment="1">
      <alignment horizontal="left"/>
    </xf>
    <xf numFmtId="4" fontId="46" fillId="8" borderId="0" xfId="0" applyNumberFormat="1" applyFont="1" applyFill="1"/>
    <xf numFmtId="0" fontId="108" fillId="0" borderId="1" xfId="6" applyFont="1" applyFill="1" applyBorder="1" applyAlignment="1">
      <alignment horizontal="left" vertical="center" wrapText="1"/>
    </xf>
    <xf numFmtId="3" fontId="110" fillId="0" borderId="0" xfId="0" applyNumberFormat="1" applyFont="1" applyFill="1"/>
    <xf numFmtId="0" fontId="110" fillId="0" borderId="0" xfId="0" applyFont="1" applyFill="1"/>
    <xf numFmtId="0" fontId="107" fillId="0" borderId="0" xfId="0" applyFont="1" applyFill="1"/>
    <xf numFmtId="3" fontId="112" fillId="0" borderId="1" xfId="0" applyNumberFormat="1" applyFont="1" applyFill="1" applyBorder="1" applyAlignment="1">
      <alignment horizontal="center" vertical="center" wrapText="1"/>
    </xf>
    <xf numFmtId="0" fontId="112" fillId="0" borderId="1" xfId="6" applyFont="1" applyFill="1" applyBorder="1" applyAlignment="1">
      <alignment horizontal="left" vertical="center" wrapText="1"/>
    </xf>
    <xf numFmtId="3" fontId="112" fillId="0" borderId="1" xfId="0" applyNumberFormat="1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vertical="center" wrapText="1"/>
    </xf>
    <xf numFmtId="0" fontId="111" fillId="0" borderId="1" xfId="6" applyFont="1" applyFill="1" applyBorder="1" applyAlignment="1">
      <alignment horizontal="left" vertical="center" wrapText="1"/>
    </xf>
    <xf numFmtId="3" fontId="176" fillId="0" borderId="1" xfId="0" applyNumberFormat="1" applyFont="1" applyFill="1" applyBorder="1" applyAlignment="1">
      <alignment horizontal="center" vertical="center" wrapText="1"/>
    </xf>
    <xf numFmtId="3" fontId="111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4" fontId="60" fillId="0" borderId="1" xfId="0" applyNumberFormat="1" applyFont="1" applyFill="1" applyBorder="1"/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17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78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4" fontId="42" fillId="0" borderId="1" xfId="0" applyNumberFormat="1" applyFont="1" applyBorder="1" applyAlignment="1">
      <alignment horizontal="center" wrapText="1"/>
    </xf>
    <xf numFmtId="4" fontId="177" fillId="0" borderId="1" xfId="0" applyNumberFormat="1" applyFont="1" applyBorder="1" applyAlignment="1">
      <alignment horizontal="center" wrapText="1"/>
    </xf>
    <xf numFmtId="0" fontId="15" fillId="3" borderId="1" xfId="0" applyFont="1" applyFill="1" applyBorder="1" applyAlignment="1">
      <alignment horizontal="right" wrapText="1"/>
    </xf>
    <xf numFmtId="4" fontId="179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/>
    </xf>
    <xf numFmtId="0" fontId="42" fillId="0" borderId="1" xfId="0" applyFont="1" applyBorder="1" applyAlignment="1">
      <alignment horizontal="right" wrapText="1"/>
    </xf>
    <xf numFmtId="0" fontId="42" fillId="0" borderId="1" xfId="0" applyFont="1" applyBorder="1" applyAlignment="1">
      <alignment horizontal="center" wrapText="1"/>
    </xf>
    <xf numFmtId="0" fontId="177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08" fillId="0" borderId="0" xfId="6" applyFont="1"/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/>
    </xf>
    <xf numFmtId="0" fontId="107" fillId="0" borderId="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/>
    </xf>
    <xf numFmtId="0" fontId="108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center" vertical="center" wrapText="1"/>
    </xf>
    <xf numFmtId="0" fontId="111" fillId="0" borderId="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9" fontId="110" fillId="2" borderId="1" xfId="13" applyFont="1" applyFill="1" applyBorder="1" applyAlignment="1">
      <alignment horizontal="center" vertical="center"/>
    </xf>
    <xf numFmtId="4" fontId="108" fillId="2" borderId="1" xfId="0" applyNumberFormat="1" applyFont="1" applyFill="1" applyBorder="1" applyAlignment="1">
      <alignment horizontal="center" vertical="center"/>
    </xf>
    <xf numFmtId="4" fontId="110" fillId="2" borderId="1" xfId="0" applyNumberFormat="1" applyFont="1" applyFill="1" applyBorder="1" applyAlignment="1">
      <alignment horizontal="center" vertical="center"/>
    </xf>
    <xf numFmtId="3" fontId="110" fillId="2" borderId="1" xfId="0" applyNumberFormat="1" applyFont="1" applyFill="1" applyBorder="1" applyAlignment="1">
      <alignment horizontal="center" vertical="center"/>
    </xf>
    <xf numFmtId="3" fontId="182" fillId="4" borderId="1" xfId="0" applyNumberFormat="1" applyFont="1" applyFill="1" applyBorder="1" applyAlignment="1">
      <alignment horizontal="center" vertical="center"/>
    </xf>
    <xf numFmtId="3" fontId="109" fillId="0" borderId="1" xfId="0" applyNumberFormat="1" applyFont="1" applyBorder="1" applyAlignment="1">
      <alignment horizontal="center" vertical="center"/>
    </xf>
    <xf numFmtId="3" fontId="110" fillId="0" borderId="1" xfId="0" applyNumberFormat="1" applyFont="1" applyFill="1" applyBorder="1" applyAlignment="1">
      <alignment horizontal="center" vertical="center"/>
    </xf>
    <xf numFmtId="3" fontId="182" fillId="0" borderId="1" xfId="0" applyNumberFormat="1" applyFont="1" applyFill="1" applyBorder="1" applyAlignment="1">
      <alignment horizontal="center" vertical="center"/>
    </xf>
    <xf numFmtId="0" fontId="182" fillId="0" borderId="0" xfId="0" applyFont="1" applyAlignment="1">
      <alignment horizontal="center"/>
    </xf>
    <xf numFmtId="4" fontId="182" fillId="4" borderId="1" xfId="0" applyNumberFormat="1" applyFont="1" applyFill="1" applyBorder="1" applyAlignment="1">
      <alignment horizontal="center" vertical="center"/>
    </xf>
    <xf numFmtId="3" fontId="108" fillId="12" borderId="1" xfId="0" applyNumberFormat="1" applyFont="1" applyFill="1" applyBorder="1" applyAlignment="1">
      <alignment horizontal="center" vertical="center"/>
    </xf>
    <xf numFmtId="0" fontId="182" fillId="4" borderId="1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/>
    </xf>
    <xf numFmtId="4" fontId="108" fillId="2" borderId="1" xfId="13" applyNumberFormat="1" applyFont="1" applyFill="1" applyBorder="1" applyAlignment="1">
      <alignment horizontal="center" vertical="center"/>
    </xf>
    <xf numFmtId="0" fontId="182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3" fontId="182" fillId="8" borderId="1" xfId="0" applyNumberFormat="1" applyFont="1" applyFill="1" applyBorder="1" applyAlignment="1">
      <alignment horizontal="center" vertical="center"/>
    </xf>
    <xf numFmtId="0" fontId="107" fillId="0" borderId="0" xfId="0" applyFont="1"/>
    <xf numFmtId="0" fontId="183" fillId="0" borderId="0" xfId="6" applyFont="1" applyAlignment="1">
      <alignment horizontal="center" vertical="center" wrapText="1"/>
    </xf>
    <xf numFmtId="0" fontId="116" fillId="0" borderId="0" xfId="0" applyFont="1" applyAlignment="1">
      <alignment horizontal="left" vertical="center" wrapText="1"/>
    </xf>
    <xf numFmtId="3" fontId="111" fillId="0" borderId="0" xfId="0" applyNumberFormat="1" applyFont="1" applyAlignment="1">
      <alignment horizontal="center" vertical="center"/>
    </xf>
    <xf numFmtId="3" fontId="182" fillId="0" borderId="0" xfId="0" applyNumberFormat="1" applyFont="1" applyAlignment="1">
      <alignment horizontal="center" vertical="center"/>
    </xf>
    <xf numFmtId="0" fontId="110" fillId="0" borderId="0" xfId="0" applyFont="1"/>
    <xf numFmtId="3" fontId="184" fillId="0" borderId="0" xfId="0" applyNumberFormat="1" applyFont="1" applyAlignment="1">
      <alignment horizontal="center"/>
    </xf>
    <xf numFmtId="3" fontId="182" fillId="0" borderId="0" xfId="0" applyNumberFormat="1" applyFont="1" applyFill="1" applyAlignment="1">
      <alignment horizontal="center" vertical="center"/>
    </xf>
    <xf numFmtId="4" fontId="107" fillId="0" borderId="0" xfId="0" applyNumberFormat="1" applyFont="1"/>
    <xf numFmtId="3" fontId="110" fillId="0" borderId="0" xfId="0" applyNumberFormat="1" applyFont="1"/>
    <xf numFmtId="3" fontId="107" fillId="0" borderId="0" xfId="0" applyNumberFormat="1" applyFont="1"/>
    <xf numFmtId="0" fontId="111" fillId="0" borderId="0" xfId="0" applyFont="1" applyFill="1"/>
    <xf numFmtId="0" fontId="108" fillId="0" borderId="0" xfId="0" applyFont="1" applyFill="1"/>
    <xf numFmtId="165" fontId="111" fillId="0" borderId="0" xfId="0" applyNumberFormat="1" applyFont="1" applyFill="1"/>
    <xf numFmtId="175" fontId="108" fillId="0" borderId="0" xfId="0" applyNumberFormat="1" applyFont="1" applyFill="1"/>
    <xf numFmtId="0" fontId="108" fillId="0" borderId="1" xfId="0" applyFont="1" applyFill="1" applyBorder="1" applyAlignment="1">
      <alignment horizontal="left" vertical="center" wrapText="1" indent="2"/>
    </xf>
    <xf numFmtId="0" fontId="110" fillId="0" borderId="1" xfId="0" applyFont="1" applyFill="1" applyBorder="1" applyAlignment="1">
      <alignment horizontal="center" vertical="center"/>
    </xf>
    <xf numFmtId="3" fontId="109" fillId="0" borderId="1" xfId="0" applyNumberFormat="1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left" vertical="center" wrapText="1" indent="2"/>
    </xf>
    <xf numFmtId="0" fontId="185" fillId="0" borderId="1" xfId="0" applyFont="1" applyFill="1" applyBorder="1" applyAlignment="1">
      <alignment horizontal="left" vertical="center" wrapText="1" indent="2"/>
    </xf>
    <xf numFmtId="0" fontId="186" fillId="0" borderId="1" xfId="0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horizontal="center" vertical="center"/>
    </xf>
    <xf numFmtId="4" fontId="108" fillId="0" borderId="1" xfId="0" applyNumberFormat="1" applyFont="1" applyFill="1" applyBorder="1" applyAlignment="1">
      <alignment horizontal="center" vertical="center"/>
    </xf>
    <xf numFmtId="3" fontId="111" fillId="0" borderId="1" xfId="0" applyNumberFormat="1" applyFont="1" applyFill="1" applyBorder="1" applyAlignment="1">
      <alignment horizontal="center" vertical="center" wrapText="1"/>
    </xf>
    <xf numFmtId="3" fontId="111" fillId="0" borderId="1" xfId="0" applyNumberFormat="1" applyFont="1" applyFill="1" applyBorder="1" applyAlignment="1">
      <alignment horizontal="center" vertical="center"/>
    </xf>
    <xf numFmtId="174" fontId="108" fillId="0" borderId="1" xfId="0" applyNumberFormat="1" applyFont="1" applyFill="1" applyBorder="1" applyAlignment="1">
      <alignment horizontal="center" vertical="center"/>
    </xf>
    <xf numFmtId="4" fontId="108" fillId="0" borderId="1" xfId="0" applyNumberFormat="1" applyFont="1" applyFill="1" applyBorder="1" applyAlignment="1">
      <alignment horizontal="center" vertical="center" wrapText="1"/>
    </xf>
    <xf numFmtId="4" fontId="111" fillId="0" borderId="1" xfId="0" applyNumberFormat="1" applyFont="1" applyFill="1" applyBorder="1" applyAlignment="1">
      <alignment horizontal="center" vertical="center"/>
    </xf>
    <xf numFmtId="3" fontId="109" fillId="0" borderId="1" xfId="0" applyNumberFormat="1" applyFont="1" applyFill="1" applyBorder="1" applyAlignment="1">
      <alignment horizontal="center" vertical="center" wrapText="1"/>
    </xf>
    <xf numFmtId="0" fontId="110" fillId="0" borderId="1" xfId="0" applyFont="1" applyFill="1" applyBorder="1"/>
    <xf numFmtId="0" fontId="107" fillId="0" borderId="1" xfId="0" applyFont="1" applyFill="1" applyBorder="1" applyAlignment="1">
      <alignment horizontal="left" vertical="center" wrapText="1"/>
    </xf>
    <xf numFmtId="4" fontId="182" fillId="0" borderId="1" xfId="0" applyNumberFormat="1" applyFont="1" applyFill="1" applyBorder="1" applyAlignment="1">
      <alignment horizontal="center" vertical="center"/>
    </xf>
    <xf numFmtId="4" fontId="110" fillId="0" borderId="0" xfId="0" applyNumberFormat="1" applyFont="1" applyFill="1" applyAlignment="1">
      <alignment horizontal="center"/>
    </xf>
    <xf numFmtId="4" fontId="110" fillId="0" borderId="0" xfId="0" applyNumberFormat="1" applyFont="1" applyFill="1"/>
    <xf numFmtId="0" fontId="107" fillId="0" borderId="1" xfId="0" applyFont="1" applyFill="1" applyBorder="1"/>
    <xf numFmtId="4" fontId="111" fillId="0" borderId="1" xfId="11" applyNumberFormat="1" applyFont="1" applyFill="1" applyBorder="1" applyAlignment="1">
      <alignment horizontal="center" vertical="center" wrapText="1"/>
    </xf>
    <xf numFmtId="4" fontId="182" fillId="4" borderId="1" xfId="0" applyNumberFormat="1" applyFont="1" applyFill="1" applyBorder="1" applyAlignment="1">
      <alignment horizontal="center" vertical="center" wrapText="1"/>
    </xf>
    <xf numFmtId="0" fontId="182" fillId="0" borderId="1" xfId="0" applyFont="1" applyFill="1" applyBorder="1" applyAlignment="1">
      <alignment horizontal="center" vertical="center"/>
    </xf>
    <xf numFmtId="4" fontId="107" fillId="0" borderId="1" xfId="0" applyNumberFormat="1" applyFont="1" applyFill="1" applyBorder="1" applyAlignment="1">
      <alignment horizontal="center" vertical="center" wrapText="1"/>
    </xf>
    <xf numFmtId="0" fontId="182" fillId="0" borderId="1" xfId="0" applyFont="1" applyFill="1" applyBorder="1" applyAlignment="1">
      <alignment horizontal="center" vertical="center" wrapText="1"/>
    </xf>
    <xf numFmtId="4" fontId="111" fillId="0" borderId="1" xfId="0" applyNumberFormat="1" applyFont="1" applyFill="1" applyBorder="1" applyAlignment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center" vertical="center" wrapText="1"/>
    </xf>
    <xf numFmtId="0" fontId="6" fillId="0" borderId="0" xfId="6" applyFont="1" applyBorder="1"/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0" borderId="1" xfId="6" applyFont="1" applyBorder="1" applyAlignment="1">
      <alignment vertical="center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3" borderId="0" xfId="6" applyFont="1" applyFill="1" applyBorder="1" applyAlignment="1">
      <alignment horizontal="right" vertical="center" wrapText="1"/>
    </xf>
    <xf numFmtId="0" fontId="102" fillId="10" borderId="1" xfId="6" applyNumberFormat="1" applyFont="1" applyFill="1" applyBorder="1" applyAlignment="1">
      <alignment horizontal="center" vertical="center"/>
    </xf>
    <xf numFmtId="0" fontId="102" fillId="2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Border="1" applyAlignment="1">
      <alignment horizontal="left" vertical="center" wrapText="1"/>
    </xf>
    <xf numFmtId="4" fontId="6" fillId="0" borderId="1" xfId="6" applyNumberFormat="1" applyFont="1" applyBorder="1" applyAlignment="1">
      <alignment horizontal="left" vertical="center" wrapText="1" indent="2"/>
    </xf>
    <xf numFmtId="4" fontId="8" fillId="0" borderId="1" xfId="6" applyNumberFormat="1" applyFont="1" applyBorder="1" applyAlignment="1">
      <alignment horizontal="left" vertical="center" wrapText="1"/>
    </xf>
    <xf numFmtId="3" fontId="6" fillId="0" borderId="1" xfId="6" quotePrefix="1" applyNumberFormat="1" applyFont="1" applyBorder="1" applyAlignment="1">
      <alignment horizontal="center" vertical="center"/>
    </xf>
    <xf numFmtId="3" fontId="6" fillId="0" borderId="1" xfId="6" applyNumberFormat="1" applyFont="1" applyBorder="1" applyAlignment="1">
      <alignment horizontal="center" vertical="center"/>
    </xf>
    <xf numFmtId="4" fontId="6" fillId="0" borderId="1" xfId="6" applyNumberFormat="1" applyFont="1" applyBorder="1" applyAlignment="1">
      <alignment horizontal="center" vertical="center" wrapText="1"/>
    </xf>
    <xf numFmtId="3" fontId="8" fillId="0" borderId="1" xfId="6" quotePrefix="1" applyNumberFormat="1" applyFont="1" applyBorder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4" fontId="8" fillId="0" borderId="1" xfId="6" applyNumberFormat="1" applyFont="1" applyBorder="1" applyAlignment="1">
      <alignment horizontal="center" vertical="center" wrapText="1"/>
    </xf>
    <xf numFmtId="3" fontId="8" fillId="0" borderId="1" xfId="6" applyNumberFormat="1" applyFont="1" applyBorder="1" applyAlignment="1">
      <alignment horizontal="center" vertical="center" wrapText="1"/>
    </xf>
    <xf numFmtId="4" fontId="129" fillId="0" borderId="1" xfId="0" applyNumberFormat="1" applyFont="1" applyBorder="1"/>
    <xf numFmtId="0" fontId="38" fillId="0" borderId="1" xfId="0" applyFont="1" applyBorder="1" applyAlignment="1">
      <alignment horizontal="center" vertical="center" wrapText="1"/>
    </xf>
    <xf numFmtId="9" fontId="76" fillId="3" borderId="0" xfId="11" applyNumberFormat="1" applyFont="1" applyFill="1" applyAlignment="1">
      <alignment horizontal="center"/>
    </xf>
    <xf numFmtId="0" fontId="189" fillId="0" borderId="0" xfId="6" applyFont="1"/>
    <xf numFmtId="0" fontId="189" fillId="0" borderId="0" xfId="6" applyFont="1" applyAlignment="1">
      <alignment vertical="center"/>
    </xf>
    <xf numFmtId="0" fontId="189" fillId="0" borderId="14" xfId="6" applyFont="1" applyBorder="1"/>
    <xf numFmtId="0" fontId="189" fillId="0" borderId="14" xfId="6" applyFont="1" applyBorder="1" applyAlignment="1">
      <alignment vertical="center"/>
    </xf>
    <xf numFmtId="0" fontId="189" fillId="0" borderId="18" xfId="6" applyFont="1" applyBorder="1" applyAlignment="1">
      <alignment horizontal="center"/>
    </xf>
    <xf numFmtId="49" fontId="6" fillId="0" borderId="1" xfId="6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6" applyFont="1" applyBorder="1" applyAlignment="1">
      <alignment vertical="center"/>
    </xf>
    <xf numFmtId="0" fontId="8" fillId="0" borderId="1" xfId="6" applyFont="1" applyBorder="1" applyAlignment="1">
      <alignment vertical="center" wrapText="1"/>
    </xf>
    <xf numFmtId="3" fontId="8" fillId="0" borderId="1" xfId="6" applyNumberFormat="1" applyFont="1" applyBorder="1" applyAlignment="1">
      <alignment horizontal="center" vertical="center"/>
    </xf>
    <xf numFmtId="0" fontId="8" fillId="0" borderId="1" xfId="6" quotePrefix="1" applyFont="1" applyBorder="1" applyAlignment="1">
      <alignment horizontal="center" vertical="center"/>
    </xf>
    <xf numFmtId="4" fontId="8" fillId="0" borderId="1" xfId="6" applyNumberFormat="1" applyFont="1" applyBorder="1" applyAlignment="1">
      <alignment vertical="center"/>
    </xf>
    <xf numFmtId="4" fontId="8" fillId="0" borderId="1" xfId="6" applyNumberFormat="1" applyFont="1" applyBorder="1" applyAlignment="1">
      <alignment horizontal="left" vertical="center" wrapText="1" indent="2"/>
    </xf>
    <xf numFmtId="4" fontId="8" fillId="3" borderId="1" xfId="6" applyNumberFormat="1" applyFont="1" applyFill="1" applyBorder="1" applyAlignment="1">
      <alignment horizontal="left" vertical="center" wrapText="1"/>
    </xf>
    <xf numFmtId="0" fontId="190" fillId="0" borderId="0" xfId="6" applyFont="1" applyAlignment="1">
      <alignment vertical="center"/>
    </xf>
    <xf numFmtId="0" fontId="4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105" fillId="0" borderId="14" xfId="6" applyFont="1" applyBorder="1" applyAlignment="1">
      <alignment horizontal="left"/>
    </xf>
    <xf numFmtId="0" fontId="5" fillId="0" borderId="14" xfId="6" applyFont="1" applyBorder="1" applyAlignment="1">
      <alignment vertical="center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wrapText="1"/>
    </xf>
    <xf numFmtId="3" fontId="111" fillId="4" borderId="16" xfId="0" applyNumberFormat="1" applyFont="1" applyFill="1" applyBorder="1" applyAlignment="1" applyProtection="1">
      <alignment horizontal="center" vertical="center"/>
      <protection locked="0"/>
    </xf>
    <xf numFmtId="3" fontId="111" fillId="0" borderId="1" xfId="0" applyNumberFormat="1" applyFont="1" applyBorder="1" applyAlignment="1">
      <alignment horizontal="center"/>
    </xf>
    <xf numFmtId="1" fontId="191" fillId="0" borderId="0" xfId="0" applyNumberFormat="1" applyFont="1"/>
    <xf numFmtId="0" fontId="111" fillId="3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1" fontId="108" fillId="0" borderId="1" xfId="0" applyNumberFormat="1" applyFont="1" applyBorder="1" applyAlignment="1" applyProtection="1">
      <alignment horizontal="center" vertical="center"/>
      <protection locked="0"/>
    </xf>
    <xf numFmtId="3" fontId="108" fillId="4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" xfId="0" applyFont="1" applyBorder="1" applyAlignment="1">
      <alignment vertical="center"/>
    </xf>
    <xf numFmtId="3" fontId="5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11" fillId="2" borderId="1" xfId="0" applyNumberFormat="1" applyFont="1" applyFill="1" applyBorder="1"/>
    <xf numFmtId="0" fontId="111" fillId="8" borderId="1" xfId="0" applyFont="1" applyFill="1" applyBorder="1"/>
    <xf numFmtId="0" fontId="111" fillId="0" borderId="1" xfId="0" applyFont="1" applyBorder="1"/>
    <xf numFmtId="0" fontId="102" fillId="0" borderId="0" xfId="0" applyFont="1"/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2" fillId="0" borderId="0" xfId="0" applyFont="1" applyAlignment="1">
      <alignment horizontal="center"/>
    </xf>
    <xf numFmtId="0" fontId="192" fillId="0" borderId="0" xfId="0" applyFont="1" applyAlignment="1">
      <alignment horizontal="left"/>
    </xf>
    <xf numFmtId="4" fontId="102" fillId="0" borderId="0" xfId="0" applyNumberFormat="1" applyFont="1" applyAlignment="1">
      <alignment horizontal="center"/>
    </xf>
    <xf numFmtId="0" fontId="102" fillId="0" borderId="1" xfId="0" applyFont="1" applyBorder="1" applyAlignment="1"/>
    <xf numFmtId="0" fontId="102" fillId="0" borderId="1" xfId="0" applyFont="1" applyBorder="1" applyAlignment="1">
      <alignment horizontal="right"/>
    </xf>
    <xf numFmtId="0" fontId="102" fillId="0" borderId="1" xfId="0" applyFont="1" applyBorder="1" applyAlignment="1">
      <alignment horizontal="left"/>
    </xf>
    <xf numFmtId="0" fontId="102" fillId="0" borderId="1" xfId="0" applyFont="1" applyBorder="1" applyAlignment="1">
      <alignment horizontal="center"/>
    </xf>
    <xf numFmtId="0" fontId="192" fillId="0" borderId="1" xfId="0" applyFont="1" applyBorder="1" applyAlignment="1">
      <alignment horizontal="left"/>
    </xf>
    <xf numFmtId="4" fontId="102" fillId="0" borderId="1" xfId="0" applyNumberFormat="1" applyFont="1" applyBorder="1" applyAlignment="1">
      <alignment horizontal="center" wrapText="1"/>
    </xf>
    <xf numFmtId="4" fontId="102" fillId="0" borderId="1" xfId="0" applyNumberFormat="1" applyFont="1" applyFill="1" applyBorder="1" applyAlignment="1">
      <alignment horizontal="center" wrapText="1"/>
    </xf>
    <xf numFmtId="0" fontId="102" fillId="0" borderId="1" xfId="0" applyFont="1" applyFill="1" applyBorder="1" applyAlignment="1">
      <alignment horizontal="center"/>
    </xf>
    <xf numFmtId="0" fontId="102" fillId="8" borderId="1" xfId="0" applyFont="1" applyFill="1" applyBorder="1" applyAlignment="1"/>
    <xf numFmtId="0" fontId="102" fillId="8" borderId="1" xfId="0" applyFont="1" applyFill="1" applyBorder="1" applyAlignment="1">
      <alignment horizontal="right"/>
    </xf>
    <xf numFmtId="0" fontId="102" fillId="8" borderId="1" xfId="0" applyFont="1" applyFill="1" applyBorder="1" applyAlignment="1">
      <alignment horizontal="left"/>
    </xf>
    <xf numFmtId="0" fontId="102" fillId="8" borderId="1" xfId="0" applyFont="1" applyFill="1" applyBorder="1" applyAlignment="1">
      <alignment horizontal="center"/>
    </xf>
    <xf numFmtId="0" fontId="192" fillId="8" borderId="1" xfId="0" applyFont="1" applyFill="1" applyBorder="1" applyAlignment="1">
      <alignment horizontal="left"/>
    </xf>
    <xf numFmtId="4" fontId="102" fillId="8" borderId="1" xfId="0" applyNumberFormat="1" applyFont="1" applyFill="1" applyBorder="1" applyAlignment="1">
      <alignment horizontal="center"/>
    </xf>
    <xf numFmtId="0" fontId="102" fillId="0" borderId="1" xfId="0" applyFont="1" applyBorder="1" applyAlignment="1">
      <alignment horizontal="left" wrapText="1"/>
    </xf>
    <xf numFmtId="0" fontId="102" fillId="0" borderId="1" xfId="0" quotePrefix="1" applyFont="1" applyBorder="1" applyAlignment="1">
      <alignment horizontal="right" vertical="top" wrapText="1"/>
    </xf>
    <xf numFmtId="0" fontId="102" fillId="0" borderId="1" xfId="0" quotePrefix="1" applyFont="1" applyBorder="1" applyAlignment="1">
      <alignment horizontal="left" vertical="top" wrapText="1"/>
    </xf>
    <xf numFmtId="177" fontId="102" fillId="0" borderId="1" xfId="0" applyNumberFormat="1" applyFont="1" applyBorder="1" applyAlignment="1">
      <alignment horizontal="center" vertical="top"/>
    </xf>
    <xf numFmtId="0" fontId="192" fillId="0" borderId="1" xfId="2" applyFont="1" applyBorder="1" applyAlignment="1" applyProtection="1">
      <alignment horizontal="left" wrapText="1"/>
    </xf>
    <xf numFmtId="4" fontId="102" fillId="0" borderId="1" xfId="0" applyNumberFormat="1" applyFont="1" applyBorder="1" applyAlignment="1">
      <alignment horizontal="center"/>
    </xf>
    <xf numFmtId="4" fontId="102" fillId="0" borderId="1" xfId="0" applyNumberFormat="1" applyFont="1" applyFill="1" applyBorder="1" applyAlignment="1">
      <alignment horizontal="center"/>
    </xf>
    <xf numFmtId="0" fontId="102" fillId="0" borderId="1" xfId="2" applyFont="1" applyBorder="1" applyAlignment="1" applyProtection="1"/>
    <xf numFmtId="0" fontId="192" fillId="0" borderId="1" xfId="2" applyFont="1" applyBorder="1" applyAlignment="1" applyProtection="1">
      <alignment horizontal="left"/>
    </xf>
    <xf numFmtId="0" fontId="102" fillId="0" borderId="1" xfId="0" quotePrefix="1" applyFont="1" applyBorder="1" applyAlignment="1">
      <alignment horizontal="right"/>
    </xf>
    <xf numFmtId="0" fontId="102" fillId="0" borderId="1" xfId="0" quotePrefix="1" applyFont="1" applyBorder="1" applyAlignment="1">
      <alignment horizontal="left"/>
    </xf>
    <xf numFmtId="177" fontId="102" fillId="0" borderId="1" xfId="0" applyNumberFormat="1" applyFont="1" applyBorder="1" applyAlignment="1">
      <alignment horizontal="center"/>
    </xf>
    <xf numFmtId="0" fontId="102" fillId="0" borderId="1" xfId="0" applyFont="1" applyFill="1" applyBorder="1" applyAlignment="1">
      <alignment horizontal="left"/>
    </xf>
    <xf numFmtId="0" fontId="103" fillId="0" borderId="1" xfId="0" applyFont="1" applyBorder="1" applyAlignment="1"/>
    <xf numFmtId="0" fontId="103" fillId="0" borderId="1" xfId="0" applyFont="1" applyBorder="1" applyAlignment="1">
      <alignment horizontal="right"/>
    </xf>
    <xf numFmtId="0" fontId="103" fillId="0" borderId="1" xfId="0" applyFont="1" applyBorder="1" applyAlignment="1">
      <alignment horizontal="left"/>
    </xf>
    <xf numFmtId="0" fontId="103" fillId="0" borderId="1" xfId="0" applyFont="1" applyBorder="1" applyAlignment="1">
      <alignment horizontal="center"/>
    </xf>
    <xf numFmtId="0" fontId="194" fillId="0" borderId="1" xfId="0" applyFont="1" applyBorder="1" applyAlignment="1">
      <alignment horizontal="left"/>
    </xf>
    <xf numFmtId="0" fontId="103" fillId="0" borderId="1" xfId="0" applyFont="1" applyFill="1" applyBorder="1" applyAlignment="1">
      <alignment horizontal="center"/>
    </xf>
    <xf numFmtId="0" fontId="103" fillId="8" borderId="1" xfId="0" applyFont="1" applyFill="1" applyBorder="1" applyAlignment="1"/>
    <xf numFmtId="0" fontId="103" fillId="8" borderId="1" xfId="0" applyFont="1" applyFill="1" applyBorder="1" applyAlignment="1">
      <alignment horizontal="right"/>
    </xf>
    <xf numFmtId="0" fontId="103" fillId="8" borderId="1" xfId="0" applyFont="1" applyFill="1" applyBorder="1" applyAlignment="1">
      <alignment horizontal="left"/>
    </xf>
    <xf numFmtId="0" fontId="103" fillId="8" borderId="1" xfId="0" applyFont="1" applyFill="1" applyBorder="1" applyAlignment="1">
      <alignment horizontal="center"/>
    </xf>
    <xf numFmtId="0" fontId="194" fillId="8" borderId="1" xfId="0" applyFont="1" applyFill="1" applyBorder="1" applyAlignment="1">
      <alignment horizontal="left"/>
    </xf>
    <xf numFmtId="4" fontId="103" fillId="8" borderId="1" xfId="0" applyNumberFormat="1" applyFont="1" applyFill="1" applyBorder="1" applyAlignment="1">
      <alignment horizontal="center"/>
    </xf>
    <xf numFmtId="0" fontId="102" fillId="0" borderId="1" xfId="0" applyFont="1" applyFill="1" applyBorder="1" applyAlignment="1">
      <alignment horizontal="left" vertical="top" wrapText="1"/>
    </xf>
    <xf numFmtId="0" fontId="102" fillId="0" borderId="1" xfId="0" quotePrefix="1" applyFont="1" applyFill="1" applyBorder="1" applyAlignment="1">
      <alignment horizontal="right" vertical="top" wrapText="1"/>
    </xf>
    <xf numFmtId="0" fontId="102" fillId="0" borderId="1" xfId="0" quotePrefix="1" applyFont="1" applyFill="1" applyBorder="1" applyAlignment="1">
      <alignment horizontal="left" vertical="top" wrapText="1"/>
    </xf>
    <xf numFmtId="177" fontId="102" fillId="0" borderId="1" xfId="0" applyNumberFormat="1" applyFont="1" applyFill="1" applyBorder="1" applyAlignment="1">
      <alignment horizontal="center" vertical="top"/>
    </xf>
    <xf numFmtId="0" fontId="192" fillId="0" borderId="1" xfId="2" applyFont="1" applyFill="1" applyBorder="1" applyAlignment="1" applyProtection="1">
      <alignment horizontal="left"/>
    </xf>
    <xf numFmtId="0" fontId="192" fillId="0" borderId="1" xfId="0" applyFont="1" applyFill="1" applyBorder="1" applyAlignment="1">
      <alignment horizontal="left" vertical="top" wrapText="1"/>
    </xf>
    <xf numFmtId="0" fontId="192" fillId="0" borderId="1" xfId="0" quotePrefix="1" applyFont="1" applyFill="1" applyBorder="1" applyAlignment="1">
      <alignment horizontal="right" vertical="top" wrapText="1"/>
    </xf>
    <xf numFmtId="0" fontId="192" fillId="0" borderId="1" xfId="0" quotePrefix="1" applyFont="1" applyFill="1" applyBorder="1" applyAlignment="1">
      <alignment horizontal="left" vertical="top" wrapText="1"/>
    </xf>
    <xf numFmtId="177" fontId="192" fillId="0" borderId="1" xfId="0" applyNumberFormat="1" applyFont="1" applyFill="1" applyBorder="1" applyAlignment="1">
      <alignment horizontal="center" vertical="top"/>
    </xf>
    <xf numFmtId="4" fontId="192" fillId="0" borderId="1" xfId="0" applyNumberFormat="1" applyFont="1" applyFill="1" applyBorder="1" applyAlignment="1">
      <alignment horizontal="center"/>
    </xf>
    <xf numFmtId="0" fontId="192" fillId="0" borderId="1" xfId="2" applyFont="1" applyFill="1" applyBorder="1" applyAlignment="1" applyProtection="1">
      <alignment horizontal="left" wrapText="1"/>
    </xf>
    <xf numFmtId="4" fontId="192" fillId="0" borderId="1" xfId="0" quotePrefix="1" applyNumberFormat="1" applyFont="1" applyFill="1" applyBorder="1" applyAlignment="1">
      <alignment horizontal="center" vertical="top" wrapText="1"/>
    </xf>
    <xf numFmtId="0" fontId="192" fillId="0" borderId="1" xfId="0" applyFont="1" applyFill="1" applyBorder="1" applyAlignment="1">
      <alignment horizontal="left"/>
    </xf>
    <xf numFmtId="0" fontId="192" fillId="0" borderId="1" xfId="0" applyFont="1" applyFill="1" applyBorder="1" applyAlignment="1">
      <alignment horizontal="center"/>
    </xf>
    <xf numFmtId="0" fontId="192" fillId="0" borderId="1" xfId="0" quotePrefix="1" applyFont="1" applyBorder="1" applyAlignment="1">
      <alignment horizontal="right" vertical="top" wrapText="1"/>
    </xf>
    <xf numFmtId="0" fontId="192" fillId="0" borderId="1" xfId="0" quotePrefix="1" applyFont="1" applyBorder="1" applyAlignment="1">
      <alignment horizontal="left" vertical="top" wrapText="1"/>
    </xf>
    <xf numFmtId="177" fontId="192" fillId="0" borderId="1" xfId="0" applyNumberFormat="1" applyFont="1" applyBorder="1" applyAlignment="1">
      <alignment horizontal="center" vertical="top"/>
    </xf>
    <xf numFmtId="0" fontId="192" fillId="0" borderId="1" xfId="0" applyFont="1" applyFill="1" applyBorder="1" applyAlignment="1">
      <alignment horizontal="left" wrapText="1"/>
    </xf>
    <xf numFmtId="0" fontId="192" fillId="0" borderId="1" xfId="0" quotePrefix="1" applyFont="1" applyBorder="1" applyAlignment="1">
      <alignment horizontal="right"/>
    </xf>
    <xf numFmtId="0" fontId="192" fillId="0" borderId="1" xfId="0" quotePrefix="1" applyFont="1" applyBorder="1" applyAlignment="1">
      <alignment horizontal="left"/>
    </xf>
    <xf numFmtId="177" fontId="192" fillId="0" borderId="1" xfId="0" applyNumberFormat="1" applyFont="1" applyBorder="1" applyAlignment="1">
      <alignment horizontal="center"/>
    </xf>
    <xf numFmtId="4" fontId="192" fillId="0" borderId="1" xfId="0" applyNumberFormat="1" applyFont="1" applyBorder="1" applyAlignment="1">
      <alignment horizontal="center"/>
    </xf>
    <xf numFmtId="0" fontId="192" fillId="0" borderId="1" xfId="0" applyFont="1" applyBorder="1" applyAlignment="1">
      <alignment horizontal="center"/>
    </xf>
    <xf numFmtId="2" fontId="192" fillId="0" borderId="1" xfId="0" applyNumberFormat="1" applyFont="1" applyBorder="1" applyAlignment="1">
      <alignment horizontal="center"/>
    </xf>
    <xf numFmtId="0" fontId="192" fillId="0" borderId="1" xfId="2" applyFont="1" applyBorder="1" applyAlignment="1" applyProtection="1">
      <alignment wrapText="1"/>
    </xf>
    <xf numFmtId="0" fontId="192" fillId="0" borderId="1" xfId="0" applyFont="1" applyBorder="1" applyAlignment="1">
      <alignment horizontal="right"/>
    </xf>
    <xf numFmtId="0" fontId="19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5" fillId="0" borderId="0" xfId="0" applyFont="1"/>
    <xf numFmtId="0" fontId="196" fillId="0" borderId="1" xfId="0" applyFont="1" applyBorder="1"/>
    <xf numFmtId="0" fontId="102" fillId="0" borderId="1" xfId="6" applyFont="1" applyBorder="1"/>
    <xf numFmtId="0" fontId="102" fillId="0" borderId="1" xfId="6" applyFont="1" applyBorder="1" applyAlignment="1">
      <alignment horizontal="center"/>
    </xf>
    <xf numFmtId="0" fontId="197" fillId="0" borderId="0" xfId="0" applyFont="1"/>
    <xf numFmtId="0" fontId="118" fillId="0" borderId="0" xfId="0" applyFont="1" applyBorder="1"/>
    <xf numFmtId="0" fontId="103" fillId="0" borderId="0" xfId="0" applyFont="1" applyBorder="1" applyAlignment="1">
      <alignment horizontal="center" vertical="center" wrapText="1"/>
    </xf>
    <xf numFmtId="4" fontId="119" fillId="10" borderId="0" xfId="0" quotePrefix="1" applyNumberFormat="1" applyFont="1" applyFill="1" applyBorder="1" applyAlignment="1">
      <alignment horizontal="center"/>
    </xf>
    <xf numFmtId="4" fontId="119" fillId="10" borderId="0" xfId="0" applyNumberFormat="1" applyFont="1" applyFill="1" applyBorder="1"/>
    <xf numFmtId="4" fontId="119" fillId="3" borderId="0" xfId="0" applyNumberFormat="1" applyFont="1" applyFill="1" applyBorder="1"/>
    <xf numFmtId="4" fontId="119" fillId="10" borderId="0" xfId="0" applyNumberFormat="1" applyFont="1" applyFill="1" applyBorder="1" applyProtection="1"/>
    <xf numFmtId="1" fontId="45" fillId="0" borderId="0" xfId="0" applyNumberFormat="1" applyFont="1" applyAlignment="1">
      <alignment horizontal="right"/>
    </xf>
    <xf numFmtId="3" fontId="108" fillId="0" borderId="1" xfId="6" applyNumberFormat="1" applyFont="1" applyFill="1" applyBorder="1" applyAlignment="1">
      <alignment horizontal="center" vertical="center"/>
    </xf>
    <xf numFmtId="0" fontId="105" fillId="0" borderId="1" xfId="6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165" fontId="6" fillId="0" borderId="0" xfId="6" applyNumberFormat="1" applyFont="1" applyAlignment="1">
      <alignment horizontal="left" vertical="center" wrapText="1"/>
    </xf>
    <xf numFmtId="0" fontId="6" fillId="0" borderId="14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6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1" fillId="0" borderId="0" xfId="6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6" applyFont="1" applyFill="1" applyBorder="1" applyAlignment="1">
      <alignment horizontal="left" vertical="center" wrapText="1"/>
    </xf>
    <xf numFmtId="4" fontId="8" fillId="0" borderId="1" xfId="6" applyNumberFormat="1" applyFont="1" applyBorder="1" applyAlignment="1">
      <alignment horizontal="left" vertical="center" wrapText="1"/>
    </xf>
    <xf numFmtId="4" fontId="8" fillId="0" borderId="1" xfId="6" applyNumberFormat="1" applyFont="1" applyBorder="1" applyAlignment="1">
      <alignment horizontal="center" vertical="center"/>
    </xf>
    <xf numFmtId="0" fontId="8" fillId="0" borderId="16" xfId="6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8" fillId="0" borderId="1" xfId="6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5" fillId="0" borderId="1" xfId="6" applyFont="1" applyBorder="1" applyAlignment="1">
      <alignment horizontal="left" vertical="center"/>
    </xf>
    <xf numFmtId="0" fontId="8" fillId="0" borderId="16" xfId="6" applyFont="1" applyBorder="1" applyAlignment="1">
      <alignment horizontal="center" vertic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/>
    </xf>
    <xf numFmtId="0" fontId="108" fillId="8" borderId="26" xfId="0" applyFont="1" applyFill="1" applyBorder="1" applyAlignment="1" applyProtection="1">
      <alignment horizontal="left" vertical="center" wrapText="1"/>
      <protection locked="0"/>
    </xf>
    <xf numFmtId="0" fontId="108" fillId="8" borderId="1" xfId="0" applyFont="1" applyFill="1" applyBorder="1" applyAlignment="1" applyProtection="1">
      <alignment horizontal="left" vertical="center" wrapText="1"/>
      <protection locked="0"/>
    </xf>
    <xf numFmtId="0" fontId="108" fillId="0" borderId="26" xfId="0" applyFont="1" applyBorder="1" applyAlignment="1" applyProtection="1">
      <alignment horizontal="left" vertical="center" wrapText="1"/>
      <protection locked="0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>
      <alignment horizontal="center" vertical="center"/>
    </xf>
    <xf numFmtId="0" fontId="111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11" fillId="0" borderId="1" xfId="0" applyFont="1" applyBorder="1" applyAlignment="1" applyProtection="1">
      <alignment horizontal="left" vertical="center" wrapText="1"/>
      <protection locked="0"/>
    </xf>
    <xf numFmtId="0" fontId="108" fillId="0" borderId="22" xfId="0" applyFont="1" applyBorder="1" applyAlignment="1" applyProtection="1">
      <alignment horizontal="left" vertical="center" wrapText="1" indent="2"/>
      <protection locked="0"/>
    </xf>
    <xf numFmtId="0" fontId="108" fillId="0" borderId="17" xfId="0" applyFont="1" applyBorder="1" applyAlignment="1" applyProtection="1">
      <alignment horizontal="left" vertical="center" wrapText="1" indent="2"/>
      <protection locked="0"/>
    </xf>
    <xf numFmtId="0" fontId="108" fillId="8" borderId="22" xfId="0" applyFont="1" applyFill="1" applyBorder="1" applyAlignment="1" applyProtection="1">
      <alignment horizontal="left" vertical="center" wrapText="1" indent="2"/>
      <protection locked="0"/>
    </xf>
    <xf numFmtId="0" fontId="108" fillId="8" borderId="17" xfId="0" applyFont="1" applyFill="1" applyBorder="1" applyAlignment="1" applyProtection="1">
      <alignment horizontal="left" vertical="center" wrapText="1" indent="2"/>
      <protection locked="0"/>
    </xf>
    <xf numFmtId="0" fontId="111" fillId="0" borderId="25" xfId="0" applyFont="1" applyBorder="1" applyAlignment="1" applyProtection="1">
      <alignment horizontal="left" vertical="center" wrapText="1"/>
      <protection locked="0"/>
    </xf>
    <xf numFmtId="0" fontId="111" fillId="0" borderId="12" xfId="0" applyFont="1" applyBorder="1" applyAlignment="1" applyProtection="1">
      <alignment horizontal="left" vertical="center" wrapText="1"/>
      <protection locked="0"/>
    </xf>
    <xf numFmtId="0" fontId="108" fillId="0" borderId="22" xfId="0" applyFont="1" applyBorder="1" applyAlignment="1" applyProtection="1">
      <alignment horizontal="left" vertical="center" wrapText="1"/>
      <protection locked="0"/>
    </xf>
    <xf numFmtId="0" fontId="108" fillId="0" borderId="17" xfId="0" applyFont="1" applyBorder="1" applyAlignment="1" applyProtection="1">
      <alignment horizontal="left" vertical="center" wrapText="1"/>
      <protection locked="0"/>
    </xf>
    <xf numFmtId="0" fontId="108" fillId="8" borderId="22" xfId="0" applyFont="1" applyFill="1" applyBorder="1" applyAlignment="1" applyProtection="1">
      <alignment horizontal="left" vertical="center" wrapText="1"/>
      <protection locked="0"/>
    </xf>
    <xf numFmtId="0" fontId="108" fillId="8" borderId="17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58" fillId="10" borderId="0" xfId="0" applyFont="1" applyFill="1" applyAlignment="1" applyProtection="1">
      <alignment horizontal="left" vertical="center" wrapText="1"/>
      <protection locked="0"/>
    </xf>
    <xf numFmtId="0" fontId="108" fillId="8" borderId="27" xfId="0" applyFont="1" applyFill="1" applyBorder="1" applyAlignment="1" applyProtection="1">
      <alignment horizontal="left" vertical="center" wrapText="1"/>
      <protection locked="0"/>
    </xf>
    <xf numFmtId="0" fontId="108" fillId="8" borderId="9" xfId="0" applyFont="1" applyFill="1" applyBorder="1" applyAlignment="1" applyProtection="1">
      <alignment horizontal="left" vertical="center" wrapText="1"/>
      <protection locked="0"/>
    </xf>
    <xf numFmtId="0" fontId="111" fillId="4" borderId="1" xfId="0" applyFont="1" applyFill="1" applyBorder="1" applyAlignment="1" applyProtection="1">
      <alignment horizontal="right" vertical="center" wrapText="1"/>
      <protection locked="0"/>
    </xf>
    <xf numFmtId="0" fontId="107" fillId="0" borderId="23" xfId="0" applyFont="1" applyBorder="1" applyAlignment="1" applyProtection="1">
      <alignment horizontal="center" vertical="center"/>
      <protection locked="0"/>
    </xf>
    <xf numFmtId="0" fontId="107" fillId="0" borderId="7" xfId="0" applyFont="1" applyBorder="1" applyAlignment="1" applyProtection="1">
      <alignment horizontal="center" vertical="center"/>
      <protection locked="0"/>
    </xf>
    <xf numFmtId="0" fontId="108" fillId="0" borderId="1" xfId="0" applyFont="1" applyFill="1" applyBorder="1" applyAlignment="1">
      <alignment horizontal="left" vertical="center" wrapText="1"/>
    </xf>
    <xf numFmtId="0" fontId="108" fillId="0" borderId="1" xfId="0" applyFont="1" applyFill="1" applyBorder="1" applyAlignment="1">
      <alignment horizontal="left" vertical="center"/>
    </xf>
    <xf numFmtId="0" fontId="111" fillId="0" borderId="1" xfId="0" applyFont="1" applyFill="1" applyBorder="1" applyAlignment="1">
      <alignment horizontal="left" vertical="center"/>
    </xf>
    <xf numFmtId="0" fontId="107" fillId="0" borderId="0" xfId="0" applyFont="1" applyFill="1" applyAlignment="1" applyProtection="1">
      <alignment horizontal="center" vertical="center" wrapText="1"/>
      <protection locked="0"/>
    </xf>
    <xf numFmtId="0" fontId="111" fillId="0" borderId="1" xfId="0" applyFont="1" applyFill="1" applyBorder="1" applyAlignment="1">
      <alignment horizontal="center" vertical="center"/>
    </xf>
    <xf numFmtId="0" fontId="112" fillId="0" borderId="1" xfId="0" applyFont="1" applyFill="1" applyBorder="1" applyAlignment="1">
      <alignment horizontal="left" vertical="center" wrapText="1"/>
    </xf>
    <xf numFmtId="0" fontId="108" fillId="0" borderId="19" xfId="0" applyFont="1" applyFill="1" applyBorder="1" applyAlignment="1">
      <alignment horizontal="left" vertical="center" wrapText="1"/>
    </xf>
    <xf numFmtId="0" fontId="108" fillId="0" borderId="12" xfId="0" applyFont="1" applyFill="1" applyBorder="1" applyAlignment="1">
      <alignment horizontal="left" vertical="center" wrapText="1"/>
    </xf>
    <xf numFmtId="0" fontId="108" fillId="0" borderId="13" xfId="0" applyFont="1" applyFill="1" applyBorder="1" applyAlignment="1">
      <alignment horizontal="left" vertical="center" wrapText="1"/>
    </xf>
    <xf numFmtId="0" fontId="111" fillId="0" borderId="1" xfId="0" applyFont="1" applyBorder="1" applyAlignment="1">
      <alignment horizontal="center" vertical="center" wrapText="1"/>
    </xf>
    <xf numFmtId="0" fontId="111" fillId="13" borderId="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07" fillId="11" borderId="0" xfId="0" applyFont="1" applyFill="1" applyAlignment="1" applyProtection="1">
      <alignment horizontal="left" vertical="center" wrapText="1"/>
      <protection locked="0"/>
    </xf>
    <xf numFmtId="0" fontId="111" fillId="0" borderId="1" xfId="6" applyFont="1" applyBorder="1" applyAlignment="1">
      <alignment horizontal="left" vertical="center" wrapText="1"/>
    </xf>
    <xf numFmtId="0" fontId="69" fillId="0" borderId="24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106" fillId="11" borderId="0" xfId="0" applyFont="1" applyFill="1" applyAlignment="1" applyProtection="1">
      <alignment horizontal="left" vertical="center" wrapText="1"/>
      <protection locked="0"/>
    </xf>
    <xf numFmtId="0" fontId="107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94" fillId="0" borderId="0" xfId="8" applyFont="1" applyFill="1" applyAlignment="1">
      <alignment horizontal="center" wrapText="1"/>
    </xf>
    <xf numFmtId="2" fontId="139" fillId="0" borderId="1" xfId="11" applyNumberFormat="1" applyFont="1" applyFill="1" applyBorder="1" applyAlignment="1">
      <alignment horizontal="center" vertical="center" wrapText="1"/>
    </xf>
    <xf numFmtId="2" fontId="139" fillId="0" borderId="28" xfId="11" applyNumberFormat="1" applyFont="1" applyFill="1" applyBorder="1" applyAlignment="1">
      <alignment horizontal="center" vertical="center" wrapText="1"/>
    </xf>
    <xf numFmtId="2" fontId="139" fillId="0" borderId="29" xfId="11" applyNumberFormat="1" applyFont="1" applyFill="1" applyBorder="1" applyAlignment="1">
      <alignment horizontal="center" vertical="center" wrapText="1"/>
    </xf>
    <xf numFmtId="2" fontId="57" fillId="0" borderId="1" xfId="11" applyNumberFormat="1" applyFont="1" applyFill="1" applyBorder="1" applyAlignment="1">
      <alignment horizontal="center" vertical="center" wrapText="1"/>
    </xf>
    <xf numFmtId="2" fontId="57" fillId="0" borderId="28" xfId="11" applyNumberFormat="1" applyFont="1" applyFill="1" applyBorder="1" applyAlignment="1">
      <alignment horizontal="center" vertical="center" wrapText="1"/>
    </xf>
    <xf numFmtId="2" fontId="57" fillId="0" borderId="29" xfId="11" applyNumberFormat="1" applyFont="1" applyFill="1" applyBorder="1" applyAlignment="1">
      <alignment horizontal="center" vertical="center" wrapText="1"/>
    </xf>
    <xf numFmtId="0" fontId="53" fillId="0" borderId="1" xfId="1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4" fillId="0" borderId="16" xfId="0" applyFont="1" applyFill="1" applyBorder="1" applyAlignment="1">
      <alignment horizontal="center" vertical="center" wrapText="1"/>
    </xf>
    <xf numFmtId="0" fontId="134" fillId="0" borderId="17" xfId="0" applyFont="1" applyFill="1" applyBorder="1" applyAlignment="1">
      <alignment horizontal="center" vertical="center" wrapText="1"/>
    </xf>
    <xf numFmtId="0" fontId="134" fillId="0" borderId="1" xfId="0" applyFont="1" applyFill="1" applyBorder="1" applyAlignment="1">
      <alignment horizontal="center" vertical="center" wrapText="1"/>
    </xf>
    <xf numFmtId="0" fontId="53" fillId="0" borderId="30" xfId="11" applyFont="1" applyFill="1" applyBorder="1" applyAlignment="1">
      <alignment horizontal="center" vertical="center" wrapText="1"/>
    </xf>
    <xf numFmtId="0" fontId="53" fillId="0" borderId="31" xfId="11" applyFont="1" applyFill="1" applyBorder="1" applyAlignment="1">
      <alignment horizontal="center" vertical="center" wrapText="1"/>
    </xf>
    <xf numFmtId="0" fontId="53" fillId="0" borderId="32" xfId="11" applyFont="1" applyFill="1" applyBorder="1" applyAlignment="1">
      <alignment horizontal="center" vertical="center" wrapText="1"/>
    </xf>
    <xf numFmtId="0" fontId="53" fillId="0" borderId="33" xfId="11" applyFont="1" applyFill="1" applyBorder="1" applyAlignment="1">
      <alignment horizontal="center" vertical="center" wrapText="1"/>
    </xf>
    <xf numFmtId="0" fontId="53" fillId="0" borderId="34" xfId="11" applyFont="1" applyFill="1" applyBorder="1" applyAlignment="1">
      <alignment horizontal="center" vertical="center" wrapText="1"/>
    </xf>
    <xf numFmtId="0" fontId="53" fillId="0" borderId="35" xfId="11" applyFont="1" applyFill="1" applyBorder="1" applyAlignment="1">
      <alignment horizontal="center" vertical="center" wrapText="1"/>
    </xf>
    <xf numFmtId="0" fontId="57" fillId="3" borderId="1" xfId="11" applyNumberFormat="1" applyFont="1" applyFill="1" applyBorder="1" applyAlignment="1">
      <alignment horizontal="center" vertical="center" wrapText="1"/>
    </xf>
    <xf numFmtId="2" fontId="57" fillId="3" borderId="1" xfId="11" applyNumberFormat="1" applyFont="1" applyFill="1" applyBorder="1" applyAlignment="1">
      <alignment horizontal="center" vertical="center" wrapText="1"/>
    </xf>
    <xf numFmtId="0" fontId="57" fillId="3" borderId="1" xfId="11" applyFont="1" applyFill="1" applyBorder="1" applyAlignment="1">
      <alignment horizontal="left" vertical="center" wrapText="1"/>
    </xf>
    <xf numFmtId="0" fontId="57" fillId="3" borderId="1" xfId="11" applyFont="1" applyFill="1" applyBorder="1" applyAlignment="1">
      <alignment horizontal="center" vertical="center" wrapText="1"/>
    </xf>
    <xf numFmtId="9" fontId="57" fillId="3" borderId="1" xfId="11" applyNumberFormat="1" applyFont="1" applyFill="1" applyBorder="1" applyAlignment="1">
      <alignment horizontal="center" vertical="center" wrapText="1"/>
    </xf>
    <xf numFmtId="170" fontId="57" fillId="3" borderId="1" xfId="11" applyNumberFormat="1" applyFont="1" applyFill="1" applyBorder="1" applyAlignment="1">
      <alignment horizontal="center" vertical="center" wrapText="1"/>
    </xf>
    <xf numFmtId="0" fontId="57" fillId="3" borderId="1" xfId="11" applyNumberFormat="1" applyFont="1" applyFill="1" applyBorder="1" applyAlignment="1">
      <alignment horizontal="left" vertical="center" wrapText="1"/>
    </xf>
    <xf numFmtId="4" fontId="57" fillId="3" borderId="1" xfId="11" applyNumberFormat="1" applyFont="1" applyFill="1" applyBorder="1" applyAlignment="1">
      <alignment horizontal="center" vertical="center" wrapText="1"/>
    </xf>
    <xf numFmtId="0" fontId="57" fillId="0" borderId="1" xfId="11" applyFont="1" applyFill="1" applyBorder="1" applyAlignment="1">
      <alignment horizontal="center" vertical="center" wrapText="1"/>
    </xf>
    <xf numFmtId="0" fontId="56" fillId="0" borderId="1" xfId="11" applyFont="1" applyFill="1" applyBorder="1" applyAlignment="1">
      <alignment horizontal="center" wrapText="1"/>
    </xf>
    <xf numFmtId="0" fontId="56" fillId="0" borderId="1" xfId="11" applyFont="1" applyFill="1" applyBorder="1" applyAlignment="1">
      <alignment horizontal="center" vertical="center" wrapText="1"/>
    </xf>
    <xf numFmtId="0" fontId="85" fillId="0" borderId="1" xfId="11" applyFont="1" applyFill="1" applyBorder="1" applyAlignment="1">
      <alignment horizontal="center" vertical="center" wrapText="1"/>
    </xf>
    <xf numFmtId="9" fontId="57" fillId="0" borderId="1" xfId="11" applyNumberFormat="1" applyFont="1" applyFill="1" applyBorder="1" applyAlignment="1">
      <alignment horizontal="center" vertical="center" wrapText="1"/>
    </xf>
    <xf numFmtId="0" fontId="57" fillId="0" borderId="1" xfId="11" applyFont="1" applyFill="1" applyBorder="1" applyAlignment="1">
      <alignment horizontal="left" vertical="center" wrapText="1"/>
    </xf>
    <xf numFmtId="0" fontId="57" fillId="0" borderId="1" xfId="11" applyNumberFormat="1" applyFont="1" applyFill="1" applyBorder="1" applyAlignment="1">
      <alignment horizontal="center" vertical="center" wrapText="1"/>
    </xf>
    <xf numFmtId="0" fontId="86" fillId="0" borderId="1" xfId="11" applyFont="1" applyFill="1" applyBorder="1" applyAlignment="1">
      <alignment horizontal="left" vertical="center" wrapText="1"/>
    </xf>
    <xf numFmtId="2" fontId="86" fillId="0" borderId="1" xfId="11" applyNumberFormat="1" applyFont="1" applyFill="1" applyBorder="1" applyAlignment="1">
      <alignment horizontal="center" vertical="center" wrapText="1"/>
    </xf>
    <xf numFmtId="0" fontId="86" fillId="0" borderId="1" xfId="11" applyFont="1" applyFill="1" applyBorder="1" applyAlignment="1">
      <alignment horizontal="center" vertical="center" wrapText="1"/>
    </xf>
    <xf numFmtId="0" fontId="86" fillId="0" borderId="1" xfId="11" applyNumberFormat="1" applyFont="1" applyFill="1" applyBorder="1" applyAlignment="1">
      <alignment horizontal="center" vertical="center" wrapText="1"/>
    </xf>
    <xf numFmtId="1" fontId="57" fillId="0" borderId="1" xfId="11" applyNumberFormat="1" applyFont="1" applyFill="1" applyBorder="1" applyAlignment="1">
      <alignment horizontal="center" vertical="center" wrapText="1"/>
    </xf>
    <xf numFmtId="0" fontId="56" fillId="0" borderId="1" xfId="11" applyNumberFormat="1" applyFont="1" applyFill="1" applyBorder="1" applyAlignment="1">
      <alignment horizontal="center" vertical="center" wrapText="1"/>
    </xf>
    <xf numFmtId="0" fontId="53" fillId="3" borderId="1" xfId="11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wrapText="1"/>
    </xf>
    <xf numFmtId="2" fontId="139" fillId="3" borderId="1" xfId="11" applyNumberFormat="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104" fillId="3" borderId="1" xfId="11" applyFont="1" applyFill="1" applyBorder="1" applyAlignment="1">
      <alignment horizontal="center" vertical="center" wrapText="1"/>
    </xf>
    <xf numFmtId="49" fontId="6" fillId="3" borderId="1" xfId="11" applyNumberFormat="1" applyFont="1" applyFill="1" applyBorder="1" applyAlignment="1">
      <alignment horizontal="center" vertical="center" wrapText="1" shrinkToFit="1"/>
    </xf>
    <xf numFmtId="0" fontId="76" fillId="3" borderId="1" xfId="11" applyFont="1" applyFill="1" applyBorder="1" applyAlignment="1">
      <alignment horizontal="center" vertical="center" wrapText="1" shrinkToFit="1"/>
    </xf>
    <xf numFmtId="0" fontId="56" fillId="3" borderId="1" xfId="11" applyFont="1" applyFill="1" applyBorder="1" applyAlignment="1">
      <alignment horizontal="center" wrapText="1"/>
    </xf>
    <xf numFmtId="0" fontId="80" fillId="3" borderId="0" xfId="11" applyFont="1" applyFill="1" applyAlignment="1">
      <alignment horizontal="center"/>
    </xf>
    <xf numFmtId="0" fontId="81" fillId="3" borderId="0" xfId="11" applyFont="1" applyFill="1" applyAlignment="1">
      <alignment horizontal="center"/>
    </xf>
    <xf numFmtId="0" fontId="82" fillId="3" borderId="0" xfId="11" applyFont="1" applyFill="1" applyAlignment="1">
      <alignment horizontal="center"/>
    </xf>
    <xf numFmtId="49" fontId="57" fillId="3" borderId="1" xfId="11" applyNumberFormat="1" applyFont="1" applyFill="1" applyBorder="1" applyAlignment="1">
      <alignment horizontal="center" vertical="center" wrapText="1" shrinkToFit="1"/>
    </xf>
    <xf numFmtId="49" fontId="6" fillId="3" borderId="1" xfId="11" applyNumberFormat="1" applyFont="1" applyFill="1" applyBorder="1" applyAlignment="1">
      <alignment horizontal="center" vertical="center" textRotation="90" wrapText="1" shrinkToFit="1"/>
    </xf>
    <xf numFmtId="170" fontId="57" fillId="0" borderId="1" xfId="11" applyNumberFormat="1" applyFont="1" applyFill="1" applyBorder="1" applyAlignment="1">
      <alignment horizontal="center" vertical="center" wrapText="1"/>
    </xf>
    <xf numFmtId="0" fontId="57" fillId="0" borderId="1" xfId="11" applyFont="1" applyFill="1" applyBorder="1" applyAlignment="1">
      <alignment horizontal="center" vertical="center"/>
    </xf>
    <xf numFmtId="0" fontId="57" fillId="0" borderId="1" xfId="11" applyNumberFormat="1" applyFont="1" applyFill="1" applyBorder="1" applyAlignment="1">
      <alignment horizontal="left" vertical="center" wrapText="1"/>
    </xf>
    <xf numFmtId="0" fontId="57" fillId="0" borderId="1" xfId="11" applyFont="1" applyFill="1" applyBorder="1" applyAlignment="1">
      <alignment horizontal="center" wrapText="1"/>
    </xf>
    <xf numFmtId="0" fontId="57" fillId="0" borderId="1" xfId="1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57" fillId="0" borderId="28" xfId="11" applyFont="1" applyFill="1" applyBorder="1" applyAlignment="1">
      <alignment horizontal="center" vertical="center" wrapText="1"/>
    </xf>
    <xf numFmtId="0" fontId="57" fillId="0" borderId="29" xfId="11" applyFont="1" applyFill="1" applyBorder="1" applyAlignment="1">
      <alignment horizontal="center" vertical="center" wrapText="1"/>
    </xf>
    <xf numFmtId="9" fontId="86" fillId="0" borderId="1" xfId="11" applyNumberFormat="1" applyFont="1" applyFill="1" applyBorder="1" applyAlignment="1">
      <alignment horizontal="center" vertical="center" wrapText="1"/>
    </xf>
    <xf numFmtId="9" fontId="87" fillId="3" borderId="1" xfId="11" applyNumberFormat="1" applyFont="1" applyFill="1" applyBorder="1" applyAlignment="1">
      <alignment horizontal="center" vertical="center" wrapText="1"/>
    </xf>
    <xf numFmtId="0" fontId="87" fillId="3" borderId="1" xfId="11" applyNumberFormat="1" applyFont="1" applyFill="1" applyBorder="1" applyAlignment="1">
      <alignment horizontal="center" vertical="center" wrapText="1"/>
    </xf>
    <xf numFmtId="170" fontId="87" fillId="3" borderId="1" xfId="11" applyNumberFormat="1" applyFont="1" applyFill="1" applyBorder="1" applyAlignment="1">
      <alignment horizontal="center" vertical="center" wrapText="1"/>
    </xf>
    <xf numFmtId="0" fontId="103" fillId="0" borderId="1" xfId="7" applyFont="1" applyFill="1" applyBorder="1" applyAlignment="1">
      <alignment horizontal="center" wrapText="1"/>
    </xf>
    <xf numFmtId="0" fontId="102" fillId="0" borderId="1" xfId="7" applyFont="1" applyFill="1" applyBorder="1" applyAlignment="1">
      <alignment horizontal="center" wrapText="1"/>
    </xf>
    <xf numFmtId="0" fontId="102" fillId="3" borderId="16" xfId="7" applyFont="1" applyFill="1" applyBorder="1" applyAlignment="1">
      <alignment horizontal="center" wrapText="1"/>
    </xf>
    <xf numFmtId="0" fontId="102" fillId="3" borderId="15" xfId="0" applyFont="1" applyFill="1" applyBorder="1" applyAlignment="1">
      <alignment horizontal="center" wrapText="1"/>
    </xf>
    <xf numFmtId="0" fontId="102" fillId="3" borderId="17" xfId="0" applyFont="1" applyFill="1" applyBorder="1" applyAlignment="1">
      <alignment horizontal="center" wrapText="1"/>
    </xf>
    <xf numFmtId="0" fontId="147" fillId="0" borderId="1" xfId="7" applyFont="1" applyFill="1" applyBorder="1" applyAlignment="1">
      <alignment horizontal="center" wrapText="1"/>
    </xf>
    <xf numFmtId="0" fontId="102" fillId="0" borderId="16" xfId="7" applyFont="1" applyFill="1" applyBorder="1" applyAlignment="1">
      <alignment horizontal="center" wrapText="1"/>
    </xf>
    <xf numFmtId="0" fontId="102" fillId="0" borderId="15" xfId="7" applyFont="1" applyFill="1" applyBorder="1" applyAlignment="1">
      <alignment horizontal="center" wrapText="1"/>
    </xf>
    <xf numFmtId="0" fontId="102" fillId="0" borderId="17" xfId="7" applyFont="1" applyFill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12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11" fillId="0" borderId="1" xfId="6" applyFont="1" applyBorder="1" applyAlignment="1">
      <alignment horizontal="center" vertical="center" wrapText="1"/>
    </xf>
    <xf numFmtId="0" fontId="108" fillId="0" borderId="1" xfId="6" applyFont="1" applyBorder="1" applyAlignment="1">
      <alignment horizontal="center" vertical="center" wrapText="1"/>
    </xf>
    <xf numFmtId="0" fontId="111" fillId="0" borderId="0" xfId="6" applyFont="1" applyAlignment="1">
      <alignment horizontal="center" wrapText="1"/>
    </xf>
    <xf numFmtId="0" fontId="108" fillId="0" borderId="0" xfId="6" applyFont="1" applyAlignment="1">
      <alignment wrapText="1"/>
    </xf>
    <xf numFmtId="0" fontId="42" fillId="5" borderId="39" xfId="0" applyFont="1" applyFill="1" applyBorder="1" applyAlignment="1" applyProtection="1">
      <alignment horizontal="left" vertical="center" wrapText="1"/>
      <protection locked="0"/>
    </xf>
    <xf numFmtId="0" fontId="42" fillId="5" borderId="0" xfId="0" applyFont="1" applyFill="1" applyBorder="1" applyAlignment="1" applyProtection="1">
      <alignment horizontal="left" vertical="center" wrapText="1"/>
      <protection locked="0"/>
    </xf>
    <xf numFmtId="0" fontId="42" fillId="5" borderId="40" xfId="0" applyFont="1" applyFill="1" applyBorder="1" applyAlignment="1" applyProtection="1">
      <alignment horizontal="left" vertical="center" wrapText="1"/>
      <protection locked="0"/>
    </xf>
    <xf numFmtId="0" fontId="15" fillId="2" borderId="39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40" xfId="0" applyFont="1" applyFill="1" applyBorder="1" applyAlignment="1" applyProtection="1">
      <alignment horizontal="left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Fill="1" applyBorder="1" applyAlignment="1" applyProtection="1">
      <alignment horizontal="left" vertical="center" wrapText="1"/>
      <protection locked="0"/>
    </xf>
    <xf numFmtId="0" fontId="45" fillId="0" borderId="52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left" vertical="center" wrapText="1"/>
    </xf>
    <xf numFmtId="0" fontId="45" fillId="0" borderId="53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49" fontId="15" fillId="0" borderId="44" xfId="0" applyNumberFormat="1" applyFont="1" applyBorder="1" applyAlignment="1">
      <alignment horizontal="left" vertical="center"/>
    </xf>
    <xf numFmtId="49" fontId="15" fillId="0" borderId="43" xfId="0" applyNumberFormat="1" applyFont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 vertical="center"/>
    </xf>
    <xf numFmtId="0" fontId="68" fillId="12" borderId="24" xfId="0" applyFont="1" applyFill="1" applyBorder="1" applyAlignment="1">
      <alignment horizontal="center" vertical="center" wrapText="1"/>
    </xf>
    <xf numFmtId="0" fontId="68" fillId="12" borderId="20" xfId="0" applyFont="1" applyFill="1" applyBorder="1" applyAlignment="1">
      <alignment horizontal="center" vertical="center" wrapText="1"/>
    </xf>
    <xf numFmtId="0" fontId="68" fillId="12" borderId="21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56" fillId="5" borderId="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left" vertical="center" wrapText="1"/>
      <protection locked="0"/>
    </xf>
    <xf numFmtId="169" fontId="36" fillId="3" borderId="0" xfId="0" applyNumberFormat="1" applyFont="1" applyFill="1" applyAlignment="1">
      <alignment horizontal="center" vertical="center"/>
    </xf>
  </cellXfs>
  <cellStyles count="17">
    <cellStyle name="Normal_meresha_07" xfId="1"/>
    <cellStyle name="Гиперссылка" xfId="2" builtinId="8"/>
    <cellStyle name="Денежный 2" xfId="3"/>
    <cellStyle name="Звичайний 2" xfId="4"/>
    <cellStyle name="Звичайний_ВИДАТКИ 2011 РОКУ" xfId="5"/>
    <cellStyle name="Обычный" xfId="0" builtinId="0"/>
    <cellStyle name="Обычный 2" xfId="6"/>
    <cellStyle name="Обычный_Додаткові кошти 3" xfId="7"/>
    <cellStyle name="Обычный_ІІІ етап ЄТС остаточний" xfId="8"/>
    <cellStyle name="Обычный_Інформація УОЗ обсяг видатків на 2009 рік по району" xfId="9"/>
    <cellStyle name="Обычный_Тарифікація А ЗПСМ станом на 01.01.2013 р." xfId="10"/>
    <cellStyle name="Обычный_Тарифікація ЦРЛ станом на 02.07.2013 р." xfId="11"/>
    <cellStyle name="Обычный_ШТАТИ на 01 грудня 2013 року" xfId="12"/>
    <cellStyle name="Процентный" xfId="13" builtinId="5"/>
    <cellStyle name="Стиль 1" xfId="14"/>
    <cellStyle name="Тысячи [0]_Розподіл (2)" xfId="15"/>
    <cellStyle name="Тысячи_бюджет 1998 по клас." xfId="16"/>
  </cellStyles>
  <dxfs count="1002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89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92" Type="http://schemas.openxmlformats.org/officeDocument/2006/relationships/hyperlink" Target="#'01_&#1044;&#1086;&#1093;&#1086;&#1076;&#1080;'!H10"/><Relationship Id="rId2" Type="http://schemas.openxmlformats.org/officeDocument/2006/relationships/hyperlink" Target="#'01_&#1044;&#1086;&#1093;&#1086;&#1076;&#1080;'!H10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87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90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image" Target="../media/image1.png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88" Type="http://schemas.openxmlformats.org/officeDocument/2006/relationships/hyperlink" Target="#'01_&#1044;&#1086;&#1093;&#1086;&#1076;&#1080;'!H10"/><Relationship Id="rId91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B9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03_&#1052;&#1058;&#105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953669</xdr:colOff>
      <xdr:row>24</xdr:row>
      <xdr:rowOff>8312</xdr:rowOff>
    </xdr:from>
    <xdr:to>
      <xdr:col>7</xdr:col>
      <xdr:colOff>496442</xdr:colOff>
      <xdr:row>24</xdr:row>
      <xdr:rowOff>8312</xdr:rowOff>
    </xdr:to>
    <xdr:sp macro="" textlink="">
      <xdr:nvSpPr>
        <xdr:cNvPr id="5" name="Прямоугольник: скругленные углы 4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1663714" y="548531126"/>
          <a:ext cx="11945333" cy="1089430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Натисніть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СЮДИ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для автоматичного переходу на початок сторінки</a:t>
          </a:r>
          <a:endParaRPr lang="x-none" sz="6000" b="1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081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2" name="Рисунок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3" name="Рисунок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4" name="Рисунок 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5" name="Рисунок 1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6" name="Рисунок 1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7" name="Рисунок 1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88" name="Рисунок 13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24</xdr:row>
      <xdr:rowOff>0</xdr:rowOff>
    </xdr:from>
    <xdr:to>
      <xdr:col>0</xdr:col>
      <xdr:colOff>714375</xdr:colOff>
      <xdr:row>26</xdr:row>
      <xdr:rowOff>0</xdr:rowOff>
    </xdr:to>
    <xdr:pic>
      <xdr:nvPicPr>
        <xdr:cNvPr id="3089" name="Рисунок 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6010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090" name="Рисунок 15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6010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1" name="Рисунок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092" name="Рисунок 17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3" name="Рисунок 1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094" name="Рисунок 1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5" name="Рисунок 2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6" name="Рисунок 21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7" name="Рисунок 22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8" name="Рисунок 23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099" name="Рисунок 2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00" name="Рисунок 25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01" name="Рисунок 26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02" name="Рисунок 27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03" name="Рисунок 28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04" name="Рисунок 29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05" name="Рисунок 30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06" name="Рисунок 31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07" name="Рисунок 32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08" name="Рисунок 33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09" name="Рисунок 34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6010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0" name="Рисунок 35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1" name="Рисунок 36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2" name="Рисунок 37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3" name="Рисунок 38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4" name="Рисунок 39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5" name="Рисунок 40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6" name="Рисунок 41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7" name="Рисунок 42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8" name="Рисунок 43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19" name="Рисунок 44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0" name="Рисунок 45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21" name="Рисунок 46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</xdr:row>
      <xdr:rowOff>0</xdr:rowOff>
    </xdr:from>
    <xdr:to>
      <xdr:col>0</xdr:col>
      <xdr:colOff>714375</xdr:colOff>
      <xdr:row>26</xdr:row>
      <xdr:rowOff>0</xdr:rowOff>
    </xdr:to>
    <xdr:pic>
      <xdr:nvPicPr>
        <xdr:cNvPr id="3122" name="Рисунок 47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3" name="Рисунок 48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4" name="Рисунок 49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5" name="Рисунок 50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26" name="Рисунок 51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7" name="Рисунок 52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28" name="Рисунок 53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29" name="Рисунок 54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30" name="Рисунок 55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1" name="Рисунок 56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2" name="Рисунок 57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3" name="Рисунок 58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4" name="Рисунок 59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5" name="Рисунок 60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6" name="Рисунок 61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7" name="Рисунок 62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38" name="Рисунок 63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39" name="Рисунок 64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40" name="Рисунок 65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1" name="Рисунок 66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42" name="Рисунок 67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0</xdr:rowOff>
    </xdr:from>
    <xdr:to>
      <xdr:col>0</xdr:col>
      <xdr:colOff>695325</xdr:colOff>
      <xdr:row>26</xdr:row>
      <xdr:rowOff>0</xdr:rowOff>
    </xdr:to>
    <xdr:pic>
      <xdr:nvPicPr>
        <xdr:cNvPr id="3143" name="Рисунок 68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601075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4" name="Рисунок 69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5" name="Рисунок 70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6" name="Рисунок 71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7" name="Рисунок 72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8" name="Рисунок 73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49" name="Рисунок 74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0" name="Рисунок 75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1" name="Рисунок 76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2" name="Рисунок 77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3" name="Рисунок 78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4" name="Рисунок 79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5" name="Рисунок 80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6" name="Рисунок 81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7" name="Рисунок 82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8" name="Рисунок 83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59" name="Рисунок 84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0" name="Рисунок 85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1" name="Рисунок 86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2" name="Рисунок 87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3" name="Рисунок 88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4" name="Рисунок 89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5" name="Рисунок 90">
          <a:hlinkClick xmlns:r="http://schemas.openxmlformats.org/officeDocument/2006/relationships" r:id="rId87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24</xdr:row>
      <xdr:rowOff>0</xdr:rowOff>
    </xdr:from>
    <xdr:to>
      <xdr:col>0</xdr:col>
      <xdr:colOff>714375</xdr:colOff>
      <xdr:row>26</xdr:row>
      <xdr:rowOff>0</xdr:rowOff>
    </xdr:to>
    <xdr:pic>
      <xdr:nvPicPr>
        <xdr:cNvPr id="3166" name="Рисунок 91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6010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7" name="Рисунок 92">
          <a:hlinkClick xmlns:r="http://schemas.openxmlformats.org/officeDocument/2006/relationships" r:id="rId89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8" name="Рисунок 93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69" name="Рисунок 94">
          <a:hlinkClick xmlns:r="http://schemas.openxmlformats.org/officeDocument/2006/relationships" r:id="rId9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676275</xdr:colOff>
      <xdr:row>26</xdr:row>
      <xdr:rowOff>0</xdr:rowOff>
    </xdr:to>
    <xdr:pic>
      <xdr:nvPicPr>
        <xdr:cNvPr id="3170" name="Рисунок 95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601075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167</xdr:row>
      <xdr:rowOff>177800</xdr:rowOff>
    </xdr:from>
    <xdr:to>
      <xdr:col>5</xdr:col>
      <xdr:colOff>1344006</xdr:colOff>
      <xdr:row>174</xdr:row>
      <xdr:rowOff>155402</xdr:rowOff>
    </xdr:to>
    <xdr:sp macro="" textlink="">
      <xdr:nvSpPr>
        <xdr:cNvPr id="2" name="Прямоугольник: скругленные углы 1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1028700" y="47459900"/>
          <a:ext cx="11313506" cy="1400002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Натисніть</a:t>
          </a:r>
          <a:r>
            <a:rPr 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СЮДИ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для автоматичного </a:t>
          </a:r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переходу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uk-UA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до початку</a:t>
          </a:r>
          <a:r>
            <a:rPr lang="uk-UA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сторінки</a:t>
          </a:r>
          <a:endParaRPr lang="x-none" sz="6000" b="1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7;&#1074;&#1110;&#1090;%20&#1087;&#1088;&#1086;%20&#1076;&#1086;&#1093;&#1086;&#1076;&#1080;%20&#1090;&#1072;%20&#1074;&#1080;&#1090;&#1088;&#1072;&#1090;&#1080;%20&#1074;&#1077;&#1088;&#1077;&#1089;&#1077;&#1085;&#1100;%20202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0%202%201/---%20&#1042;%20&#1048;%20&#1044;%20&#1040;%20&#1058;%20&#1050;%20&#1048;%20%20---/-%20&#1047;&#1042;&#1030;&#1058;%20&#1041;&#1070;&#1044;&#1046;&#1045;&#1058;%20+%20&#1055;&#1051;&#1040;&#1058;&#1040;%20&#1047;&#1040;%20&#1055;&#1054;&#1057;&#1051;&#1059;&#1043;&#1048;%20+%20&#1041;&#1051;&#1040;&#1043;&#1054;&#1044;&#1030;&#1049;&#1053;&#1048;&#1049;%20-/&#1047;&#1042;&#1030;&#1058;%20&#1052;&#1030;&#1057;&#1062;&#1045;&#1042;&#1048;&#1049;%20&#1041;&#1070;&#1044;&#1046;&#1045;&#1058;%20+&#1055;&#1051;&#1040;&#1058;&#1040;%20&#1047;&#1040;%20&#1055;&#1054;&#1057;&#1051;&#1059;&#1043;&#1048;+&#1041;&#1051;&#1040;&#1043;&#1054;&#1044;&#1030;&#1049;&#1053;&#1048;&#1049;%20&#1043;&#1056;&#1059;&#1044;&#1045;&#1053;&#1068;%20202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%200%202%201/---%20&#1042;%20&#1048;%20&#1044;%20&#1040;%20&#1058;%20&#1050;%20&#1048;%20%20---/-%20&#1047;&#1042;&#1030;&#1058;%20&#1053;&#1057;&#1047;&#1059;%20&#1044;&#1054;&#1061;&#1054;&#1044;&#1048;%20&#1058;&#1040;%20&#1042;&#1048;&#1058;&#1056;&#1040;&#1058;&#1048;%20-/&#1047;&#1074;&#1110;&#1090;%20&#1087;&#1088;&#1086;%20&#1076;&#1086;&#1093;&#1086;&#1076;&#1080;%20&#1090;&#1072;%20&#1074;&#1080;&#1090;&#1088;&#1072;&#1090;&#1080;%20&#1089;&#1110;&#1095;&#1077;&#1085;&#1100;%20-%20&#1075;&#1088;&#1091;&#1076;&#1077;&#1085;&#1100;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Link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Setup"/>
      <sheetName val="200"/>
      <sheetName val="1993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ВОЛОСОВЕЦЬ ІРИНА ПЕТРІВНА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додаток  3"/>
      <sheetName val="т17мб(шаблон)"/>
      <sheetName val="Set"/>
      <sheetName val="учасники"/>
      <sheetName val="объект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ІР"/>
      <sheetName val="Зведена НСЗУ"/>
      <sheetName val="Зведена усі кошти"/>
      <sheetName val="01-06"/>
      <sheetName val="ВИТРАТИ ВСІ"/>
      <sheetName val="ДОХІД-ВИТРАТИ"/>
      <sheetName val="ДОХОДИ"/>
      <sheetName val="ВИТРАТИ"/>
      <sheetName val="ФОП"/>
      <sheetName val="ОЗ"/>
      <sheetName val="2210 "/>
      <sheetName val="ЛЗ"/>
      <sheetName val="МВ "/>
      <sheetName val="ДЗ"/>
      <sheetName val="2230"/>
      <sheetName val="2240"/>
      <sheetName val="2240 ДК"/>
      <sheetName val="2730"/>
      <sheetName val="М-Б"/>
      <sheetName val="БЮД"/>
      <sheetName val="ПЛАН"/>
      <sheetName val="2273"/>
      <sheetName val="2275"/>
      <sheetName val="ТПВ"/>
      <sheetName val="Вода"/>
      <sheetName val="ПОСЛУГИ"/>
      <sheetName val="ПД"/>
      <sheetName val="ПП"/>
      <sheetName val="ПМП"/>
      <sheetName val="ОР"/>
      <sheetName val="ІНШІ"/>
      <sheetName val="Д-МБ"/>
      <sheetName val="Д-НСЗУ"/>
      <sheetName val="Д-ВЛАСНІ"/>
      <sheetName val="ІНМА-власні"/>
    </sheetNames>
    <sheetDataSet>
      <sheetData sheetId="0"/>
      <sheetData sheetId="1"/>
      <sheetData sheetId="2"/>
      <sheetData sheetId="3"/>
      <sheetData sheetId="4"/>
      <sheetData sheetId="5">
        <row r="11">
          <cell r="P11">
            <v>33150517.66</v>
          </cell>
        </row>
      </sheetData>
      <sheetData sheetId="6"/>
      <sheetData sheetId="7">
        <row r="56">
          <cell r="Q56">
            <v>37350</v>
          </cell>
          <cell r="R56">
            <v>3150</v>
          </cell>
          <cell r="S56">
            <v>3410.02</v>
          </cell>
          <cell r="T56">
            <v>7800</v>
          </cell>
          <cell r="U56">
            <v>402963</v>
          </cell>
          <cell r="V56">
            <v>77843.040000000008</v>
          </cell>
          <cell r="W56">
            <v>9399</v>
          </cell>
          <cell r="X56">
            <v>244700</v>
          </cell>
          <cell r="Y56">
            <v>31588</v>
          </cell>
          <cell r="Z56">
            <v>0</v>
          </cell>
          <cell r="AA5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Б"/>
      <sheetName val="БР"/>
      <sheetName val="МІСЦЕВИЙ БЮДЖЕТ"/>
      <sheetName val="2270"/>
      <sheetName val="2273"/>
      <sheetName val="2275"/>
      <sheetName val="ПОСЛУГИ"/>
      <sheetName val="Звіт за ПД Пп"/>
      <sheetName val="БЛАГОДІЙНИЙ"/>
      <sheetName val="Звіт за ПД Бл"/>
      <sheetName val="ЗВЕДЕНА МІСЦЕВІ "/>
      <sheetName val="Д МІСЦЕВІ КОШТИ "/>
      <sheetName val="Д НСЗУ "/>
      <sheetName val="Д COVID-19"/>
      <sheetName val="Спецфонд"/>
      <sheetName val="ПРОДУКТИ ХАРЧУВАННЯ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E33">
            <v>6850</v>
          </cell>
        </row>
        <row r="34">
          <cell r="E34">
            <v>360561.50999999995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ПЛАТИ"/>
      <sheetName val="ДОХІД-ВИТРАТИ"/>
      <sheetName val="УСІ доходи-витрати"/>
      <sheetName val="ЗВЕДЕНІ"/>
      <sheetName val="!!!2021!!!"/>
      <sheetName val="ДОХІД"/>
      <sheetName val="361-1"/>
      <sheetName val="ВИТРАТИ"/>
      <sheetName val="ФОП"/>
      <sheetName val="2210 "/>
      <sheetName val="2220 ЛЗ"/>
      <sheetName val="МВ 2220"/>
      <sheetName val="2230"/>
      <sheetName val="2240"/>
      <sheetName val="2240 ДК"/>
      <sheetName val="2270"/>
      <sheetName val="2730"/>
      <sheetName val="ОСНОВНІ "/>
      <sheetName val="2210 C"/>
      <sheetName val="ЛЗ C"/>
      <sheetName val="МВ C"/>
      <sheetName val="ДЗ C"/>
      <sheetName val="2230 C"/>
      <sheetName val="2240 C"/>
      <sheetName val="2240 ДК C"/>
      <sheetName val="ОЗ-ІНМА"/>
      <sheetName val="31 ПАКЕТ"/>
      <sheetName val="Лист1"/>
      <sheetName val="Лист2"/>
    </sheetNames>
    <sheetDataSet>
      <sheetData sheetId="0"/>
      <sheetData sheetId="1">
        <row r="14">
          <cell r="P14">
            <v>3500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N8">
            <v>751217.5</v>
          </cell>
        </row>
        <row r="9">
          <cell r="N9">
            <v>202276.80999999997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3-24-003253-b" TargetMode="External"/><Relationship Id="rId13" Type="http://schemas.openxmlformats.org/officeDocument/2006/relationships/hyperlink" Target="https://prozorro.gov.ua/tender/UA-2022-01-24-008182-b" TargetMode="External"/><Relationship Id="rId18" Type="http://schemas.openxmlformats.org/officeDocument/2006/relationships/hyperlink" Target="https://prozorro.gov.ua/tender/UA-2022-06-07-006394-a" TargetMode="External"/><Relationship Id="rId26" Type="http://schemas.openxmlformats.org/officeDocument/2006/relationships/hyperlink" Target="https://prozorro.gov.ua/tender/UA-2022-06-15-003675-a" TargetMode="External"/><Relationship Id="rId39" Type="http://schemas.openxmlformats.org/officeDocument/2006/relationships/hyperlink" Target="https://prozorro.gov.ua/tender/UA-2022-09-14-006362-a" TargetMode="External"/><Relationship Id="rId3" Type="http://schemas.openxmlformats.org/officeDocument/2006/relationships/hyperlink" Target="https://prozorro.gov.ua/tender/UA-2022-03-14-000331-a" TargetMode="External"/><Relationship Id="rId21" Type="http://schemas.openxmlformats.org/officeDocument/2006/relationships/hyperlink" Target="https://prozorro.gov.ua/tender/UA-2022-05-20-004091-a" TargetMode="External"/><Relationship Id="rId34" Type="http://schemas.openxmlformats.org/officeDocument/2006/relationships/hyperlink" Target="https://prozorro.gov.ua/tender/UA-2022-09-09-002128-a" TargetMode="External"/><Relationship Id="rId7" Type="http://schemas.openxmlformats.org/officeDocument/2006/relationships/hyperlink" Target="https://prozorro.gov.ua/tender/UA-2022-06-14-003890-a" TargetMode="External"/><Relationship Id="rId12" Type="http://schemas.openxmlformats.org/officeDocument/2006/relationships/hyperlink" Target="https://prozorro.gov.ua/tender/UA-2022-01-24-008182-b" TargetMode="External"/><Relationship Id="rId17" Type="http://schemas.openxmlformats.org/officeDocument/2006/relationships/hyperlink" Target="https://prozorro.gov.ua/tender/UA-2022-06-07-005922-a" TargetMode="External"/><Relationship Id="rId25" Type="http://schemas.openxmlformats.org/officeDocument/2006/relationships/hyperlink" Target="https://prozorro.gov.ua/tender/UA-2022-07-06-007086-a" TargetMode="External"/><Relationship Id="rId33" Type="http://schemas.openxmlformats.org/officeDocument/2006/relationships/hyperlink" Target="https://prozorro.gov.ua/tender/UA-2022-09-05-004174-a" TargetMode="External"/><Relationship Id="rId38" Type="http://schemas.openxmlformats.org/officeDocument/2006/relationships/hyperlink" Target="https://prozorro.gov.ua/tender/UA-2022-09-14-006362-a" TargetMode="External"/><Relationship Id="rId2" Type="http://schemas.openxmlformats.org/officeDocument/2006/relationships/hyperlink" Target="https://prozorro.gov.ua/tender/UA-2022-02-15-004370-b" TargetMode="External"/><Relationship Id="rId16" Type="http://schemas.openxmlformats.org/officeDocument/2006/relationships/hyperlink" Target="https://prozorro.gov.ua/tender/UA-2022-06-07-005589-a" TargetMode="External"/><Relationship Id="rId20" Type="http://schemas.openxmlformats.org/officeDocument/2006/relationships/hyperlink" Target="https://prozorro.gov.ua/tender/UA-2022-05-23-004244-a" TargetMode="External"/><Relationship Id="rId29" Type="http://schemas.openxmlformats.org/officeDocument/2006/relationships/hyperlink" Target="https://prozorro.gov.ua/tender/UA-2022-07-19-007714-a" TargetMode="External"/><Relationship Id="rId1" Type="http://schemas.openxmlformats.org/officeDocument/2006/relationships/hyperlink" Target="https://prozorro.gov.ua/tender/UA-2022-05-27-002362-a" TargetMode="External"/><Relationship Id="rId6" Type="http://schemas.openxmlformats.org/officeDocument/2006/relationships/hyperlink" Target="https://prozorro.gov.ua/tender/UA-2022-06-15-004172-a" TargetMode="External"/><Relationship Id="rId11" Type="http://schemas.openxmlformats.org/officeDocument/2006/relationships/hyperlink" Target="https://prozorro.gov.ua/tender/UA-2022-01-24-008182-b" TargetMode="External"/><Relationship Id="rId24" Type="http://schemas.openxmlformats.org/officeDocument/2006/relationships/hyperlink" Target="https://prozorro.gov.ua/tender/UA-2022-06-16-005707-a" TargetMode="External"/><Relationship Id="rId32" Type="http://schemas.openxmlformats.org/officeDocument/2006/relationships/hyperlink" Target="https://prozorro.gov.ua/tender/UA-2022-09-06-009534-a" TargetMode="External"/><Relationship Id="rId37" Type="http://schemas.openxmlformats.org/officeDocument/2006/relationships/hyperlink" Target="https://prozorro.gov.ua/tender/UA-2022-09-14-004822-a" TargetMode="External"/><Relationship Id="rId5" Type="http://schemas.openxmlformats.org/officeDocument/2006/relationships/hyperlink" Target="https://prozorro.gov.ua/tender/UA-2022-04-20-000925-a" TargetMode="External"/><Relationship Id="rId15" Type="http://schemas.openxmlformats.org/officeDocument/2006/relationships/hyperlink" Target="https://prozorro.gov.ua/tender/UA-2022-05-20-003869-a" TargetMode="External"/><Relationship Id="rId23" Type="http://schemas.openxmlformats.org/officeDocument/2006/relationships/hyperlink" Target="https://prozorro.gov.ua/tender/UA-2022-06-23-002141-a" TargetMode="External"/><Relationship Id="rId28" Type="http://schemas.openxmlformats.org/officeDocument/2006/relationships/hyperlink" Target="https://prozorro.gov.ua/tender/UA-2022-07-19-007714-a" TargetMode="External"/><Relationship Id="rId36" Type="http://schemas.openxmlformats.org/officeDocument/2006/relationships/hyperlink" Target="https://prozorro.gov.ua/tender/UA-2022-09-14-004822-a" TargetMode="External"/><Relationship Id="rId10" Type="http://schemas.openxmlformats.org/officeDocument/2006/relationships/hyperlink" Target="https://prozorro.gov.ua/tender/UA-2022-03-24-003253-b" TargetMode="External"/><Relationship Id="rId19" Type="http://schemas.openxmlformats.org/officeDocument/2006/relationships/hyperlink" Target="https://prozorro.gov.ua/tender/UA-2022-06-09-002320-a" TargetMode="External"/><Relationship Id="rId31" Type="http://schemas.openxmlformats.org/officeDocument/2006/relationships/hyperlink" Target="https://prozorro.gov.ua/tender/UA-2022-08-09-003416-a" TargetMode="External"/><Relationship Id="rId4" Type="http://schemas.openxmlformats.org/officeDocument/2006/relationships/hyperlink" Target="https://prozorro.gov.ua/tender/UA-2022-01-26-008402-b" TargetMode="External"/><Relationship Id="rId9" Type="http://schemas.openxmlformats.org/officeDocument/2006/relationships/hyperlink" Target="https://prozorro.gov.ua/tender/UA-2022-03-24-003253-b" TargetMode="External"/><Relationship Id="rId14" Type="http://schemas.openxmlformats.org/officeDocument/2006/relationships/hyperlink" Target="https://prozorro.gov.ua/tender/UA-2022-01-24-008182-b" TargetMode="External"/><Relationship Id="rId22" Type="http://schemas.openxmlformats.org/officeDocument/2006/relationships/hyperlink" Target="https://prozorro.gov.ua/tender/UA-2022-03-24-003253-b" TargetMode="External"/><Relationship Id="rId27" Type="http://schemas.openxmlformats.org/officeDocument/2006/relationships/hyperlink" Target="https://prozorro.gov.ua/tender/UA-2022-08-02-007330-a" TargetMode="External"/><Relationship Id="rId30" Type="http://schemas.openxmlformats.org/officeDocument/2006/relationships/hyperlink" Target="https://prozorro.gov.ua/tender/UA-2022-08-09-003416-a" TargetMode="External"/><Relationship Id="rId35" Type="http://schemas.openxmlformats.org/officeDocument/2006/relationships/hyperlink" Target="https://prozorro.gov.ua/tender/UA-2022-09-06-009534-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U366"/>
  <sheetViews>
    <sheetView showGridLines="0" tabSelected="1" view="pageBreakPreview" zoomScale="70" zoomScaleNormal="75" zoomScaleSheetLayoutView="70" workbookViewId="0">
      <selection activeCell="V34" sqref="V34"/>
    </sheetView>
  </sheetViews>
  <sheetFormatPr defaultColWidth="93.140625" defaultRowHeight="18.75"/>
  <cols>
    <col min="1" max="1" width="7.28515625" style="2" customWidth="1"/>
    <col min="2" max="2" width="91" style="2" customWidth="1"/>
    <col min="3" max="3" width="13.42578125" style="3" bestFit="1" customWidth="1"/>
    <col min="4" max="4" width="18.140625" style="3" hidden="1" customWidth="1"/>
    <col min="5" max="5" width="22.7109375" style="3" customWidth="1"/>
    <col min="6" max="6" width="17.7109375" style="3" hidden="1" customWidth="1"/>
    <col min="7" max="7" width="22.7109375" style="2" customWidth="1"/>
    <col min="8" max="11" width="17.7109375" style="2" customWidth="1"/>
    <col min="12" max="12" width="91" style="2" hidden="1" customWidth="1"/>
    <col min="13" max="13" width="13.42578125" style="3" hidden="1" customWidth="1"/>
    <col min="14" max="14" width="18.140625" style="3" hidden="1" customWidth="1"/>
    <col min="15" max="15" width="22.7109375" style="3" hidden="1" customWidth="1"/>
    <col min="16" max="16" width="17.7109375" style="3" hidden="1" customWidth="1"/>
    <col min="17" max="17" width="22.7109375" style="2" hidden="1" customWidth="1"/>
    <col min="18" max="21" width="17.7109375" style="2" hidden="1" customWidth="1"/>
    <col min="22" max="238" width="9.140625" style="2" customWidth="1"/>
    <col min="239" max="16384" width="93.140625" style="2"/>
  </cols>
  <sheetData>
    <row r="1" spans="2:21" s="1" customFormat="1" ht="20.25">
      <c r="B1" s="877"/>
      <c r="C1" s="371"/>
      <c r="D1" s="371"/>
      <c r="E1" s="371"/>
      <c r="F1" s="371"/>
      <c r="G1" s="371"/>
      <c r="L1" s="877"/>
      <c r="M1" s="371"/>
      <c r="N1" s="371"/>
      <c r="O1" s="371"/>
      <c r="P1" s="371"/>
      <c r="Q1" s="371"/>
    </row>
    <row r="2" spans="2:21" s="1" customFormat="1" ht="20.25">
      <c r="B2" s="877"/>
      <c r="C2" s="371" t="s">
        <v>14</v>
      </c>
      <c r="D2" s="371"/>
      <c r="E2" s="371"/>
      <c r="F2" s="371"/>
      <c r="G2" s="371"/>
      <c r="H2" s="898" t="s">
        <v>343</v>
      </c>
      <c r="I2" s="899"/>
      <c r="J2" s="898"/>
      <c r="K2" s="898"/>
      <c r="L2" s="877"/>
      <c r="M2" s="371" t="s">
        <v>14</v>
      </c>
      <c r="N2" s="371"/>
      <c r="O2" s="371"/>
      <c r="P2" s="371"/>
      <c r="Q2" s="371"/>
      <c r="R2" s="898" t="s">
        <v>343</v>
      </c>
      <c r="S2" s="899"/>
      <c r="T2" s="898"/>
      <c r="U2" s="898"/>
    </row>
    <row r="3" spans="2:21" s="1" customFormat="1" ht="20.25">
      <c r="B3" s="877"/>
      <c r="C3" s="371"/>
      <c r="D3" s="371"/>
      <c r="E3" s="371"/>
      <c r="F3" s="371"/>
      <c r="G3" s="371"/>
      <c r="H3" s="1" t="s">
        <v>339</v>
      </c>
      <c r="J3" s="135"/>
      <c r="K3" s="135"/>
      <c r="L3" s="877"/>
      <c r="M3" s="371"/>
      <c r="N3" s="371"/>
      <c r="O3" s="371"/>
      <c r="P3" s="371"/>
      <c r="Q3" s="371"/>
      <c r="R3" s="1" t="s">
        <v>339</v>
      </c>
      <c r="T3" s="135"/>
      <c r="U3" s="135"/>
    </row>
    <row r="4" spans="2:21" s="1" customFormat="1" ht="20.25">
      <c r="B4" s="877"/>
      <c r="C4" s="371"/>
      <c r="D4" s="371"/>
      <c r="E4" s="371"/>
      <c r="F4" s="371"/>
      <c r="G4" s="371"/>
      <c r="H4" s="1" t="s">
        <v>359</v>
      </c>
      <c r="J4" s="135"/>
      <c r="K4" s="135"/>
      <c r="L4" s="877"/>
      <c r="M4" s="371"/>
      <c r="N4" s="371"/>
      <c r="O4" s="371"/>
      <c r="P4" s="371"/>
      <c r="Q4" s="371"/>
      <c r="R4" s="1" t="s">
        <v>342</v>
      </c>
      <c r="T4" s="135"/>
      <c r="U4" s="135"/>
    </row>
    <row r="5" spans="2:21" s="1" customFormat="1" ht="20.25">
      <c r="B5" s="878"/>
      <c r="C5" s="2"/>
      <c r="D5" s="2"/>
      <c r="E5" s="2"/>
      <c r="F5" s="2"/>
      <c r="G5" s="2"/>
      <c r="H5" s="900" t="s">
        <v>1222</v>
      </c>
      <c r="I5" s="901"/>
      <c r="J5" s="900"/>
      <c r="K5" s="900"/>
      <c r="L5" s="878"/>
      <c r="M5" s="2"/>
      <c r="N5" s="2"/>
      <c r="O5" s="2"/>
      <c r="P5" s="2"/>
      <c r="Q5" s="2"/>
      <c r="R5" s="900" t="s">
        <v>1222</v>
      </c>
      <c r="S5" s="901"/>
      <c r="T5" s="900"/>
      <c r="U5" s="900"/>
    </row>
    <row r="6" spans="2:21" s="1" customFormat="1" ht="20.25">
      <c r="B6" s="877"/>
      <c r="C6" s="371"/>
      <c r="D6" s="371"/>
      <c r="E6" s="371"/>
      <c r="F6" s="371"/>
      <c r="G6" s="371"/>
      <c r="H6" s="899" t="s">
        <v>17</v>
      </c>
      <c r="I6" s="899"/>
      <c r="J6" s="899"/>
      <c r="K6" s="899"/>
      <c r="L6" s="877"/>
      <c r="M6" s="371"/>
      <c r="N6" s="371"/>
      <c r="O6" s="371"/>
      <c r="P6" s="371"/>
      <c r="Q6" s="371"/>
      <c r="R6" s="899" t="s">
        <v>17</v>
      </c>
      <c r="S6" s="899"/>
      <c r="T6" s="899"/>
      <c r="U6" s="899"/>
    </row>
    <row r="7" spans="2:21" s="1" customFormat="1" ht="20.25">
      <c r="B7" s="879"/>
      <c r="C7" s="371"/>
      <c r="D7" s="371"/>
      <c r="E7" s="371"/>
      <c r="F7" s="371"/>
      <c r="G7" s="371"/>
      <c r="H7" s="922"/>
      <c r="I7" s="901"/>
      <c r="J7" s="921" t="s">
        <v>1223</v>
      </c>
      <c r="K7" s="900"/>
      <c r="L7" s="879"/>
      <c r="M7" s="371"/>
      <c r="N7" s="371"/>
      <c r="O7" s="371"/>
      <c r="P7" s="371"/>
      <c r="Q7" s="371"/>
      <c r="R7" s="922"/>
      <c r="S7" s="901"/>
      <c r="T7" s="921" t="s">
        <v>1223</v>
      </c>
      <c r="U7" s="900"/>
    </row>
    <row r="8" spans="2:21" ht="19.5">
      <c r="B8" s="136"/>
      <c r="H8" s="899" t="s">
        <v>340</v>
      </c>
      <c r="I8" s="899"/>
      <c r="J8" s="899"/>
      <c r="K8" s="899"/>
      <c r="L8" s="136"/>
      <c r="R8" s="899" t="s">
        <v>340</v>
      </c>
      <c r="S8" s="899"/>
      <c r="T8" s="899"/>
      <c r="U8" s="899"/>
    </row>
    <row r="9" spans="2:21" ht="19.5">
      <c r="H9" s="900"/>
      <c r="I9" s="901"/>
      <c r="J9" s="900"/>
      <c r="K9" s="898"/>
      <c r="R9" s="900"/>
      <c r="S9" s="901"/>
      <c r="T9" s="900"/>
      <c r="U9" s="898"/>
    </row>
    <row r="10" spans="2:21" ht="19.5">
      <c r="H10" s="902" t="s">
        <v>18</v>
      </c>
      <c r="I10" s="902"/>
      <c r="J10" s="902"/>
      <c r="K10" s="898"/>
      <c r="R10" s="902" t="s">
        <v>18</v>
      </c>
      <c r="S10" s="902"/>
      <c r="T10" s="902"/>
      <c r="U10" s="898"/>
    </row>
    <row r="12" spans="2:21">
      <c r="I12" s="1043" t="s">
        <v>19</v>
      </c>
      <c r="J12" s="1043"/>
      <c r="K12" s="764"/>
      <c r="S12" s="1043" t="s">
        <v>19</v>
      </c>
      <c r="T12" s="1043"/>
      <c r="U12" s="764" t="s">
        <v>112</v>
      </c>
    </row>
    <row r="13" spans="2:21">
      <c r="I13" s="1043" t="s">
        <v>20</v>
      </c>
      <c r="J13" s="1043"/>
      <c r="K13" s="764"/>
      <c r="S13" s="1043" t="s">
        <v>20</v>
      </c>
      <c r="T13" s="1043"/>
      <c r="U13" s="764" t="s">
        <v>112</v>
      </c>
    </row>
    <row r="14" spans="2:21">
      <c r="I14" s="1043" t="s">
        <v>21</v>
      </c>
      <c r="J14" s="1043"/>
      <c r="K14" s="764"/>
      <c r="S14" s="1043" t="s">
        <v>21</v>
      </c>
      <c r="T14" s="1043"/>
      <c r="U14" s="764"/>
    </row>
    <row r="15" spans="2:21" ht="19.5">
      <c r="I15" s="1056" t="s">
        <v>22</v>
      </c>
      <c r="J15" s="1056"/>
      <c r="K15" s="1031" t="s">
        <v>112</v>
      </c>
      <c r="S15" s="1043" t="s">
        <v>22</v>
      </c>
      <c r="T15" s="1043"/>
      <c r="U15" s="764"/>
    </row>
    <row r="16" spans="2:21">
      <c r="I16" s="1040" t="s">
        <v>23</v>
      </c>
      <c r="J16" s="1040"/>
      <c r="K16" s="1040"/>
      <c r="S16" s="1040" t="s">
        <v>23</v>
      </c>
      <c r="T16" s="1040"/>
      <c r="U16" s="1040"/>
    </row>
    <row r="18" spans="2:21">
      <c r="B18" s="905" t="s">
        <v>24</v>
      </c>
      <c r="C18" s="1051">
        <v>2022</v>
      </c>
      <c r="D18" s="1052"/>
      <c r="E18" s="1052"/>
      <c r="F18" s="1052"/>
      <c r="G18" s="1052"/>
      <c r="H18" s="1053"/>
      <c r="I18" s="1040" t="s">
        <v>25</v>
      </c>
      <c r="J18" s="1040"/>
      <c r="K18" s="1040"/>
      <c r="L18" s="905" t="s">
        <v>24</v>
      </c>
      <c r="M18" s="906"/>
      <c r="N18" s="880"/>
      <c r="O18" s="880"/>
      <c r="P18" s="880"/>
      <c r="Q18" s="880"/>
      <c r="R18" s="906">
        <v>2022</v>
      </c>
      <c r="S18" s="1040" t="s">
        <v>25</v>
      </c>
      <c r="T18" s="1040"/>
      <c r="U18" s="1040"/>
    </row>
    <row r="19" spans="2:21" ht="37.5" customHeight="1">
      <c r="B19" s="7" t="s">
        <v>125</v>
      </c>
      <c r="C19" s="1044" t="s">
        <v>262</v>
      </c>
      <c r="D19" s="1044"/>
      <c r="E19" s="1044"/>
      <c r="F19" s="1044"/>
      <c r="G19" s="1045"/>
      <c r="H19" s="1045"/>
      <c r="I19" s="1043" t="s">
        <v>26</v>
      </c>
      <c r="J19" s="1043"/>
      <c r="K19" s="903" t="s">
        <v>1218</v>
      </c>
      <c r="L19" s="7" t="s">
        <v>125</v>
      </c>
      <c r="M19" s="1044" t="s">
        <v>262</v>
      </c>
      <c r="N19" s="1044"/>
      <c r="O19" s="1044"/>
      <c r="P19" s="1044"/>
      <c r="Q19" s="1045"/>
      <c r="R19" s="1045"/>
      <c r="S19" s="1043" t="s">
        <v>26</v>
      </c>
      <c r="T19" s="1043"/>
      <c r="U19" s="903" t="s">
        <v>1218</v>
      </c>
    </row>
    <row r="20" spans="2:21" ht="20.25" customHeight="1">
      <c r="B20" s="7" t="s">
        <v>27</v>
      </c>
      <c r="C20" s="1044" t="s">
        <v>1214</v>
      </c>
      <c r="D20" s="1044"/>
      <c r="E20" s="1044"/>
      <c r="F20" s="1044"/>
      <c r="G20" s="1047"/>
      <c r="H20" s="1047"/>
      <c r="I20" s="1043" t="s">
        <v>28</v>
      </c>
      <c r="J20" s="1043"/>
      <c r="K20" s="764">
        <v>150</v>
      </c>
      <c r="L20" s="7" t="s">
        <v>27</v>
      </c>
      <c r="M20" s="1044" t="s">
        <v>1214</v>
      </c>
      <c r="N20" s="1044"/>
      <c r="O20" s="1044"/>
      <c r="P20" s="1044"/>
      <c r="Q20" s="1047"/>
      <c r="R20" s="1047"/>
      <c r="S20" s="1043" t="s">
        <v>28</v>
      </c>
      <c r="T20" s="1043"/>
      <c r="U20" s="764">
        <v>150</v>
      </c>
    </row>
    <row r="21" spans="2:21" ht="20.25" customHeight="1">
      <c r="B21" s="7" t="s">
        <v>29</v>
      </c>
      <c r="C21" s="1044" t="s">
        <v>1217</v>
      </c>
      <c r="D21" s="1044"/>
      <c r="E21" s="1044"/>
      <c r="F21" s="1044"/>
      <c r="G21" s="1045"/>
      <c r="H21" s="1045"/>
      <c r="I21" s="1043" t="s">
        <v>30</v>
      </c>
      <c r="J21" s="1043"/>
      <c r="K21" s="903" t="s">
        <v>1219</v>
      </c>
      <c r="L21" s="7" t="s">
        <v>29</v>
      </c>
      <c r="M21" s="1044" t="s">
        <v>1217</v>
      </c>
      <c r="N21" s="1044"/>
      <c r="O21" s="1044"/>
      <c r="P21" s="1044"/>
      <c r="Q21" s="1045"/>
      <c r="R21" s="1045"/>
      <c r="S21" s="1043" t="s">
        <v>30</v>
      </c>
      <c r="T21" s="1043"/>
      <c r="U21" s="903" t="s">
        <v>1219</v>
      </c>
    </row>
    <row r="22" spans="2:21" ht="18.75" customHeight="1">
      <c r="B22" s="7" t="s">
        <v>1205</v>
      </c>
      <c r="C22" s="1044" t="s">
        <v>1215</v>
      </c>
      <c r="D22" s="1044"/>
      <c r="E22" s="1044"/>
      <c r="F22" s="1044"/>
      <c r="G22" s="1045"/>
      <c r="H22" s="1045"/>
      <c r="I22" s="1043" t="s">
        <v>1216</v>
      </c>
      <c r="J22" s="1043"/>
      <c r="K22" s="764">
        <v>17184</v>
      </c>
      <c r="L22" s="7" t="s">
        <v>1205</v>
      </c>
      <c r="M22" s="1044" t="s">
        <v>1215</v>
      </c>
      <c r="N22" s="1044"/>
      <c r="O22" s="1044"/>
      <c r="P22" s="1044"/>
      <c r="Q22" s="1045"/>
      <c r="R22" s="1045"/>
      <c r="S22" s="1043" t="s">
        <v>1216</v>
      </c>
      <c r="T22" s="1043"/>
      <c r="U22" s="764">
        <v>17184</v>
      </c>
    </row>
    <row r="23" spans="2:21">
      <c r="B23" s="7" t="s">
        <v>31</v>
      </c>
      <c r="C23" s="1044"/>
      <c r="D23" s="1044"/>
      <c r="E23" s="1044"/>
      <c r="F23" s="1044"/>
      <c r="G23" s="1045"/>
      <c r="H23" s="1045"/>
      <c r="I23" s="1043" t="s">
        <v>32</v>
      </c>
      <c r="J23" s="1043"/>
      <c r="K23" s="764"/>
      <c r="L23" s="7" t="s">
        <v>31</v>
      </c>
      <c r="M23" s="1044"/>
      <c r="N23" s="1044"/>
      <c r="O23" s="1044"/>
      <c r="P23" s="1044"/>
      <c r="Q23" s="1045"/>
      <c r="R23" s="1045"/>
      <c r="S23" s="1043" t="s">
        <v>32</v>
      </c>
      <c r="T23" s="1043"/>
      <c r="U23" s="764"/>
    </row>
    <row r="24" spans="2:21" ht="20.25" customHeight="1">
      <c r="B24" s="7" t="s">
        <v>33</v>
      </c>
      <c r="C24" s="1041" t="s">
        <v>247</v>
      </c>
      <c r="D24" s="1041"/>
      <c r="E24" s="1041"/>
      <c r="F24" s="1041"/>
      <c r="G24" s="1041"/>
      <c r="H24" s="1045"/>
      <c r="I24" s="1043" t="s">
        <v>34</v>
      </c>
      <c r="J24" s="1043"/>
      <c r="K24" s="764" t="s">
        <v>251</v>
      </c>
      <c r="L24" s="7" t="s">
        <v>33</v>
      </c>
      <c r="M24" s="1041" t="s">
        <v>247</v>
      </c>
      <c r="N24" s="1041"/>
      <c r="O24" s="1041"/>
      <c r="P24" s="1041"/>
      <c r="Q24" s="1041"/>
      <c r="R24" s="1045"/>
      <c r="S24" s="1043" t="s">
        <v>34</v>
      </c>
      <c r="T24" s="1043"/>
      <c r="U24" s="764" t="s">
        <v>251</v>
      </c>
    </row>
    <row r="25" spans="2:21">
      <c r="B25" s="7" t="s">
        <v>35</v>
      </c>
      <c r="C25" s="1041" t="s">
        <v>992</v>
      </c>
      <c r="D25" s="1041"/>
      <c r="E25" s="1041"/>
      <c r="F25" s="1041"/>
      <c r="G25" s="1041"/>
      <c r="H25" s="1045"/>
      <c r="I25" s="34"/>
      <c r="J25" s="34"/>
      <c r="K25" s="34"/>
      <c r="L25" s="7" t="s">
        <v>35</v>
      </c>
      <c r="M25" s="1041" t="s">
        <v>1220</v>
      </c>
      <c r="N25" s="1041"/>
      <c r="O25" s="1041"/>
      <c r="P25" s="1041"/>
      <c r="Q25" s="1041"/>
      <c r="R25" s="1045"/>
      <c r="S25" s="34"/>
      <c r="T25" s="34"/>
      <c r="U25" s="34"/>
    </row>
    <row r="26" spans="2:21" ht="18.75" customHeight="1">
      <c r="B26" s="7" t="s">
        <v>37</v>
      </c>
      <c r="C26" s="1041" t="s">
        <v>248</v>
      </c>
      <c r="D26" s="1041"/>
      <c r="E26" s="1041"/>
      <c r="F26" s="1041"/>
      <c r="G26" s="1041"/>
      <c r="H26" s="1047"/>
      <c r="I26" s="34"/>
      <c r="J26" s="34"/>
      <c r="K26" s="34"/>
      <c r="L26" s="7" t="s">
        <v>37</v>
      </c>
      <c r="M26" s="1041" t="s">
        <v>248</v>
      </c>
      <c r="N26" s="1041"/>
      <c r="O26" s="1041"/>
      <c r="P26" s="1041"/>
      <c r="Q26" s="1041"/>
      <c r="R26" s="1047"/>
      <c r="S26" s="34"/>
      <c r="T26" s="34"/>
      <c r="U26" s="34"/>
    </row>
    <row r="27" spans="2:21" ht="21" customHeight="1">
      <c r="B27" s="7" t="s">
        <v>38</v>
      </c>
      <c r="C27" s="1048">
        <v>218</v>
      </c>
      <c r="D27" s="1048"/>
      <c r="E27" s="1048"/>
      <c r="F27" s="1048"/>
      <c r="G27" s="1048"/>
      <c r="H27" s="1044"/>
      <c r="I27" s="1041" t="s">
        <v>39</v>
      </c>
      <c r="J27" s="1041"/>
      <c r="K27" s="765"/>
      <c r="L27" s="7" t="s">
        <v>38</v>
      </c>
      <c r="M27" s="1048">
        <v>218</v>
      </c>
      <c r="N27" s="1048"/>
      <c r="O27" s="1048"/>
      <c r="P27" s="1048"/>
      <c r="Q27" s="1048"/>
      <c r="R27" s="1044"/>
      <c r="S27" s="1041" t="s">
        <v>39</v>
      </c>
      <c r="T27" s="1041"/>
      <c r="U27" s="765"/>
    </row>
    <row r="28" spans="2:21" ht="18.75" customHeight="1">
      <c r="B28" s="7" t="s">
        <v>40</v>
      </c>
      <c r="C28" s="1055" t="s">
        <v>249</v>
      </c>
      <c r="D28" s="1055"/>
      <c r="E28" s="1055"/>
      <c r="F28" s="1055"/>
      <c r="G28" s="1055"/>
      <c r="H28" s="1055"/>
      <c r="I28" s="1041" t="s">
        <v>41</v>
      </c>
      <c r="J28" s="1041"/>
      <c r="K28" s="880"/>
      <c r="L28" s="7" t="s">
        <v>40</v>
      </c>
      <c r="M28" s="1055" t="s">
        <v>249</v>
      </c>
      <c r="N28" s="1055"/>
      <c r="O28" s="1055"/>
      <c r="P28" s="1055"/>
      <c r="Q28" s="1055"/>
      <c r="R28" s="1055"/>
      <c r="S28" s="1041" t="s">
        <v>41</v>
      </c>
      <c r="T28" s="1041"/>
      <c r="U28" s="880"/>
    </row>
    <row r="29" spans="2:21" ht="18.75" customHeight="1">
      <c r="B29" s="7" t="s">
        <v>42</v>
      </c>
      <c r="C29" s="1041" t="s">
        <v>870</v>
      </c>
      <c r="D29" s="1041"/>
      <c r="E29" s="1041"/>
      <c r="F29" s="1041"/>
      <c r="G29" s="1041"/>
      <c r="H29" s="1042"/>
      <c r="I29" s="880"/>
      <c r="J29" s="880"/>
      <c r="K29" s="880"/>
      <c r="L29" s="7" t="s">
        <v>42</v>
      </c>
      <c r="M29" s="1041" t="s">
        <v>870</v>
      </c>
      <c r="N29" s="1041"/>
      <c r="O29" s="1041"/>
      <c r="P29" s="1041"/>
      <c r="Q29" s="1041"/>
      <c r="R29" s="1042"/>
      <c r="S29" s="880"/>
      <c r="T29" s="880"/>
      <c r="U29" s="880"/>
    </row>
    <row r="30" spans="2:21" ht="18.75" customHeight="1">
      <c r="B30" s="7" t="s">
        <v>126</v>
      </c>
      <c r="C30" s="1041" t="s">
        <v>250</v>
      </c>
      <c r="D30" s="1041"/>
      <c r="E30" s="1041"/>
      <c r="F30" s="1041"/>
      <c r="G30" s="1041"/>
      <c r="H30" s="1042"/>
      <c r="I30" s="34"/>
      <c r="J30" s="34"/>
      <c r="K30" s="34"/>
      <c r="L30" s="7" t="s">
        <v>126</v>
      </c>
      <c r="M30" s="1041" t="s">
        <v>250</v>
      </c>
      <c r="N30" s="1041"/>
      <c r="O30" s="1041"/>
      <c r="P30" s="1041"/>
      <c r="Q30" s="1041"/>
      <c r="R30" s="1042"/>
      <c r="S30" s="34"/>
      <c r="T30" s="34"/>
      <c r="U30" s="34"/>
    </row>
    <row r="32" spans="2:21" ht="21.75">
      <c r="B32" s="1046" t="s">
        <v>985</v>
      </c>
      <c r="C32" s="1046"/>
      <c r="D32" s="1046"/>
      <c r="E32" s="1046"/>
      <c r="F32" s="1046"/>
      <c r="G32" s="1046"/>
      <c r="H32" s="1046"/>
      <c r="I32" s="1046"/>
      <c r="J32" s="1046"/>
      <c r="K32" s="1046"/>
      <c r="L32" s="1046" t="s">
        <v>985</v>
      </c>
      <c r="M32" s="1046"/>
      <c r="N32" s="1046"/>
      <c r="O32" s="1046"/>
      <c r="P32" s="1046"/>
      <c r="Q32" s="1046"/>
      <c r="R32" s="1046"/>
      <c r="S32" s="1046"/>
      <c r="T32" s="1046"/>
      <c r="U32" s="1046"/>
    </row>
    <row r="33" spans="2:21">
      <c r="B33" s="4"/>
      <c r="C33" s="36"/>
      <c r="D33" s="4"/>
      <c r="E33" s="4"/>
      <c r="F33" s="4"/>
      <c r="G33" s="4"/>
      <c r="H33" s="4"/>
      <c r="I33" s="4"/>
      <c r="J33" s="4"/>
      <c r="K33" s="4"/>
      <c r="L33" s="4"/>
      <c r="M33" s="36"/>
      <c r="N33" s="4"/>
      <c r="O33" s="4"/>
      <c r="P33" s="4"/>
      <c r="Q33" s="4"/>
      <c r="R33" s="4"/>
      <c r="S33" s="4"/>
      <c r="T33" s="4"/>
      <c r="U33" s="4"/>
    </row>
    <row r="34" spans="2:21" ht="57" customHeight="1">
      <c r="B34" s="1040" t="s">
        <v>43</v>
      </c>
      <c r="C34" s="1036" t="s">
        <v>44</v>
      </c>
      <c r="D34" s="1036" t="s">
        <v>1204</v>
      </c>
      <c r="E34" s="1036" t="s">
        <v>121</v>
      </c>
      <c r="F34" s="1036" t="s">
        <v>45</v>
      </c>
      <c r="G34" s="1036" t="s">
        <v>46</v>
      </c>
      <c r="H34" s="1036" t="s">
        <v>122</v>
      </c>
      <c r="I34" s="1036"/>
      <c r="J34" s="1036"/>
      <c r="K34" s="1036"/>
      <c r="L34" s="1040" t="s">
        <v>43</v>
      </c>
      <c r="M34" s="1036" t="s">
        <v>44</v>
      </c>
      <c r="N34" s="1036" t="s">
        <v>1204</v>
      </c>
      <c r="O34" s="1036" t="s">
        <v>121</v>
      </c>
      <c r="P34" s="1036" t="s">
        <v>45</v>
      </c>
      <c r="Q34" s="1036" t="s">
        <v>46</v>
      </c>
      <c r="R34" s="1036" t="s">
        <v>122</v>
      </c>
      <c r="S34" s="1036"/>
      <c r="T34" s="1036"/>
      <c r="U34" s="1036"/>
    </row>
    <row r="35" spans="2:21" ht="57" customHeight="1">
      <c r="B35" s="1040"/>
      <c r="C35" s="1036"/>
      <c r="D35" s="1036"/>
      <c r="E35" s="1036"/>
      <c r="F35" s="1036"/>
      <c r="G35" s="1036"/>
      <c r="H35" s="5" t="s">
        <v>47</v>
      </c>
      <c r="I35" s="5" t="s">
        <v>48</v>
      </c>
      <c r="J35" s="5" t="s">
        <v>49</v>
      </c>
      <c r="K35" s="5" t="s">
        <v>50</v>
      </c>
      <c r="L35" s="1040"/>
      <c r="M35" s="1036"/>
      <c r="N35" s="1036"/>
      <c r="O35" s="1036"/>
      <c r="P35" s="1036"/>
      <c r="Q35" s="1036"/>
      <c r="R35" s="5" t="s">
        <v>47</v>
      </c>
      <c r="S35" s="5" t="s">
        <v>48</v>
      </c>
      <c r="T35" s="5" t="s">
        <v>49</v>
      </c>
      <c r="U35" s="5" t="s">
        <v>50</v>
      </c>
    </row>
    <row r="36" spans="2:21" ht="18" customHeight="1">
      <c r="B36" s="764">
        <v>1</v>
      </c>
      <c r="C36" s="765">
        <v>2</v>
      </c>
      <c r="D36" s="765"/>
      <c r="E36" s="765">
        <v>3</v>
      </c>
      <c r="F36" s="765"/>
      <c r="G36" s="765">
        <v>4</v>
      </c>
      <c r="H36" s="765">
        <v>5</v>
      </c>
      <c r="I36" s="765">
        <v>6</v>
      </c>
      <c r="J36" s="765">
        <v>7</v>
      </c>
      <c r="K36" s="765">
        <v>8</v>
      </c>
      <c r="L36" s="764">
        <v>1</v>
      </c>
      <c r="M36" s="765">
        <v>2</v>
      </c>
      <c r="N36" s="765"/>
      <c r="O36" s="765">
        <v>3</v>
      </c>
      <c r="P36" s="765"/>
      <c r="Q36" s="765">
        <v>4</v>
      </c>
      <c r="R36" s="765">
        <v>5</v>
      </c>
      <c r="S36" s="765">
        <v>6</v>
      </c>
      <c r="T36" s="765">
        <v>7</v>
      </c>
      <c r="U36" s="765">
        <v>8</v>
      </c>
    </row>
    <row r="37" spans="2:21">
      <c r="B37" s="1032" t="s">
        <v>123</v>
      </c>
      <c r="C37" s="1032"/>
      <c r="D37" s="1032"/>
      <c r="E37" s="1032"/>
      <c r="F37" s="1032"/>
      <c r="G37" s="1032"/>
      <c r="H37" s="1032"/>
      <c r="I37" s="1032"/>
      <c r="J37" s="1032"/>
      <c r="K37" s="1032"/>
      <c r="L37" s="1032" t="s">
        <v>123</v>
      </c>
      <c r="M37" s="1032"/>
      <c r="N37" s="1032"/>
      <c r="O37" s="1032"/>
      <c r="P37" s="1032"/>
      <c r="Q37" s="1032"/>
      <c r="R37" s="1032"/>
      <c r="S37" s="1032"/>
      <c r="T37" s="1032"/>
      <c r="U37" s="1032"/>
    </row>
    <row r="38" spans="2:21" s="6" customFormat="1">
      <c r="B38" s="1032" t="s">
        <v>51</v>
      </c>
      <c r="C38" s="1032"/>
      <c r="D38" s="1032"/>
      <c r="E38" s="1032"/>
      <c r="F38" s="1032"/>
      <c r="G38" s="1032"/>
      <c r="H38" s="1032"/>
      <c r="I38" s="1032"/>
      <c r="J38" s="1032"/>
      <c r="K38" s="1032"/>
      <c r="L38" s="1032" t="s">
        <v>51</v>
      </c>
      <c r="M38" s="1032"/>
      <c r="N38" s="1032"/>
      <c r="O38" s="1032"/>
      <c r="P38" s="1032"/>
      <c r="Q38" s="1032"/>
      <c r="R38" s="1032"/>
      <c r="S38" s="1032"/>
      <c r="T38" s="1032"/>
      <c r="U38" s="1032"/>
    </row>
    <row r="39" spans="2:21" s="6" customFormat="1">
      <c r="B39" s="887" t="s">
        <v>52</v>
      </c>
      <c r="C39" s="891">
        <v>1010</v>
      </c>
      <c r="D39" s="892"/>
      <c r="E39" s="21">
        <f>G39</f>
        <v>55273859.544478521</v>
      </c>
      <c r="F39" s="21">
        <f>E39</f>
        <v>55273859.544478521</v>
      </c>
      <c r="G39" s="894">
        <f t="shared" ref="G39:G50" si="0">H39+I39+J39+K39</f>
        <v>55273859.544478521</v>
      </c>
      <c r="H39" s="894">
        <f ca="1">Доходи!D4+Доходи!D33+Доходи!D34</f>
        <v>13857058.433181781</v>
      </c>
      <c r="I39" s="894">
        <f ca="1">Доходи!E4+Доходи!E33+Доходи!E34</f>
        <v>13828301.588506754</v>
      </c>
      <c r="J39" s="894">
        <f ca="1">Доходи!F4+Доходи!F33+Доходи!F34</f>
        <v>13679000</v>
      </c>
      <c r="K39" s="894">
        <f ca="1">Доходи!G4+Доходи!G33+Доходи!G34</f>
        <v>13909499.522789989</v>
      </c>
      <c r="L39" s="887" t="s">
        <v>52</v>
      </c>
      <c r="M39" s="891">
        <v>1010</v>
      </c>
      <c r="N39" s="892"/>
      <c r="O39" s="892">
        <f>E39/1000</f>
        <v>55273.859544478524</v>
      </c>
      <c r="P39" s="892">
        <f t="shared" ref="P39:U39" si="1">F39/1000</f>
        <v>55273.859544478524</v>
      </c>
      <c r="Q39" s="892">
        <f t="shared" si="1"/>
        <v>55273.859544478524</v>
      </c>
      <c r="R39" s="892">
        <f t="shared" si="1"/>
        <v>13857.058433181781</v>
      </c>
      <c r="S39" s="892">
        <f t="shared" si="1"/>
        <v>13828.301588506754</v>
      </c>
      <c r="T39" s="892">
        <f t="shared" si="1"/>
        <v>13679</v>
      </c>
      <c r="U39" s="892">
        <f t="shared" si="1"/>
        <v>13909.499522789989</v>
      </c>
    </row>
    <row r="40" spans="2:21" s="6" customFormat="1">
      <c r="B40" s="887" t="s">
        <v>1309</v>
      </c>
      <c r="C40" s="891">
        <v>1020</v>
      </c>
      <c r="D40" s="893">
        <f>SUM(D41:D43)</f>
        <v>0</v>
      </c>
      <c r="E40" s="21">
        <f t="shared" ref="E40:E50" si="2">G40</f>
        <v>5622110.0319999997</v>
      </c>
      <c r="F40" s="21">
        <f t="shared" ref="F40:F53" si="3">E40</f>
        <v>5622110.0319999997</v>
      </c>
      <c r="G40" s="894">
        <f>H40+I40+J40+K40</f>
        <v>5622110.0319999997</v>
      </c>
      <c r="H40" s="894">
        <f ca="1">SUM(H41:H43)</f>
        <v>1935898.0223646411</v>
      </c>
      <c r="I40" s="894">
        <f ca="1">SUM(I41:I43)</f>
        <v>1646114.1770607734</v>
      </c>
      <c r="J40" s="894">
        <f ca="1">SUM(J41:J43)</f>
        <v>428626.60800000001</v>
      </c>
      <c r="K40" s="894">
        <f ca="1">SUM(K41:K43)</f>
        <v>1611471.2245745859</v>
      </c>
      <c r="L40" s="887" t="s">
        <v>1309</v>
      </c>
      <c r="M40" s="891">
        <v>1020</v>
      </c>
      <c r="N40" s="893">
        <f>SUM(D41:D43)</f>
        <v>0</v>
      </c>
      <c r="O40" s="892">
        <f t="shared" ref="O40:O50" si="4">E40/1000</f>
        <v>5622.1100319999996</v>
      </c>
      <c r="P40" s="892">
        <f t="shared" ref="P40:P50" si="5">F40/1000</f>
        <v>5622.1100319999996</v>
      </c>
      <c r="Q40" s="892">
        <f t="shared" ref="Q40:Q50" si="6">G40/1000</f>
        <v>5622.1100319999996</v>
      </c>
      <c r="R40" s="892">
        <f t="shared" ref="R40:R50" si="7">H40/1000</f>
        <v>1935.8980223646411</v>
      </c>
      <c r="S40" s="892">
        <f t="shared" ref="S40:S50" si="8">I40/1000</f>
        <v>1646.1141770607733</v>
      </c>
      <c r="T40" s="892">
        <f t="shared" ref="T40:T50" si="9">J40/1000</f>
        <v>428.62660800000003</v>
      </c>
      <c r="U40" s="892">
        <f t="shared" ref="U40:U50" si="10">K40/1000</f>
        <v>1611.4712245745859</v>
      </c>
    </row>
    <row r="41" spans="2:21" ht="22.5" customHeight="1">
      <c r="B41" s="886" t="s">
        <v>246</v>
      </c>
      <c r="C41" s="888">
        <v>1021</v>
      </c>
      <c r="D41" s="295"/>
      <c r="E41" s="20">
        <f t="shared" si="2"/>
        <v>4601860.0319999997</v>
      </c>
      <c r="F41" s="20">
        <f t="shared" si="3"/>
        <v>4601860.0319999997</v>
      </c>
      <c r="G41" s="19">
        <f t="shared" si="0"/>
        <v>4601860.0319999997</v>
      </c>
      <c r="H41" s="19">
        <f ca="1">Доходи!D30</f>
        <v>1935898.0223646411</v>
      </c>
      <c r="I41" s="19">
        <f ca="1">Доходи!E30</f>
        <v>625864.17706077336</v>
      </c>
      <c r="J41" s="19">
        <f ca="1">Доходи!F30</f>
        <v>428626.60800000001</v>
      </c>
      <c r="K41" s="19">
        <f ca="1">Доходи!G30</f>
        <v>1611471.2245745859</v>
      </c>
      <c r="L41" s="886" t="s">
        <v>246</v>
      </c>
      <c r="M41" s="888">
        <v>1021</v>
      </c>
      <c r="N41" s="295"/>
      <c r="O41" s="295">
        <f t="shared" si="4"/>
        <v>4601.8600319999996</v>
      </c>
      <c r="P41" s="295">
        <f t="shared" si="5"/>
        <v>4601.8600319999996</v>
      </c>
      <c r="Q41" s="295">
        <f t="shared" si="6"/>
        <v>4601.8600319999996</v>
      </c>
      <c r="R41" s="295">
        <f t="shared" si="7"/>
        <v>1935.8980223646411</v>
      </c>
      <c r="S41" s="295">
        <f t="shared" si="8"/>
        <v>625.86417706077339</v>
      </c>
      <c r="T41" s="295">
        <f t="shared" si="9"/>
        <v>428.62660800000003</v>
      </c>
      <c r="U41" s="295">
        <f t="shared" si="10"/>
        <v>1611.4712245745859</v>
      </c>
    </row>
    <row r="42" spans="2:21" s="6" customFormat="1" ht="37.5">
      <c r="B42" s="886" t="s">
        <v>161</v>
      </c>
      <c r="C42" s="888">
        <v>1022</v>
      </c>
      <c r="D42" s="295"/>
      <c r="E42" s="20">
        <f t="shared" si="2"/>
        <v>0</v>
      </c>
      <c r="F42" s="20">
        <f t="shared" si="3"/>
        <v>0</v>
      </c>
      <c r="G42" s="19">
        <f t="shared" si="0"/>
        <v>0</v>
      </c>
      <c r="H42" s="19">
        <f ca="1">Доходи!D31</f>
        <v>0</v>
      </c>
      <c r="I42" s="19">
        <f ca="1">Доходи!E31</f>
        <v>0</v>
      </c>
      <c r="J42" s="19">
        <f ca="1">Доходи!F31</f>
        <v>0</v>
      </c>
      <c r="K42" s="19">
        <f ca="1">Доходи!G31</f>
        <v>0</v>
      </c>
      <c r="L42" s="886" t="s">
        <v>161</v>
      </c>
      <c r="M42" s="888">
        <v>1022</v>
      </c>
      <c r="N42" s="295"/>
      <c r="O42" s="295">
        <f t="shared" si="4"/>
        <v>0</v>
      </c>
      <c r="P42" s="295">
        <f t="shared" si="5"/>
        <v>0</v>
      </c>
      <c r="Q42" s="295">
        <f t="shared" si="6"/>
        <v>0</v>
      </c>
      <c r="R42" s="295">
        <f t="shared" si="7"/>
        <v>0</v>
      </c>
      <c r="S42" s="295">
        <f t="shared" si="8"/>
        <v>0</v>
      </c>
      <c r="T42" s="295">
        <f t="shared" si="9"/>
        <v>0</v>
      </c>
      <c r="U42" s="295">
        <f t="shared" si="10"/>
        <v>0</v>
      </c>
    </row>
    <row r="43" spans="2:21" s="6" customFormat="1">
      <c r="B43" s="886" t="s">
        <v>1155</v>
      </c>
      <c r="C43" s="888">
        <v>1023</v>
      </c>
      <c r="D43" s="295"/>
      <c r="E43" s="20">
        <f t="shared" si="2"/>
        <v>1020250</v>
      </c>
      <c r="F43" s="20">
        <f t="shared" si="3"/>
        <v>1020250</v>
      </c>
      <c r="G43" s="19">
        <f t="shared" si="0"/>
        <v>1020250</v>
      </c>
      <c r="H43" s="19">
        <f ca="1">Доходи!D32</f>
        <v>0</v>
      </c>
      <c r="I43" s="19">
        <f ca="1">Доходи!E32</f>
        <v>1020250</v>
      </c>
      <c r="J43" s="19">
        <f ca="1">Доходи!F32</f>
        <v>0</v>
      </c>
      <c r="K43" s="19">
        <f ca="1">Доходи!G32</f>
        <v>0</v>
      </c>
      <c r="L43" s="886" t="s">
        <v>1155</v>
      </c>
      <c r="M43" s="888">
        <v>1023</v>
      </c>
      <c r="N43" s="295"/>
      <c r="O43" s="295">
        <f t="shared" si="4"/>
        <v>1020.25</v>
      </c>
      <c r="P43" s="295">
        <f t="shared" si="5"/>
        <v>1020.25</v>
      </c>
      <c r="Q43" s="295">
        <f t="shared" si="6"/>
        <v>1020.25</v>
      </c>
      <c r="R43" s="295">
        <f t="shared" si="7"/>
        <v>0</v>
      </c>
      <c r="S43" s="295">
        <f t="shared" si="8"/>
        <v>1020.25</v>
      </c>
      <c r="T43" s="295">
        <f t="shared" si="9"/>
        <v>0</v>
      </c>
      <c r="U43" s="295">
        <f t="shared" si="10"/>
        <v>0</v>
      </c>
    </row>
    <row r="44" spans="2:21" s="6" customFormat="1">
      <c r="B44" s="887" t="s">
        <v>192</v>
      </c>
      <c r="C44" s="891">
        <v>1030</v>
      </c>
      <c r="D44" s="893">
        <f>SUM(D45:D47)</f>
        <v>0</v>
      </c>
      <c r="E44" s="21">
        <f t="shared" si="2"/>
        <v>540000</v>
      </c>
      <c r="F44" s="21">
        <f t="shared" si="3"/>
        <v>540000</v>
      </c>
      <c r="G44" s="894">
        <f>H44+I44+J44+K44</f>
        <v>540000</v>
      </c>
      <c r="H44" s="894">
        <f ca="1">SUM(H45:H47)+Доходи!D38</f>
        <v>135000</v>
      </c>
      <c r="I44" s="894">
        <f ca="1">SUM(I45:I47)+Доходи!E38</f>
        <v>135000</v>
      </c>
      <c r="J44" s="894">
        <f ca="1">SUM(J45:J47)+Доходи!F38</f>
        <v>135000</v>
      </c>
      <c r="K44" s="894">
        <f ca="1">SUM(K45:K47)+Доходи!G38</f>
        <v>135000</v>
      </c>
      <c r="L44" s="887" t="s">
        <v>192</v>
      </c>
      <c r="M44" s="891">
        <v>1030</v>
      </c>
      <c r="N44" s="893">
        <f>SUM(D45:D47)</f>
        <v>0</v>
      </c>
      <c r="O44" s="892">
        <f t="shared" si="4"/>
        <v>540</v>
      </c>
      <c r="P44" s="892">
        <f t="shared" si="5"/>
        <v>540</v>
      </c>
      <c r="Q44" s="892">
        <f t="shared" si="6"/>
        <v>540</v>
      </c>
      <c r="R44" s="892">
        <f t="shared" si="7"/>
        <v>135</v>
      </c>
      <c r="S44" s="892">
        <f t="shared" si="8"/>
        <v>135</v>
      </c>
      <c r="T44" s="892">
        <f t="shared" si="9"/>
        <v>135</v>
      </c>
      <c r="U44" s="892">
        <f t="shared" si="10"/>
        <v>135</v>
      </c>
    </row>
    <row r="45" spans="2:21" s="6" customFormat="1">
      <c r="B45" s="886" t="s">
        <v>54</v>
      </c>
      <c r="C45" s="889">
        <v>1031</v>
      </c>
      <c r="D45" s="295"/>
      <c r="E45" s="20">
        <f t="shared" si="2"/>
        <v>480000</v>
      </c>
      <c r="F45" s="20">
        <f t="shared" si="3"/>
        <v>480000</v>
      </c>
      <c r="G45" s="19">
        <f t="shared" si="0"/>
        <v>480000</v>
      </c>
      <c r="H45" s="19">
        <f ca="1">Доходи!D35</f>
        <v>120000</v>
      </c>
      <c r="I45" s="19">
        <f ca="1">Доходи!E35</f>
        <v>120000</v>
      </c>
      <c r="J45" s="19">
        <f ca="1">Доходи!F35</f>
        <v>120000</v>
      </c>
      <c r="K45" s="19">
        <f ca="1">Доходи!G35</f>
        <v>120000</v>
      </c>
      <c r="L45" s="886" t="s">
        <v>54</v>
      </c>
      <c r="M45" s="889">
        <v>1031</v>
      </c>
      <c r="N45" s="295"/>
      <c r="O45" s="295">
        <f t="shared" si="4"/>
        <v>480</v>
      </c>
      <c r="P45" s="295">
        <f t="shared" si="5"/>
        <v>480</v>
      </c>
      <c r="Q45" s="295">
        <f t="shared" si="6"/>
        <v>480</v>
      </c>
      <c r="R45" s="295">
        <f t="shared" si="7"/>
        <v>120</v>
      </c>
      <c r="S45" s="295">
        <f t="shared" si="8"/>
        <v>120</v>
      </c>
      <c r="T45" s="295">
        <f t="shared" si="9"/>
        <v>120</v>
      </c>
      <c r="U45" s="295">
        <f t="shared" si="10"/>
        <v>120</v>
      </c>
    </row>
    <row r="46" spans="2:21" s="6" customFormat="1">
      <c r="B46" s="886" t="s">
        <v>159</v>
      </c>
      <c r="C46" s="889">
        <v>1032</v>
      </c>
      <c r="D46" s="295"/>
      <c r="E46" s="20">
        <f t="shared" si="2"/>
        <v>20000</v>
      </c>
      <c r="F46" s="20">
        <f t="shared" si="3"/>
        <v>20000</v>
      </c>
      <c r="G46" s="19">
        <f t="shared" si="0"/>
        <v>20000</v>
      </c>
      <c r="H46" s="19">
        <f ca="1">Доходи!D37</f>
        <v>5000</v>
      </c>
      <c r="I46" s="19">
        <f ca="1">Доходи!E37</f>
        <v>5000</v>
      </c>
      <c r="J46" s="19">
        <f ca="1">Доходи!F37</f>
        <v>5000</v>
      </c>
      <c r="K46" s="19">
        <f ca="1">Доходи!G37</f>
        <v>5000</v>
      </c>
      <c r="L46" s="886" t="s">
        <v>159</v>
      </c>
      <c r="M46" s="889">
        <v>1032</v>
      </c>
      <c r="N46" s="295"/>
      <c r="O46" s="295">
        <f t="shared" si="4"/>
        <v>20</v>
      </c>
      <c r="P46" s="295">
        <f t="shared" si="5"/>
        <v>20</v>
      </c>
      <c r="Q46" s="295">
        <f t="shared" si="6"/>
        <v>20</v>
      </c>
      <c r="R46" s="295">
        <f t="shared" si="7"/>
        <v>5</v>
      </c>
      <c r="S46" s="295">
        <f t="shared" si="8"/>
        <v>5</v>
      </c>
      <c r="T46" s="295">
        <f t="shared" si="9"/>
        <v>5</v>
      </c>
      <c r="U46" s="295">
        <f t="shared" si="10"/>
        <v>5</v>
      </c>
    </row>
    <row r="47" spans="2:21" s="6" customFormat="1">
      <c r="B47" s="886" t="s">
        <v>882</v>
      </c>
      <c r="C47" s="889">
        <v>1033</v>
      </c>
      <c r="D47" s="295"/>
      <c r="E47" s="20">
        <f t="shared" si="2"/>
        <v>0</v>
      </c>
      <c r="F47" s="20">
        <f t="shared" si="3"/>
        <v>0</v>
      </c>
      <c r="G47" s="19">
        <f t="shared" si="0"/>
        <v>0</v>
      </c>
      <c r="H47" s="19">
        <f ca="1">Доходи!D39</f>
        <v>0</v>
      </c>
      <c r="I47" s="19">
        <f ca="1">Доходи!E39</f>
        <v>0</v>
      </c>
      <c r="J47" s="19">
        <f ca="1">Доходи!F39</f>
        <v>0</v>
      </c>
      <c r="K47" s="19">
        <f ca="1">Доходи!G39</f>
        <v>0</v>
      </c>
      <c r="L47" s="886" t="s">
        <v>882</v>
      </c>
      <c r="M47" s="889">
        <v>1033</v>
      </c>
      <c r="N47" s="295"/>
      <c r="O47" s="295">
        <f t="shared" si="4"/>
        <v>0</v>
      </c>
      <c r="P47" s="295">
        <f t="shared" si="5"/>
        <v>0</v>
      </c>
      <c r="Q47" s="295">
        <f t="shared" si="6"/>
        <v>0</v>
      </c>
      <c r="R47" s="295">
        <f t="shared" si="7"/>
        <v>0</v>
      </c>
      <c r="S47" s="295">
        <f t="shared" si="8"/>
        <v>0</v>
      </c>
      <c r="T47" s="295">
        <f t="shared" si="9"/>
        <v>0</v>
      </c>
      <c r="U47" s="295">
        <f t="shared" si="10"/>
        <v>0</v>
      </c>
    </row>
    <row r="48" spans="2:21" s="6" customFormat="1">
      <c r="B48" s="887" t="s">
        <v>158</v>
      </c>
      <c r="C48" s="907">
        <v>1040</v>
      </c>
      <c r="D48" s="893">
        <f>D50+D49</f>
        <v>0</v>
      </c>
      <c r="E48" s="21">
        <f t="shared" si="2"/>
        <v>3181750</v>
      </c>
      <c r="F48" s="21">
        <f t="shared" si="3"/>
        <v>3181750</v>
      </c>
      <c r="G48" s="894">
        <f t="shared" si="0"/>
        <v>3181750</v>
      </c>
      <c r="H48" s="894">
        <f ca="1">H50+H49</f>
        <v>2393000</v>
      </c>
      <c r="I48" s="894">
        <f ca="1">I50+I49</f>
        <v>782750</v>
      </c>
      <c r="J48" s="894">
        <f ca="1">J50+J49</f>
        <v>3000</v>
      </c>
      <c r="K48" s="894">
        <f ca="1">K50+K49</f>
        <v>3000</v>
      </c>
      <c r="L48" s="887" t="s">
        <v>158</v>
      </c>
      <c r="M48" s="907">
        <v>1040</v>
      </c>
      <c r="N48" s="893">
        <f>D50+D49</f>
        <v>0</v>
      </c>
      <c r="O48" s="892">
        <f t="shared" si="4"/>
        <v>3181.75</v>
      </c>
      <c r="P48" s="892">
        <f t="shared" si="5"/>
        <v>3181.75</v>
      </c>
      <c r="Q48" s="892">
        <f t="shared" si="6"/>
        <v>3181.75</v>
      </c>
      <c r="R48" s="892">
        <f t="shared" si="7"/>
        <v>2393</v>
      </c>
      <c r="S48" s="892">
        <f t="shared" si="8"/>
        <v>782.75</v>
      </c>
      <c r="T48" s="892">
        <f t="shared" si="9"/>
        <v>3</v>
      </c>
      <c r="U48" s="892">
        <f t="shared" si="10"/>
        <v>3</v>
      </c>
    </row>
    <row r="49" spans="2:21" s="6" customFormat="1">
      <c r="B49" s="886" t="s">
        <v>160</v>
      </c>
      <c r="C49" s="889">
        <v>1041</v>
      </c>
      <c r="D49" s="295"/>
      <c r="E49" s="20">
        <f t="shared" si="2"/>
        <v>12000</v>
      </c>
      <c r="F49" s="20">
        <f t="shared" si="3"/>
        <v>12000</v>
      </c>
      <c r="G49" s="19">
        <f t="shared" si="0"/>
        <v>12000</v>
      </c>
      <c r="H49" s="19">
        <f ca="1">Доходи!D36</f>
        <v>3000</v>
      </c>
      <c r="I49" s="19">
        <f ca="1">Доходи!E36</f>
        <v>3000</v>
      </c>
      <c r="J49" s="19">
        <f ca="1">Доходи!F36</f>
        <v>3000</v>
      </c>
      <c r="K49" s="19">
        <f ca="1">Доходи!G36</f>
        <v>3000</v>
      </c>
      <c r="L49" s="886" t="s">
        <v>160</v>
      </c>
      <c r="M49" s="889">
        <v>1041</v>
      </c>
      <c r="N49" s="295"/>
      <c r="O49" s="295">
        <f t="shared" si="4"/>
        <v>12</v>
      </c>
      <c r="P49" s="295">
        <f t="shared" si="5"/>
        <v>12</v>
      </c>
      <c r="Q49" s="295">
        <f t="shared" si="6"/>
        <v>12</v>
      </c>
      <c r="R49" s="295">
        <f t="shared" si="7"/>
        <v>3</v>
      </c>
      <c r="S49" s="295">
        <f t="shared" si="8"/>
        <v>3</v>
      </c>
      <c r="T49" s="295">
        <f t="shared" si="9"/>
        <v>3</v>
      </c>
      <c r="U49" s="295">
        <f t="shared" si="10"/>
        <v>3</v>
      </c>
    </row>
    <row r="50" spans="2:21" s="6" customFormat="1">
      <c r="B50" s="886" t="s">
        <v>883</v>
      </c>
      <c r="C50" s="889">
        <v>1042</v>
      </c>
      <c r="D50" s="295"/>
      <c r="E50" s="20">
        <f t="shared" si="2"/>
        <v>3169750</v>
      </c>
      <c r="F50" s="20">
        <f t="shared" si="3"/>
        <v>3169750</v>
      </c>
      <c r="G50" s="19">
        <f t="shared" si="0"/>
        <v>3169750</v>
      </c>
      <c r="H50" s="19">
        <f ca="1">Доходи!D40</f>
        <v>2390000</v>
      </c>
      <c r="I50" s="19">
        <f ca="1">Доходи!E40</f>
        <v>779750</v>
      </c>
      <c r="J50" s="19">
        <f ca="1">Доходи!F40</f>
        <v>0</v>
      </c>
      <c r="K50" s="19">
        <f ca="1">Доходи!G40</f>
        <v>0</v>
      </c>
      <c r="L50" s="886" t="s">
        <v>883</v>
      </c>
      <c r="M50" s="889">
        <v>1042</v>
      </c>
      <c r="N50" s="295"/>
      <c r="O50" s="295">
        <f t="shared" si="4"/>
        <v>3169.75</v>
      </c>
      <c r="P50" s="295">
        <f t="shared" si="5"/>
        <v>3169.75</v>
      </c>
      <c r="Q50" s="295">
        <f t="shared" si="6"/>
        <v>3169.75</v>
      </c>
      <c r="R50" s="295">
        <f t="shared" si="7"/>
        <v>2390</v>
      </c>
      <c r="S50" s="295">
        <f t="shared" si="8"/>
        <v>779.75</v>
      </c>
      <c r="T50" s="295">
        <f t="shared" si="9"/>
        <v>0</v>
      </c>
      <c r="U50" s="295">
        <f t="shared" si="10"/>
        <v>0</v>
      </c>
    </row>
    <row r="51" spans="2:21" ht="20.100000000000001" customHeight="1">
      <c r="B51" s="1049" t="s">
        <v>55</v>
      </c>
      <c r="C51" s="1049"/>
      <c r="D51" s="1049"/>
      <c r="E51" s="1049"/>
      <c r="F51" s="1049"/>
      <c r="G51" s="1049"/>
      <c r="H51" s="1049"/>
      <c r="I51" s="1049"/>
      <c r="J51" s="1049"/>
      <c r="K51" s="1049"/>
      <c r="L51" s="1049" t="s">
        <v>55</v>
      </c>
      <c r="M51" s="1049"/>
      <c r="N51" s="1049"/>
      <c r="O51" s="1049"/>
      <c r="P51" s="1049"/>
      <c r="Q51" s="1049"/>
      <c r="R51" s="1049"/>
      <c r="S51" s="1049"/>
      <c r="T51" s="1049"/>
      <c r="U51" s="1049"/>
    </row>
    <row r="52" spans="2:21" s="6" customFormat="1" ht="20.100000000000001" customHeight="1">
      <c r="B52" s="887" t="s">
        <v>56</v>
      </c>
      <c r="C52" s="907">
        <v>1050</v>
      </c>
      <c r="D52" s="21"/>
      <c r="E52" s="21">
        <f>G52</f>
        <v>34882266.289294034</v>
      </c>
      <c r="F52" s="21">
        <f t="shared" si="3"/>
        <v>34882266.289294034</v>
      </c>
      <c r="G52" s="894">
        <f>H52+I52+J52+K52</f>
        <v>34882266.289294034</v>
      </c>
      <c r="H52" s="894">
        <f ca="1">Видатки!AG14+Видатки!AG16+Видатки!AG18+Видатки!AG20</f>
        <v>8710479.3642817847</v>
      </c>
      <c r="I52" s="894">
        <f ca="1">Видатки!AH14+Видатки!AH16+Видатки!AH18+Видатки!AH20</f>
        <v>8758762.5177174937</v>
      </c>
      <c r="J52" s="894">
        <f ca="1">Видатки!AI14+Видатки!AI16+Видатки!AI18+Видатки!AI20</f>
        <v>8655079.873806918</v>
      </c>
      <c r="K52" s="894">
        <f ca="1">Видатки!AJ14+Видатки!AJ16+Видатки!AJ18+Видатки!AJ20</f>
        <v>8757944.5334878433</v>
      </c>
      <c r="L52" s="887" t="s">
        <v>56</v>
      </c>
      <c r="M52" s="907">
        <v>1050</v>
      </c>
      <c r="N52" s="892"/>
      <c r="O52" s="892">
        <f t="shared" ref="O52:U53" si="11">E52/1000</f>
        <v>34882.266289294035</v>
      </c>
      <c r="P52" s="892">
        <f t="shared" si="11"/>
        <v>34882.266289294035</v>
      </c>
      <c r="Q52" s="892">
        <f t="shared" si="11"/>
        <v>34882.266289294035</v>
      </c>
      <c r="R52" s="892">
        <f t="shared" si="11"/>
        <v>8710.479364281784</v>
      </c>
      <c r="S52" s="892">
        <f t="shared" si="11"/>
        <v>8758.7625177174941</v>
      </c>
      <c r="T52" s="892">
        <f t="shared" si="11"/>
        <v>8655.0798738069188</v>
      </c>
      <c r="U52" s="892">
        <f t="shared" si="11"/>
        <v>8757.9445334878437</v>
      </c>
    </row>
    <row r="53" spans="2:21" s="6" customFormat="1" ht="20.100000000000001" customHeight="1">
      <c r="B53" s="887" t="s">
        <v>57</v>
      </c>
      <c r="C53" s="907">
        <v>1060</v>
      </c>
      <c r="D53" s="21"/>
      <c r="E53" s="21">
        <f>G53</f>
        <v>7674098.5836446881</v>
      </c>
      <c r="F53" s="21">
        <f t="shared" si="3"/>
        <v>7674098.5836446881</v>
      </c>
      <c r="G53" s="894">
        <f>H53+I53+J53+K53</f>
        <v>7674098.5836446881</v>
      </c>
      <c r="H53" s="894">
        <f ca="1">Видатки!AQ14+Видатки!AQ16+Видатки!AQ18+Видатки!AQ20</f>
        <v>1916305.4601419927</v>
      </c>
      <c r="I53" s="894">
        <f ca="1">Видатки!AR14+Видатки!AR16+Видатки!AR18+Видатки!AR20</f>
        <v>1926927.7538978485</v>
      </c>
      <c r="J53" s="894">
        <f ca="1">Видатки!AS14+Видатки!AS16+Видатки!AS18+Видатки!AS20</f>
        <v>1904117.5722375219</v>
      </c>
      <c r="K53" s="894">
        <f ca="1">Видатки!AT14+Видатки!AT16+Видатки!AT18+Видатки!AT20</f>
        <v>1926747.7973673255</v>
      </c>
      <c r="L53" s="887" t="s">
        <v>57</v>
      </c>
      <c r="M53" s="907">
        <v>1060</v>
      </c>
      <c r="N53" s="892"/>
      <c r="O53" s="892">
        <f t="shared" si="11"/>
        <v>7674.098583644688</v>
      </c>
      <c r="P53" s="892">
        <f t="shared" si="11"/>
        <v>7674.098583644688</v>
      </c>
      <c r="Q53" s="892">
        <f t="shared" si="11"/>
        <v>7674.098583644688</v>
      </c>
      <c r="R53" s="892">
        <f t="shared" si="11"/>
        <v>1916.3054601419926</v>
      </c>
      <c r="S53" s="892">
        <f t="shared" si="11"/>
        <v>1926.9277538978486</v>
      </c>
      <c r="T53" s="892">
        <f t="shared" si="11"/>
        <v>1904.1175722375219</v>
      </c>
      <c r="U53" s="892">
        <f t="shared" si="11"/>
        <v>1926.7477973673256</v>
      </c>
    </row>
    <row r="54" spans="2:21" s="6" customFormat="1">
      <c r="B54" s="909" t="s">
        <v>1252</v>
      </c>
      <c r="C54" s="907">
        <v>1070</v>
      </c>
      <c r="D54" s="1054"/>
      <c r="E54" s="1054"/>
      <c r="F54" s="1054"/>
      <c r="G54" s="1054"/>
      <c r="H54" s="1054"/>
      <c r="I54" s="1054"/>
      <c r="J54" s="1054"/>
      <c r="K54" s="1054"/>
      <c r="L54" s="909" t="s">
        <v>1252</v>
      </c>
      <c r="M54" s="907">
        <v>1070</v>
      </c>
      <c r="N54" s="1050"/>
      <c r="O54" s="1050"/>
      <c r="P54" s="1050"/>
      <c r="Q54" s="1050"/>
      <c r="R54" s="1050"/>
      <c r="S54" s="1050"/>
      <c r="T54" s="1050"/>
      <c r="U54" s="1050"/>
    </row>
    <row r="55" spans="2:21" s="6" customFormat="1">
      <c r="B55" s="910" t="s">
        <v>1271</v>
      </c>
      <c r="C55" s="907">
        <v>1071</v>
      </c>
      <c r="D55" s="21"/>
      <c r="E55" s="21">
        <f>G55</f>
        <v>3040094.2970551997</v>
      </c>
      <c r="F55" s="21">
        <f t="shared" ref="F55:F61" si="12">E55</f>
        <v>3040094.2970551997</v>
      </c>
      <c r="G55" s="894">
        <f>H55+I55+J55+K55</f>
        <v>3040094.2970551997</v>
      </c>
      <c r="H55" s="894">
        <f ca="1">Видатки!AG10+Видатки!AG12</f>
        <v>758951.20862135</v>
      </c>
      <c r="I55" s="894">
        <f ca="1">Видатки!AH10+Видатки!AH12</f>
        <v>758951.20862135</v>
      </c>
      <c r="J55" s="894">
        <f ca="1">Видатки!AI10+Видатки!AI12</f>
        <v>758951.20862135</v>
      </c>
      <c r="K55" s="894">
        <f ca="1">Видатки!AJ10+Видатки!AJ12</f>
        <v>763240.67119115009</v>
      </c>
      <c r="L55" s="910" t="s">
        <v>1271</v>
      </c>
      <c r="M55" s="907">
        <v>1071</v>
      </c>
      <c r="N55" s="892"/>
      <c r="O55" s="892">
        <f t="shared" ref="O55:U56" si="13">E55/1000</f>
        <v>3040.0942970551996</v>
      </c>
      <c r="P55" s="892">
        <f t="shared" si="13"/>
        <v>3040.0942970551996</v>
      </c>
      <c r="Q55" s="892">
        <f t="shared" si="13"/>
        <v>3040.0942970551996</v>
      </c>
      <c r="R55" s="892">
        <f t="shared" si="13"/>
        <v>758.95120862135002</v>
      </c>
      <c r="S55" s="892">
        <f t="shared" si="13"/>
        <v>758.95120862135002</v>
      </c>
      <c r="T55" s="892">
        <f t="shared" si="13"/>
        <v>758.95120862135002</v>
      </c>
      <c r="U55" s="892">
        <f t="shared" si="13"/>
        <v>763.24067119115011</v>
      </c>
    </row>
    <row r="56" spans="2:21" s="6" customFormat="1">
      <c r="B56" s="910" t="s">
        <v>1272</v>
      </c>
      <c r="C56" s="907">
        <v>1072</v>
      </c>
      <c r="D56" s="21"/>
      <c r="E56" s="21">
        <f t="shared" ref="E56:E61" si="14">G56</f>
        <v>668820.745352144</v>
      </c>
      <c r="F56" s="21">
        <f t="shared" si="12"/>
        <v>668820.745352144</v>
      </c>
      <c r="G56" s="894">
        <f t="shared" ref="G56:G73" si="15">H56+I56+J56+K56</f>
        <v>668820.745352144</v>
      </c>
      <c r="H56" s="894">
        <f ca="1">Видатки!AQ10+Видатки!AQ12</f>
        <v>166969.265896697</v>
      </c>
      <c r="I56" s="894">
        <f ca="1">Видатки!AR10+Видатки!AR12</f>
        <v>166969.265896697</v>
      </c>
      <c r="J56" s="894">
        <f ca="1">Видатки!AS10+Видатки!AS12</f>
        <v>166969.265896697</v>
      </c>
      <c r="K56" s="894">
        <f ca="1">Видатки!AT10+Видатки!AT12</f>
        <v>167912.94766205302</v>
      </c>
      <c r="L56" s="910" t="s">
        <v>1272</v>
      </c>
      <c r="M56" s="907">
        <v>1072</v>
      </c>
      <c r="N56" s="892"/>
      <c r="O56" s="892">
        <f t="shared" si="13"/>
        <v>668.82074535214406</v>
      </c>
      <c r="P56" s="892">
        <f t="shared" si="13"/>
        <v>668.82074535214406</v>
      </c>
      <c r="Q56" s="892">
        <f t="shared" si="13"/>
        <v>668.82074535214406</v>
      </c>
      <c r="R56" s="892">
        <f t="shared" si="13"/>
        <v>166.96926589669701</v>
      </c>
      <c r="S56" s="892">
        <f t="shared" si="13"/>
        <v>166.96926589669701</v>
      </c>
      <c r="T56" s="892">
        <f t="shared" si="13"/>
        <v>166.96926589669701</v>
      </c>
      <c r="U56" s="892">
        <f t="shared" si="13"/>
        <v>167.91294766205303</v>
      </c>
    </row>
    <row r="57" spans="2:21">
      <c r="B57" s="886" t="s">
        <v>257</v>
      </c>
      <c r="C57" s="889">
        <v>1073</v>
      </c>
      <c r="D57" s="20"/>
      <c r="E57" s="20">
        <f t="shared" si="14"/>
        <v>0</v>
      </c>
      <c r="F57" s="20">
        <f t="shared" si="12"/>
        <v>0</v>
      </c>
      <c r="G57" s="19">
        <f t="shared" si="15"/>
        <v>0</v>
      </c>
      <c r="H57" s="19">
        <f ca="1">'0'!C157</f>
        <v>0</v>
      </c>
      <c r="I57" s="19">
        <f ca="1">'0'!D157</f>
        <v>0</v>
      </c>
      <c r="J57" s="19">
        <f ca="1">'0'!E157</f>
        <v>0</v>
      </c>
      <c r="K57" s="19">
        <f ca="1">'0'!F157</f>
        <v>0</v>
      </c>
      <c r="L57" s="886" t="s">
        <v>257</v>
      </c>
      <c r="M57" s="889">
        <v>1073</v>
      </c>
      <c r="N57" s="295"/>
      <c r="O57" s="295">
        <f t="shared" ref="O57:O79" si="16">E57/1000</f>
        <v>0</v>
      </c>
      <c r="P57" s="295">
        <f t="shared" ref="P57:P79" si="17">F57/1000</f>
        <v>0</v>
      </c>
      <c r="Q57" s="295">
        <f t="shared" ref="Q57:Q79" si="18">G57/1000</f>
        <v>0</v>
      </c>
      <c r="R57" s="295">
        <f t="shared" ref="R57:R79" si="19">H57/1000</f>
        <v>0</v>
      </c>
      <c r="S57" s="295">
        <f t="shared" ref="S57:S79" si="20">I57/1000</f>
        <v>0</v>
      </c>
      <c r="T57" s="295">
        <f t="shared" ref="T57:T79" si="21">J57/1000</f>
        <v>0</v>
      </c>
      <c r="U57" s="295">
        <f t="shared" ref="U57:U79" si="22">K57/1000</f>
        <v>0</v>
      </c>
    </row>
    <row r="58" spans="2:21" s="6" customFormat="1">
      <c r="B58" s="911" t="s">
        <v>58</v>
      </c>
      <c r="C58" s="907">
        <v>1080</v>
      </c>
      <c r="D58" s="21"/>
      <c r="E58" s="21">
        <f t="shared" si="14"/>
        <v>4830000</v>
      </c>
      <c r="F58" s="21">
        <f t="shared" si="12"/>
        <v>4830000</v>
      </c>
      <c r="G58" s="894">
        <f t="shared" si="15"/>
        <v>4830000</v>
      </c>
      <c r="H58" s="894">
        <f ca="1">Видатки!E72</f>
        <v>1207500</v>
      </c>
      <c r="I58" s="894">
        <f ca="1">Видатки!F72</f>
        <v>1207500</v>
      </c>
      <c r="J58" s="894">
        <f ca="1">Видатки!G72</f>
        <v>1207500</v>
      </c>
      <c r="K58" s="894">
        <f ca="1">Видатки!H72</f>
        <v>1207500</v>
      </c>
      <c r="L58" s="911" t="s">
        <v>58</v>
      </c>
      <c r="M58" s="907">
        <v>1080</v>
      </c>
      <c r="N58" s="892"/>
      <c r="O58" s="892">
        <f t="shared" si="16"/>
        <v>4830</v>
      </c>
      <c r="P58" s="892">
        <f t="shared" si="17"/>
        <v>4830</v>
      </c>
      <c r="Q58" s="892">
        <f t="shared" si="18"/>
        <v>4830</v>
      </c>
      <c r="R58" s="892">
        <f t="shared" si="19"/>
        <v>1207.5</v>
      </c>
      <c r="S58" s="892">
        <f t="shared" si="20"/>
        <v>1207.5</v>
      </c>
      <c r="T58" s="892">
        <f t="shared" si="21"/>
        <v>1207.5</v>
      </c>
      <c r="U58" s="892">
        <f t="shared" si="22"/>
        <v>1207.5</v>
      </c>
    </row>
    <row r="59" spans="2:21" s="6" customFormat="1" ht="20.100000000000001" customHeight="1">
      <c r="B59" s="887" t="s">
        <v>59</v>
      </c>
      <c r="C59" s="907">
        <v>1090</v>
      </c>
      <c r="D59" s="21"/>
      <c r="E59" s="21">
        <f t="shared" si="14"/>
        <v>540000</v>
      </c>
      <c r="F59" s="21">
        <f t="shared" si="12"/>
        <v>540000</v>
      </c>
      <c r="G59" s="894">
        <f t="shared" si="15"/>
        <v>540000</v>
      </c>
      <c r="H59" s="894">
        <f ca="1">Видатки!E73</f>
        <v>135000</v>
      </c>
      <c r="I59" s="894">
        <f ca="1">Видатки!F73</f>
        <v>135000</v>
      </c>
      <c r="J59" s="894">
        <f ca="1">Видатки!G73</f>
        <v>135000</v>
      </c>
      <c r="K59" s="894">
        <f ca="1">Видатки!H73</f>
        <v>135000</v>
      </c>
      <c r="L59" s="887" t="s">
        <v>59</v>
      </c>
      <c r="M59" s="907">
        <v>1090</v>
      </c>
      <c r="N59" s="892"/>
      <c r="O59" s="892">
        <f t="shared" si="16"/>
        <v>540</v>
      </c>
      <c r="P59" s="892">
        <f t="shared" si="17"/>
        <v>540</v>
      </c>
      <c r="Q59" s="892">
        <f t="shared" si="18"/>
        <v>540</v>
      </c>
      <c r="R59" s="892">
        <f t="shared" si="19"/>
        <v>135</v>
      </c>
      <c r="S59" s="892">
        <f t="shared" si="20"/>
        <v>135</v>
      </c>
      <c r="T59" s="892">
        <f t="shared" si="21"/>
        <v>135</v>
      </c>
      <c r="U59" s="892">
        <f t="shared" si="22"/>
        <v>135</v>
      </c>
    </row>
    <row r="60" spans="2:21" s="6" customFormat="1" ht="20.100000000000001" customHeight="1">
      <c r="B60" s="887" t="s">
        <v>60</v>
      </c>
      <c r="C60" s="907">
        <v>1100</v>
      </c>
      <c r="D60" s="21"/>
      <c r="E60" s="21">
        <f t="shared" si="14"/>
        <v>2265870.9</v>
      </c>
      <c r="F60" s="21">
        <f t="shared" si="12"/>
        <v>2265870.9</v>
      </c>
      <c r="G60" s="894">
        <f t="shared" si="15"/>
        <v>2265870.9</v>
      </c>
      <c r="H60" s="894">
        <f ca="1">Видатки!E74-H61</f>
        <v>566300</v>
      </c>
      <c r="I60" s="894">
        <f ca="1">Видатки!F74-I61</f>
        <v>571300</v>
      </c>
      <c r="J60" s="894">
        <f ca="1">Видатки!G74-J61</f>
        <v>566970.9</v>
      </c>
      <c r="K60" s="894">
        <f ca="1">Видатки!H74-K61</f>
        <v>561300</v>
      </c>
      <c r="L60" s="887" t="s">
        <v>60</v>
      </c>
      <c r="M60" s="907">
        <v>1100</v>
      </c>
      <c r="N60" s="892"/>
      <c r="O60" s="892">
        <f t="shared" si="16"/>
        <v>2265.8708999999999</v>
      </c>
      <c r="P60" s="892">
        <f t="shared" si="17"/>
        <v>2265.8708999999999</v>
      </c>
      <c r="Q60" s="892">
        <f t="shared" si="18"/>
        <v>2265.8708999999999</v>
      </c>
      <c r="R60" s="892">
        <f t="shared" si="19"/>
        <v>566.29999999999995</v>
      </c>
      <c r="S60" s="892">
        <f t="shared" si="20"/>
        <v>571.29999999999995</v>
      </c>
      <c r="T60" s="892">
        <f t="shared" si="21"/>
        <v>566.97090000000003</v>
      </c>
      <c r="U60" s="892">
        <f t="shared" si="22"/>
        <v>561.29999999999995</v>
      </c>
    </row>
    <row r="61" spans="2:21" s="6" customFormat="1" ht="20.100000000000001" customHeight="1">
      <c r="B61" s="887" t="s">
        <v>61</v>
      </c>
      <c r="C61" s="907">
        <v>1110</v>
      </c>
      <c r="D61" s="21"/>
      <c r="E61" s="21">
        <f t="shared" si="14"/>
        <v>108000</v>
      </c>
      <c r="F61" s="21">
        <f t="shared" si="12"/>
        <v>108000</v>
      </c>
      <c r="G61" s="894">
        <f t="shared" si="15"/>
        <v>108000</v>
      </c>
      <c r="H61" s="894">
        <f ca="1">Деталізація!O33</f>
        <v>27000</v>
      </c>
      <c r="I61" s="894">
        <f ca="1">Деталізація!P33</f>
        <v>27000</v>
      </c>
      <c r="J61" s="894">
        <f ca="1">Деталізація!Q33</f>
        <v>27000</v>
      </c>
      <c r="K61" s="894">
        <f ca="1">Деталізація!R33</f>
        <v>27000</v>
      </c>
      <c r="L61" s="887" t="s">
        <v>61</v>
      </c>
      <c r="M61" s="907">
        <v>1110</v>
      </c>
      <c r="N61" s="892"/>
      <c r="O61" s="892">
        <f t="shared" si="16"/>
        <v>108</v>
      </c>
      <c r="P61" s="892">
        <f t="shared" si="17"/>
        <v>108</v>
      </c>
      <c r="Q61" s="892">
        <f t="shared" si="18"/>
        <v>108</v>
      </c>
      <c r="R61" s="892">
        <f t="shared" si="19"/>
        <v>27</v>
      </c>
      <c r="S61" s="892">
        <f t="shared" si="20"/>
        <v>27</v>
      </c>
      <c r="T61" s="892">
        <f t="shared" si="21"/>
        <v>27</v>
      </c>
      <c r="U61" s="892">
        <f t="shared" si="22"/>
        <v>27</v>
      </c>
    </row>
    <row r="62" spans="2:21" s="6" customFormat="1" ht="19.899999999999999" customHeight="1">
      <c r="B62" s="887" t="s">
        <v>124</v>
      </c>
      <c r="C62" s="907">
        <v>1120</v>
      </c>
      <c r="D62" s="894">
        <f>SUM(D63:D68)</f>
        <v>0</v>
      </c>
      <c r="E62" s="894">
        <f>SUM(E63:E68)</f>
        <v>5038304.765704806</v>
      </c>
      <c r="F62" s="894">
        <f>SUM(F63:F68)</f>
        <v>5038304.765704806</v>
      </c>
      <c r="G62" s="894">
        <f t="shared" si="15"/>
        <v>5038304.765704806</v>
      </c>
      <c r="H62" s="894">
        <f ca="1">SUM(H63:H68)</f>
        <v>2097187.1566045997</v>
      </c>
      <c r="I62" s="894">
        <f ca="1">SUM(I63:I68)</f>
        <v>694755.0194340999</v>
      </c>
      <c r="J62" s="894">
        <f ca="1">SUM(J63:J68)</f>
        <v>479037.79200000002</v>
      </c>
      <c r="K62" s="894">
        <f ca="1">SUM(K63:K68)</f>
        <v>1767324.7976661061</v>
      </c>
      <c r="L62" s="887" t="s">
        <v>124</v>
      </c>
      <c r="M62" s="907">
        <v>1120</v>
      </c>
      <c r="N62" s="893">
        <f>SUM(D63:D68)</f>
        <v>0</v>
      </c>
      <c r="O62" s="892">
        <f t="shared" si="16"/>
        <v>5038.3047657048064</v>
      </c>
      <c r="P62" s="892">
        <f t="shared" si="17"/>
        <v>5038.3047657048064</v>
      </c>
      <c r="Q62" s="892">
        <f t="shared" si="18"/>
        <v>5038.3047657048064</v>
      </c>
      <c r="R62" s="892">
        <f t="shared" si="19"/>
        <v>2097.1871566045997</v>
      </c>
      <c r="S62" s="892">
        <f t="shared" si="20"/>
        <v>694.75501943409995</v>
      </c>
      <c r="T62" s="892">
        <f t="shared" si="21"/>
        <v>479.03779200000002</v>
      </c>
      <c r="U62" s="892">
        <f t="shared" si="22"/>
        <v>1767.3247976661062</v>
      </c>
    </row>
    <row r="63" spans="2:21" ht="20.100000000000001" customHeight="1">
      <c r="B63" s="886" t="s">
        <v>1265</v>
      </c>
      <c r="C63" s="889">
        <v>1121</v>
      </c>
      <c r="D63" s="20"/>
      <c r="E63" s="20">
        <f>G63</f>
        <v>0</v>
      </c>
      <c r="F63" s="20">
        <f t="shared" ref="F63:F73" si="23">E63</f>
        <v>0</v>
      </c>
      <c r="G63" s="19">
        <f t="shared" si="15"/>
        <v>0</v>
      </c>
      <c r="H63" s="19">
        <f ca="1">Видатки!E31</f>
        <v>0</v>
      </c>
      <c r="I63" s="19">
        <f ca="1">Видатки!F31</f>
        <v>0</v>
      </c>
      <c r="J63" s="19">
        <f ca="1">Видатки!G31</f>
        <v>0</v>
      </c>
      <c r="K63" s="19">
        <f ca="1">Видатки!H31</f>
        <v>0</v>
      </c>
      <c r="L63" s="886" t="s">
        <v>1265</v>
      </c>
      <c r="M63" s="889">
        <v>1121</v>
      </c>
      <c r="N63" s="295"/>
      <c r="O63" s="295">
        <f t="shared" si="16"/>
        <v>0</v>
      </c>
      <c r="P63" s="295">
        <f t="shared" si="17"/>
        <v>0</v>
      </c>
      <c r="Q63" s="295">
        <f t="shared" si="18"/>
        <v>0</v>
      </c>
      <c r="R63" s="295">
        <f t="shared" si="19"/>
        <v>0</v>
      </c>
      <c r="S63" s="295">
        <f t="shared" si="20"/>
        <v>0</v>
      </c>
      <c r="T63" s="295">
        <f t="shared" si="21"/>
        <v>0</v>
      </c>
      <c r="U63" s="295">
        <f t="shared" si="22"/>
        <v>0</v>
      </c>
    </row>
    <row r="64" spans="2:21" ht="20.100000000000001" customHeight="1">
      <c r="B64" s="886" t="s">
        <v>1266</v>
      </c>
      <c r="C64" s="889">
        <v>1122</v>
      </c>
      <c r="D64" s="20"/>
      <c r="E64" s="20">
        <f t="shared" ref="E64:E71" si="24">G64</f>
        <v>0</v>
      </c>
      <c r="F64" s="20">
        <f t="shared" si="23"/>
        <v>0</v>
      </c>
      <c r="G64" s="19">
        <f t="shared" si="15"/>
        <v>0</v>
      </c>
      <c r="H64" s="19">
        <f ca="1">Видатки!E43+Видатки!E40+Видатки!E37</f>
        <v>0</v>
      </c>
      <c r="I64" s="19">
        <f ca="1">Видатки!F43+Видатки!F40+Видатки!F37</f>
        <v>0</v>
      </c>
      <c r="J64" s="19">
        <f ca="1">Видатки!G43+Видатки!G40+Видатки!G37</f>
        <v>0</v>
      </c>
      <c r="K64" s="19">
        <f ca="1">Видатки!H43+Видатки!H40+Видатки!H37</f>
        <v>0</v>
      </c>
      <c r="L64" s="886" t="s">
        <v>1266</v>
      </c>
      <c r="M64" s="889">
        <v>1122</v>
      </c>
      <c r="N64" s="295"/>
      <c r="O64" s="295">
        <f t="shared" si="16"/>
        <v>0</v>
      </c>
      <c r="P64" s="295">
        <f t="shared" si="17"/>
        <v>0</v>
      </c>
      <c r="Q64" s="295">
        <f t="shared" si="18"/>
        <v>0</v>
      </c>
      <c r="R64" s="295">
        <f t="shared" si="19"/>
        <v>0</v>
      </c>
      <c r="S64" s="295">
        <f t="shared" si="20"/>
        <v>0</v>
      </c>
      <c r="T64" s="295">
        <f t="shared" si="21"/>
        <v>0</v>
      </c>
      <c r="U64" s="295">
        <f t="shared" si="22"/>
        <v>0</v>
      </c>
    </row>
    <row r="65" spans="2:21" ht="20.100000000000001" customHeight="1">
      <c r="B65" s="886" t="s">
        <v>1267</v>
      </c>
      <c r="C65" s="889">
        <v>1123</v>
      </c>
      <c r="D65" s="20"/>
      <c r="E65" s="20">
        <f t="shared" si="24"/>
        <v>2299904.7680000002</v>
      </c>
      <c r="F65" s="20">
        <f t="shared" si="23"/>
        <v>2299904.7680000002</v>
      </c>
      <c r="G65" s="19">
        <f t="shared" si="15"/>
        <v>2299904.7680000002</v>
      </c>
      <c r="H65" s="19">
        <f ca="1">Видатки!E56</f>
        <v>769283.79200000002</v>
      </c>
      <c r="I65" s="19">
        <f ca="1">Видатки!F56</f>
        <v>445437.79200000002</v>
      </c>
      <c r="J65" s="19">
        <f ca="1">Видатки!G56</f>
        <v>445437.79200000002</v>
      </c>
      <c r="K65" s="19">
        <f ca="1">Видатки!H56</f>
        <v>639745.39199999999</v>
      </c>
      <c r="L65" s="886" t="s">
        <v>1267</v>
      </c>
      <c r="M65" s="889">
        <v>1123</v>
      </c>
      <c r="N65" s="295"/>
      <c r="O65" s="295">
        <f t="shared" si="16"/>
        <v>2299.9047680000003</v>
      </c>
      <c r="P65" s="295">
        <f t="shared" si="17"/>
        <v>2299.9047680000003</v>
      </c>
      <c r="Q65" s="295">
        <f t="shared" si="18"/>
        <v>2299.9047680000003</v>
      </c>
      <c r="R65" s="295">
        <f t="shared" si="19"/>
        <v>769.28379200000006</v>
      </c>
      <c r="S65" s="295">
        <f t="shared" si="20"/>
        <v>445.437792</v>
      </c>
      <c r="T65" s="295">
        <f t="shared" si="21"/>
        <v>445.437792</v>
      </c>
      <c r="U65" s="295">
        <f t="shared" si="22"/>
        <v>639.74539200000004</v>
      </c>
    </row>
    <row r="66" spans="2:21" ht="20.100000000000001" customHeight="1">
      <c r="B66" s="886" t="s">
        <v>1268</v>
      </c>
      <c r="C66" s="889">
        <v>1124</v>
      </c>
      <c r="D66" s="20"/>
      <c r="E66" s="20">
        <f t="shared" si="24"/>
        <v>0</v>
      </c>
      <c r="F66" s="20">
        <f t="shared" si="23"/>
        <v>0</v>
      </c>
      <c r="G66" s="19">
        <f t="shared" si="15"/>
        <v>0</v>
      </c>
      <c r="H66" s="19">
        <f ca="1">Видатки!E62</f>
        <v>0</v>
      </c>
      <c r="I66" s="19">
        <f ca="1">Видатки!F62</f>
        <v>0</v>
      </c>
      <c r="J66" s="19">
        <f ca="1">Видатки!G62</f>
        <v>0</v>
      </c>
      <c r="K66" s="19">
        <f ca="1">Видатки!H62</f>
        <v>0</v>
      </c>
      <c r="L66" s="886" t="s">
        <v>1268</v>
      </c>
      <c r="M66" s="889">
        <v>1124</v>
      </c>
      <c r="N66" s="295"/>
      <c r="O66" s="295">
        <f t="shared" si="16"/>
        <v>0</v>
      </c>
      <c r="P66" s="295">
        <f t="shared" si="17"/>
        <v>0</v>
      </c>
      <c r="Q66" s="295">
        <f t="shared" si="18"/>
        <v>0</v>
      </c>
      <c r="R66" s="295">
        <f t="shared" si="19"/>
        <v>0</v>
      </c>
      <c r="S66" s="295">
        <f t="shared" si="20"/>
        <v>0</v>
      </c>
      <c r="T66" s="295">
        <f t="shared" si="21"/>
        <v>0</v>
      </c>
      <c r="U66" s="295">
        <f t="shared" si="22"/>
        <v>0</v>
      </c>
    </row>
    <row r="67" spans="2:21" ht="20.100000000000001" customHeight="1">
      <c r="B67" s="886" t="s">
        <v>1269</v>
      </c>
      <c r="C67" s="889">
        <v>1125</v>
      </c>
      <c r="D67" s="20"/>
      <c r="E67" s="20">
        <f t="shared" si="24"/>
        <v>2738399.9977048058</v>
      </c>
      <c r="F67" s="20">
        <f t="shared" si="23"/>
        <v>2738399.9977048058</v>
      </c>
      <c r="G67" s="19">
        <f t="shared" si="15"/>
        <v>2738399.9977048058</v>
      </c>
      <c r="H67" s="19">
        <f ca="1">Видатки!E75+Видатки!E76</f>
        <v>1327903.3646045998</v>
      </c>
      <c r="I67" s="19">
        <f ca="1">Видатки!F75+Видатки!F76</f>
        <v>249317.22743409991</v>
      </c>
      <c r="J67" s="19">
        <f ca="1">Видатки!G75+Видатки!G76</f>
        <v>33600</v>
      </c>
      <c r="K67" s="19">
        <f ca="1">Видатки!H75+Видатки!H76</f>
        <v>1127579.4056661061</v>
      </c>
      <c r="L67" s="886" t="s">
        <v>1269</v>
      </c>
      <c r="M67" s="889">
        <v>1125</v>
      </c>
      <c r="N67" s="295"/>
      <c r="O67" s="295">
        <f t="shared" si="16"/>
        <v>2738.3999977048056</v>
      </c>
      <c r="P67" s="295">
        <f t="shared" si="17"/>
        <v>2738.3999977048056</v>
      </c>
      <c r="Q67" s="295">
        <f t="shared" si="18"/>
        <v>2738.3999977048056</v>
      </c>
      <c r="R67" s="295">
        <f t="shared" si="19"/>
        <v>1327.9033646045998</v>
      </c>
      <c r="S67" s="295">
        <f t="shared" si="20"/>
        <v>249.31722743409992</v>
      </c>
      <c r="T67" s="295">
        <f t="shared" si="21"/>
        <v>33.6</v>
      </c>
      <c r="U67" s="295">
        <f t="shared" si="22"/>
        <v>1127.5794056661061</v>
      </c>
    </row>
    <row r="68" spans="2:21" ht="20.100000000000001" customHeight="1">
      <c r="B68" s="886" t="s">
        <v>1270</v>
      </c>
      <c r="C68" s="889">
        <v>1126</v>
      </c>
      <c r="D68" s="20">
        <v>0</v>
      </c>
      <c r="E68" s="20">
        <f t="shared" si="24"/>
        <v>0</v>
      </c>
      <c r="F68" s="20">
        <f t="shared" si="23"/>
        <v>0</v>
      </c>
      <c r="G68" s="19">
        <f t="shared" si="15"/>
        <v>0</v>
      </c>
      <c r="H68" s="19">
        <f ca="1">Видатки!E77</f>
        <v>0</v>
      </c>
      <c r="I68" s="19">
        <f ca="1">Видатки!F77</f>
        <v>0</v>
      </c>
      <c r="J68" s="19">
        <f ca="1">Видатки!G77</f>
        <v>0</v>
      </c>
      <c r="K68" s="19">
        <f ca="1">Видатки!H77</f>
        <v>0</v>
      </c>
      <c r="L68" s="886" t="s">
        <v>1270</v>
      </c>
      <c r="M68" s="889">
        <v>1126</v>
      </c>
      <c r="N68" s="295">
        <v>0</v>
      </c>
      <c r="O68" s="295">
        <f t="shared" si="16"/>
        <v>0</v>
      </c>
      <c r="P68" s="295">
        <f t="shared" si="17"/>
        <v>0</v>
      </c>
      <c r="Q68" s="295">
        <f t="shared" si="18"/>
        <v>0</v>
      </c>
      <c r="R68" s="295">
        <f t="shared" si="19"/>
        <v>0</v>
      </c>
      <c r="S68" s="295">
        <f t="shared" si="20"/>
        <v>0</v>
      </c>
      <c r="T68" s="295">
        <f t="shared" si="21"/>
        <v>0</v>
      </c>
      <c r="U68" s="295">
        <f t="shared" si="22"/>
        <v>0</v>
      </c>
    </row>
    <row r="69" spans="2:21" ht="37.5" customHeight="1">
      <c r="B69" s="885" t="s">
        <v>64</v>
      </c>
      <c r="C69" s="889">
        <v>1130</v>
      </c>
      <c r="D69" s="20">
        <v>0</v>
      </c>
      <c r="E69" s="20">
        <f t="shared" si="24"/>
        <v>0</v>
      </c>
      <c r="F69" s="20">
        <f t="shared" si="23"/>
        <v>0</v>
      </c>
      <c r="G69" s="19">
        <f t="shared" si="15"/>
        <v>0</v>
      </c>
      <c r="H69" s="19">
        <f ca="1">Видатки!E78</f>
        <v>0</v>
      </c>
      <c r="I69" s="19">
        <f ca="1">Видатки!F78</f>
        <v>0</v>
      </c>
      <c r="J69" s="19">
        <f ca="1">Видатки!G78</f>
        <v>0</v>
      </c>
      <c r="K69" s="19">
        <f ca="1">Видатки!H78</f>
        <v>0</v>
      </c>
      <c r="L69" s="885" t="s">
        <v>64</v>
      </c>
      <c r="M69" s="889">
        <v>1130</v>
      </c>
      <c r="N69" s="295">
        <v>0</v>
      </c>
      <c r="O69" s="295">
        <f t="shared" si="16"/>
        <v>0</v>
      </c>
      <c r="P69" s="295">
        <f t="shared" si="17"/>
        <v>0</v>
      </c>
      <c r="Q69" s="295">
        <f t="shared" si="18"/>
        <v>0</v>
      </c>
      <c r="R69" s="295">
        <f t="shared" si="19"/>
        <v>0</v>
      </c>
      <c r="S69" s="295">
        <f t="shared" si="20"/>
        <v>0</v>
      </c>
      <c r="T69" s="295">
        <f t="shared" si="21"/>
        <v>0</v>
      </c>
      <c r="U69" s="295">
        <f t="shared" si="22"/>
        <v>0</v>
      </c>
    </row>
    <row r="70" spans="2:21" s="6" customFormat="1" ht="20.100000000000001" customHeight="1">
      <c r="B70" s="887" t="s">
        <v>65</v>
      </c>
      <c r="C70" s="907">
        <v>1140</v>
      </c>
      <c r="D70" s="21"/>
      <c r="E70" s="21">
        <f t="shared" si="24"/>
        <v>60000</v>
      </c>
      <c r="F70" s="21">
        <f t="shared" si="23"/>
        <v>60000</v>
      </c>
      <c r="G70" s="894">
        <f t="shared" si="15"/>
        <v>60000</v>
      </c>
      <c r="H70" s="894">
        <f ca="1">Видатки!E79</f>
        <v>15000</v>
      </c>
      <c r="I70" s="894">
        <f ca="1">Видатки!F79</f>
        <v>15000</v>
      </c>
      <c r="J70" s="894">
        <f ca="1">Видатки!G79</f>
        <v>15000</v>
      </c>
      <c r="K70" s="894">
        <f ca="1">Видатки!H79</f>
        <v>15000</v>
      </c>
      <c r="L70" s="887" t="s">
        <v>65</v>
      </c>
      <c r="M70" s="907">
        <v>1140</v>
      </c>
      <c r="N70" s="892"/>
      <c r="O70" s="892">
        <f t="shared" si="16"/>
        <v>60</v>
      </c>
      <c r="P70" s="892">
        <f t="shared" si="17"/>
        <v>60</v>
      </c>
      <c r="Q70" s="892">
        <f t="shared" si="18"/>
        <v>60</v>
      </c>
      <c r="R70" s="892">
        <f t="shared" si="19"/>
        <v>15</v>
      </c>
      <c r="S70" s="892">
        <f t="shared" si="20"/>
        <v>15</v>
      </c>
      <c r="T70" s="892">
        <f t="shared" si="21"/>
        <v>15</v>
      </c>
      <c r="U70" s="892">
        <f t="shared" si="22"/>
        <v>15</v>
      </c>
    </row>
    <row r="71" spans="2:21" s="6" customFormat="1" ht="20.100000000000001" customHeight="1">
      <c r="B71" s="887" t="s">
        <v>66</v>
      </c>
      <c r="C71" s="907">
        <v>1150</v>
      </c>
      <c r="D71" s="21"/>
      <c r="E71" s="21">
        <f t="shared" si="24"/>
        <v>1160000</v>
      </c>
      <c r="F71" s="21">
        <f t="shared" si="23"/>
        <v>1160000</v>
      </c>
      <c r="G71" s="894">
        <f t="shared" si="15"/>
        <v>1160000</v>
      </c>
      <c r="H71" s="894">
        <f ca="1">Видатки!E80</f>
        <v>290000</v>
      </c>
      <c r="I71" s="894">
        <f ca="1">Видатки!F80</f>
        <v>290000</v>
      </c>
      <c r="J71" s="894">
        <f ca="1">Видатки!G80</f>
        <v>290000</v>
      </c>
      <c r="K71" s="894">
        <f ca="1">Видатки!H80</f>
        <v>290000</v>
      </c>
      <c r="L71" s="887" t="s">
        <v>66</v>
      </c>
      <c r="M71" s="907">
        <v>1150</v>
      </c>
      <c r="N71" s="892"/>
      <c r="O71" s="892">
        <f t="shared" si="16"/>
        <v>1160</v>
      </c>
      <c r="P71" s="892">
        <f t="shared" si="17"/>
        <v>1160</v>
      </c>
      <c r="Q71" s="892">
        <f t="shared" si="18"/>
        <v>1160</v>
      </c>
      <c r="R71" s="892">
        <f t="shared" si="19"/>
        <v>290</v>
      </c>
      <c r="S71" s="892">
        <f t="shared" si="20"/>
        <v>290</v>
      </c>
      <c r="T71" s="892">
        <f t="shared" si="21"/>
        <v>290</v>
      </c>
      <c r="U71" s="892">
        <f t="shared" si="22"/>
        <v>290</v>
      </c>
    </row>
    <row r="72" spans="2:21" s="912" customFormat="1" ht="20.45" customHeight="1">
      <c r="B72" s="887" t="s">
        <v>1251</v>
      </c>
      <c r="C72" s="907">
        <v>1160</v>
      </c>
      <c r="D72" s="894">
        <f>D91</f>
        <v>0</v>
      </c>
      <c r="E72" s="894">
        <f>E91</f>
        <v>4190264</v>
      </c>
      <c r="F72" s="894">
        <f t="shared" si="23"/>
        <v>4190264</v>
      </c>
      <c r="G72" s="894">
        <f t="shared" si="15"/>
        <v>4190264</v>
      </c>
      <c r="H72" s="894">
        <f>H91</f>
        <v>2390264</v>
      </c>
      <c r="I72" s="894">
        <f>I91</f>
        <v>1800000</v>
      </c>
      <c r="J72" s="894">
        <f>J91</f>
        <v>0</v>
      </c>
      <c r="K72" s="894">
        <f>K91</f>
        <v>0</v>
      </c>
      <c r="L72" s="887" t="s">
        <v>1251</v>
      </c>
      <c r="M72" s="907">
        <v>1160</v>
      </c>
      <c r="N72" s="893">
        <f>D91</f>
        <v>0</v>
      </c>
      <c r="O72" s="892">
        <f t="shared" si="16"/>
        <v>4190.2640000000001</v>
      </c>
      <c r="P72" s="892">
        <f t="shared" si="17"/>
        <v>4190.2640000000001</v>
      </c>
      <c r="Q72" s="892">
        <f t="shared" si="18"/>
        <v>4190.2640000000001</v>
      </c>
      <c r="R72" s="892">
        <f t="shared" si="19"/>
        <v>2390.2640000000001</v>
      </c>
      <c r="S72" s="892">
        <f t="shared" si="20"/>
        <v>1800</v>
      </c>
      <c r="T72" s="892">
        <f t="shared" si="21"/>
        <v>0</v>
      </c>
      <c r="U72" s="892">
        <f t="shared" si="22"/>
        <v>0</v>
      </c>
    </row>
    <row r="73" spans="2:21">
      <c r="B73" s="886" t="s">
        <v>1157</v>
      </c>
      <c r="C73" s="889">
        <v>1161</v>
      </c>
      <c r="D73" s="20">
        <v>0</v>
      </c>
      <c r="E73" s="20">
        <f>G73</f>
        <v>0</v>
      </c>
      <c r="F73" s="20">
        <f t="shared" si="23"/>
        <v>0</v>
      </c>
      <c r="G73" s="19">
        <f t="shared" si="15"/>
        <v>0</v>
      </c>
      <c r="H73" s="19">
        <f ca="1">'0'!C162</f>
        <v>0</v>
      </c>
      <c r="I73" s="19">
        <f ca="1">'0'!D162</f>
        <v>0</v>
      </c>
      <c r="J73" s="19">
        <f ca="1">'0'!E162</f>
        <v>0</v>
      </c>
      <c r="K73" s="19">
        <f ca="1">'0'!F162</f>
        <v>0</v>
      </c>
      <c r="L73" s="886" t="s">
        <v>1157</v>
      </c>
      <c r="M73" s="889">
        <v>1161</v>
      </c>
      <c r="N73" s="295">
        <v>0</v>
      </c>
      <c r="O73" s="295">
        <f t="shared" si="16"/>
        <v>0</v>
      </c>
      <c r="P73" s="295">
        <f t="shared" si="17"/>
        <v>0</v>
      </c>
      <c r="Q73" s="295">
        <f t="shared" si="18"/>
        <v>0</v>
      </c>
      <c r="R73" s="295">
        <f t="shared" si="19"/>
        <v>0</v>
      </c>
      <c r="S73" s="295">
        <f t="shared" si="20"/>
        <v>0</v>
      </c>
      <c r="T73" s="295">
        <f t="shared" si="21"/>
        <v>0</v>
      </c>
      <c r="U73" s="295">
        <f t="shared" si="22"/>
        <v>0</v>
      </c>
    </row>
    <row r="74" spans="2:21">
      <c r="B74" s="886" t="s">
        <v>1158</v>
      </c>
      <c r="C74" s="889">
        <v>1162</v>
      </c>
      <c r="D74" s="20">
        <v>0</v>
      </c>
      <c r="E74" s="20">
        <f>E93</f>
        <v>3940264</v>
      </c>
      <c r="F74" s="20">
        <f t="shared" ref="F74:K74" si="25">F93</f>
        <v>3940264</v>
      </c>
      <c r="G74" s="20">
        <f t="shared" si="25"/>
        <v>3940264</v>
      </c>
      <c r="H74" s="20">
        <f t="shared" si="25"/>
        <v>2340264</v>
      </c>
      <c r="I74" s="20">
        <f t="shared" si="25"/>
        <v>1600000</v>
      </c>
      <c r="J74" s="20">
        <f t="shared" si="25"/>
        <v>0</v>
      </c>
      <c r="K74" s="20">
        <f t="shared" si="25"/>
        <v>0</v>
      </c>
      <c r="L74" s="886" t="s">
        <v>1158</v>
      </c>
      <c r="M74" s="889">
        <v>1162</v>
      </c>
      <c r="N74" s="295">
        <v>0</v>
      </c>
      <c r="O74" s="295">
        <f t="shared" si="16"/>
        <v>3940.2640000000001</v>
      </c>
      <c r="P74" s="295">
        <f t="shared" si="17"/>
        <v>3940.2640000000001</v>
      </c>
      <c r="Q74" s="295">
        <f t="shared" si="18"/>
        <v>3940.2640000000001</v>
      </c>
      <c r="R74" s="295">
        <f t="shared" si="19"/>
        <v>2340.2640000000001</v>
      </c>
      <c r="S74" s="295">
        <f t="shared" si="20"/>
        <v>1600</v>
      </c>
      <c r="T74" s="295">
        <f t="shared" si="21"/>
        <v>0</v>
      </c>
      <c r="U74" s="295">
        <f t="shared" si="22"/>
        <v>0</v>
      </c>
    </row>
    <row r="75" spans="2:21">
      <c r="B75" s="886" t="s">
        <v>1159</v>
      </c>
      <c r="C75" s="889">
        <v>1163</v>
      </c>
      <c r="D75" s="20">
        <v>0</v>
      </c>
      <c r="E75" s="20">
        <f>E94</f>
        <v>250000</v>
      </c>
      <c r="F75" s="20">
        <f t="shared" ref="F75:K75" si="26">F94</f>
        <v>250000</v>
      </c>
      <c r="G75" s="20">
        <f t="shared" si="26"/>
        <v>250000</v>
      </c>
      <c r="H75" s="20">
        <f t="shared" si="26"/>
        <v>50000</v>
      </c>
      <c r="I75" s="20">
        <f t="shared" si="26"/>
        <v>200000</v>
      </c>
      <c r="J75" s="20">
        <f t="shared" si="26"/>
        <v>0</v>
      </c>
      <c r="K75" s="20">
        <f t="shared" si="26"/>
        <v>0</v>
      </c>
      <c r="L75" s="886" t="s">
        <v>1159</v>
      </c>
      <c r="M75" s="889">
        <v>1163</v>
      </c>
      <c r="N75" s="295">
        <v>0</v>
      </c>
      <c r="O75" s="295">
        <f t="shared" si="16"/>
        <v>250</v>
      </c>
      <c r="P75" s="295">
        <f t="shared" si="17"/>
        <v>250</v>
      </c>
      <c r="Q75" s="295">
        <f t="shared" si="18"/>
        <v>250</v>
      </c>
      <c r="R75" s="295">
        <f t="shared" si="19"/>
        <v>50</v>
      </c>
      <c r="S75" s="295">
        <f t="shared" si="20"/>
        <v>200</v>
      </c>
      <c r="T75" s="295">
        <f t="shared" si="21"/>
        <v>0</v>
      </c>
      <c r="U75" s="295">
        <f t="shared" si="22"/>
        <v>0</v>
      </c>
    </row>
    <row r="76" spans="2:21" s="6" customFormat="1" ht="20.100000000000001" customHeight="1">
      <c r="B76" s="887" t="s">
        <v>67</v>
      </c>
      <c r="C76" s="907">
        <v>1170</v>
      </c>
      <c r="D76" s="894">
        <f>D78+D77</f>
        <v>0</v>
      </c>
      <c r="E76" s="894">
        <f>E78+E77</f>
        <v>160000</v>
      </c>
      <c r="F76" s="894">
        <f>F78+F77</f>
        <v>160000</v>
      </c>
      <c r="G76" s="894">
        <f>G77+G78</f>
        <v>160000</v>
      </c>
      <c r="H76" s="894">
        <f>H77+H78</f>
        <v>40000</v>
      </c>
      <c r="I76" s="894">
        <f>I77+I78</f>
        <v>40000</v>
      </c>
      <c r="J76" s="894">
        <f>J77+J78</f>
        <v>40000</v>
      </c>
      <c r="K76" s="894">
        <f>K77+K78</f>
        <v>40000</v>
      </c>
      <c r="L76" s="887" t="s">
        <v>67</v>
      </c>
      <c r="M76" s="907">
        <v>1170</v>
      </c>
      <c r="N76" s="893">
        <f>D78+D77</f>
        <v>0</v>
      </c>
      <c r="O76" s="892">
        <f t="shared" si="16"/>
        <v>160</v>
      </c>
      <c r="P76" s="892">
        <f t="shared" si="17"/>
        <v>160</v>
      </c>
      <c r="Q76" s="892">
        <f t="shared" si="18"/>
        <v>160</v>
      </c>
      <c r="R76" s="892">
        <f t="shared" si="19"/>
        <v>40</v>
      </c>
      <c r="S76" s="892">
        <f t="shared" si="20"/>
        <v>40</v>
      </c>
      <c r="T76" s="892">
        <f t="shared" si="21"/>
        <v>40</v>
      </c>
      <c r="U76" s="892">
        <f t="shared" si="22"/>
        <v>40</v>
      </c>
    </row>
    <row r="77" spans="2:21" ht="20.100000000000001" customHeight="1">
      <c r="B77" s="886" t="s">
        <v>195</v>
      </c>
      <c r="C77" s="889">
        <v>1171</v>
      </c>
      <c r="D77" s="20"/>
      <c r="E77" s="20">
        <f>G77</f>
        <v>160000</v>
      </c>
      <c r="F77" s="20">
        <f>E77</f>
        <v>160000</v>
      </c>
      <c r="G77" s="19">
        <f>SUM(H77:K77)</f>
        <v>160000</v>
      </c>
      <c r="H77" s="19">
        <f ca="1">Видатки!E83</f>
        <v>40000</v>
      </c>
      <c r="I77" s="19">
        <f ca="1">Видатки!F83</f>
        <v>40000</v>
      </c>
      <c r="J77" s="19">
        <f ca="1">Видатки!G83</f>
        <v>40000</v>
      </c>
      <c r="K77" s="19">
        <f ca="1">Видатки!H83</f>
        <v>40000</v>
      </c>
      <c r="L77" s="886" t="s">
        <v>195</v>
      </c>
      <c r="M77" s="889">
        <v>1171</v>
      </c>
      <c r="N77" s="295"/>
      <c r="O77" s="295">
        <f t="shared" si="16"/>
        <v>160</v>
      </c>
      <c r="P77" s="295">
        <f t="shared" si="17"/>
        <v>160</v>
      </c>
      <c r="Q77" s="295">
        <f t="shared" si="18"/>
        <v>160</v>
      </c>
      <c r="R77" s="295">
        <f t="shared" si="19"/>
        <v>40</v>
      </c>
      <c r="S77" s="295">
        <f t="shared" si="20"/>
        <v>40</v>
      </c>
      <c r="T77" s="295">
        <f t="shared" si="21"/>
        <v>40</v>
      </c>
      <c r="U77" s="295">
        <f t="shared" si="22"/>
        <v>40</v>
      </c>
    </row>
    <row r="78" spans="2:21" ht="20.100000000000001" customHeight="1">
      <c r="B78" s="886" t="s">
        <v>53</v>
      </c>
      <c r="C78" s="889">
        <v>1172</v>
      </c>
      <c r="D78" s="20"/>
      <c r="E78" s="20">
        <f>G78</f>
        <v>0</v>
      </c>
      <c r="F78" s="20">
        <f>E78</f>
        <v>0</v>
      </c>
      <c r="G78" s="19">
        <f>H78+I78+J78+K78</f>
        <v>0</v>
      </c>
      <c r="H78" s="19">
        <f ca="1">Видатки!E81</f>
        <v>0</v>
      </c>
      <c r="I78" s="19">
        <f ca="1">Видатки!F81</f>
        <v>0</v>
      </c>
      <c r="J78" s="19">
        <f ca="1">Видатки!G81</f>
        <v>0</v>
      </c>
      <c r="K78" s="19">
        <f ca="1">Видатки!H81</f>
        <v>0</v>
      </c>
      <c r="L78" s="886" t="s">
        <v>53</v>
      </c>
      <c r="M78" s="889">
        <v>1172</v>
      </c>
      <c r="N78" s="295"/>
      <c r="O78" s="295">
        <f t="shared" si="16"/>
        <v>0</v>
      </c>
      <c r="P78" s="295">
        <f t="shared" si="17"/>
        <v>0</v>
      </c>
      <c r="Q78" s="295">
        <f t="shared" si="18"/>
        <v>0</v>
      </c>
      <c r="R78" s="295">
        <f t="shared" si="19"/>
        <v>0</v>
      </c>
      <c r="S78" s="295">
        <f t="shared" si="20"/>
        <v>0</v>
      </c>
      <c r="T78" s="295">
        <f t="shared" si="21"/>
        <v>0</v>
      </c>
      <c r="U78" s="295">
        <f t="shared" si="22"/>
        <v>0</v>
      </c>
    </row>
    <row r="79" spans="2:21" ht="20.100000000000001" customHeight="1">
      <c r="B79" s="885" t="s">
        <v>68</v>
      </c>
      <c r="C79" s="889">
        <v>1180</v>
      </c>
      <c r="D79" s="20">
        <v>0</v>
      </c>
      <c r="E79" s="20">
        <f>G79</f>
        <v>0</v>
      </c>
      <c r="F79" s="20">
        <f>E79</f>
        <v>0</v>
      </c>
      <c r="G79" s="19">
        <f>H79+I79+J79+K79</f>
        <v>0</v>
      </c>
      <c r="H79" s="19">
        <f ca="1">Видатки!E82</f>
        <v>0</v>
      </c>
      <c r="I79" s="19">
        <f ca="1">Видатки!F82</f>
        <v>0</v>
      </c>
      <c r="J79" s="19">
        <f ca="1">Видатки!G82</f>
        <v>0</v>
      </c>
      <c r="K79" s="19">
        <f ca="1">Видатки!H82</f>
        <v>0</v>
      </c>
      <c r="L79" s="885" t="s">
        <v>68</v>
      </c>
      <c r="M79" s="889">
        <v>1180</v>
      </c>
      <c r="N79" s="295">
        <v>0</v>
      </c>
      <c r="O79" s="295">
        <f t="shared" si="16"/>
        <v>0</v>
      </c>
      <c r="P79" s="295">
        <f t="shared" si="17"/>
        <v>0</v>
      </c>
      <c r="Q79" s="295">
        <f t="shared" si="18"/>
        <v>0</v>
      </c>
      <c r="R79" s="295">
        <f t="shared" si="19"/>
        <v>0</v>
      </c>
      <c r="S79" s="295">
        <f t="shared" si="20"/>
        <v>0</v>
      </c>
      <c r="T79" s="295">
        <f t="shared" si="21"/>
        <v>0</v>
      </c>
      <c r="U79" s="295">
        <f t="shared" si="22"/>
        <v>0</v>
      </c>
    </row>
    <row r="80" spans="2:21" s="6" customFormat="1" ht="19.5" customHeight="1">
      <c r="B80" s="887" t="s">
        <v>69</v>
      </c>
      <c r="C80" s="907">
        <v>1200</v>
      </c>
      <c r="D80" s="894">
        <f>D39+D40+D44+D48</f>
        <v>0</v>
      </c>
      <c r="E80" s="894">
        <f>E39+E40+E44+E48</f>
        <v>64617719.576478519</v>
      </c>
      <c r="F80" s="894">
        <f>F39+F40+F44+F48</f>
        <v>64617719.576478519</v>
      </c>
      <c r="G80" s="894">
        <f>H80+I80+J80+K80</f>
        <v>64617719.576478519</v>
      </c>
      <c r="H80" s="894">
        <f>H39+H40+H44+H48</f>
        <v>18320956.455546424</v>
      </c>
      <c r="I80" s="894">
        <f>I39+I40+I44+I48</f>
        <v>16392165.765567528</v>
      </c>
      <c r="J80" s="894">
        <f>J39+J40+J44+J48</f>
        <v>14245626.607999999</v>
      </c>
      <c r="K80" s="894">
        <f>K39+K40+K44+K48</f>
        <v>15658970.747364575</v>
      </c>
      <c r="L80" s="887" t="s">
        <v>69</v>
      </c>
      <c r="M80" s="907">
        <v>1200</v>
      </c>
      <c r="N80" s="893">
        <f>D39+D40+D44+D48</f>
        <v>0</v>
      </c>
      <c r="O80" s="892">
        <f t="shared" ref="O80:U81" si="27">E80/1000</f>
        <v>64617.719576478521</v>
      </c>
      <c r="P80" s="892">
        <f t="shared" si="27"/>
        <v>64617.719576478521</v>
      </c>
      <c r="Q80" s="892">
        <f t="shared" si="27"/>
        <v>64617.719576478521</v>
      </c>
      <c r="R80" s="892">
        <f t="shared" si="27"/>
        <v>18320.956455546424</v>
      </c>
      <c r="S80" s="892">
        <f t="shared" si="27"/>
        <v>16392.16576556753</v>
      </c>
      <c r="T80" s="892">
        <f t="shared" si="27"/>
        <v>14245.626607999999</v>
      </c>
      <c r="U80" s="892">
        <f t="shared" si="27"/>
        <v>15658.970747364576</v>
      </c>
    </row>
    <row r="81" spans="2:21" s="6" customFormat="1" ht="19.5" customHeight="1">
      <c r="B81" s="887" t="s">
        <v>70</v>
      </c>
      <c r="C81" s="907">
        <v>1300</v>
      </c>
      <c r="D81" s="894">
        <f>SUM(D52:D53)+D69+D70+D71+D76+D79+D55+D56+D57+SUM(D58:D62)+D72</f>
        <v>0</v>
      </c>
      <c r="E81" s="894">
        <f>SUM(E52:E53)+E69+E70+E71+E76+E79+E55+E56+E57+SUM(E58:E62)+E72</f>
        <v>64617719.581050873</v>
      </c>
      <c r="F81" s="894">
        <f>SUM(F52:F53)+F69+F70+F71+F76+F79+F55+F56+F57+SUM(F58:F62)+F72</f>
        <v>64617719.581050873</v>
      </c>
      <c r="G81" s="894">
        <f>H81+I81+J81+K81</f>
        <v>64617719.581050873</v>
      </c>
      <c r="H81" s="894">
        <f>SUM(H52:H53)+H69+H70+H71+H76+H79+H55+H56+H57+SUM(H58:H62)+H72</f>
        <v>18320956.455546424</v>
      </c>
      <c r="I81" s="894">
        <f>SUM(I52:I53)+I69+I70+I71+I76+I79+I55+I56+I57+SUM(I58:I62)+I72</f>
        <v>16392165.765567487</v>
      </c>
      <c r="J81" s="894">
        <f>SUM(J52:J53)+J69+J70+J71+J76+J79+J55+J56+J57+SUM(J58:J62)+J72</f>
        <v>14245626.612562485</v>
      </c>
      <c r="K81" s="894">
        <f>SUM(K52:K53)+K69+K70+K71+K76+K79+K55+K56+K57+SUM(K58:K62)+K72</f>
        <v>15658970.747374479</v>
      </c>
      <c r="L81" s="887" t="s">
        <v>70</v>
      </c>
      <c r="M81" s="907">
        <v>1300</v>
      </c>
      <c r="N81" s="893">
        <f>SUM(D52:D53)+D69+D70+D71+D76+D79+D55+D56+D57+SUM(D58:D62)+D72</f>
        <v>0</v>
      </c>
      <c r="O81" s="892">
        <f t="shared" si="27"/>
        <v>64617.719581050871</v>
      </c>
      <c r="P81" s="892">
        <f t="shared" si="27"/>
        <v>64617.719581050871</v>
      </c>
      <c r="Q81" s="892">
        <f t="shared" si="27"/>
        <v>64617.719581050871</v>
      </c>
      <c r="R81" s="892">
        <f t="shared" si="27"/>
        <v>18320.956455546424</v>
      </c>
      <c r="S81" s="892">
        <f t="shared" si="27"/>
        <v>16392.165765567486</v>
      </c>
      <c r="T81" s="892">
        <f t="shared" si="27"/>
        <v>14245.626612562484</v>
      </c>
      <c r="U81" s="892">
        <f t="shared" si="27"/>
        <v>15658.970747374478</v>
      </c>
    </row>
    <row r="82" spans="2:21" s="6" customFormat="1" ht="19.5" customHeight="1">
      <c r="B82" s="887" t="s">
        <v>71</v>
      </c>
      <c r="C82" s="907">
        <v>1400</v>
      </c>
      <c r="D82" s="894">
        <f t="shared" ref="D82:K82" si="28">D80-D81</f>
        <v>0</v>
      </c>
      <c r="E82" s="894">
        <f t="shared" si="28"/>
        <v>-4.572354257106781E-3</v>
      </c>
      <c r="F82" s="894">
        <f t="shared" si="28"/>
        <v>-4.572354257106781E-3</v>
      </c>
      <c r="G82" s="894">
        <f t="shared" si="28"/>
        <v>-4.572354257106781E-3</v>
      </c>
      <c r="H82" s="894">
        <f t="shared" si="28"/>
        <v>0</v>
      </c>
      <c r="I82" s="894">
        <f t="shared" si="28"/>
        <v>4.0978193283081055E-8</v>
      </c>
      <c r="J82" s="894">
        <f t="shared" si="28"/>
        <v>-4.5624859631061554E-3</v>
      </c>
      <c r="K82" s="894">
        <f t="shared" si="28"/>
        <v>-9.9036842584609985E-6</v>
      </c>
      <c r="L82" s="887" t="s">
        <v>71</v>
      </c>
      <c r="M82" s="907">
        <v>1400</v>
      </c>
      <c r="N82" s="893">
        <f t="shared" ref="N82:U82" si="29">N80-N81</f>
        <v>0</v>
      </c>
      <c r="O82" s="893">
        <f t="shared" si="29"/>
        <v>-4.5723500079475343E-6</v>
      </c>
      <c r="P82" s="893">
        <f t="shared" si="29"/>
        <v>-4.5723500079475343E-6</v>
      </c>
      <c r="Q82" s="893">
        <f t="shared" si="29"/>
        <v>-4.5723500079475343E-6</v>
      </c>
      <c r="R82" s="893">
        <f t="shared" si="29"/>
        <v>0</v>
      </c>
      <c r="S82" s="893">
        <f t="shared" si="29"/>
        <v>4.3655745685100555E-11</v>
      </c>
      <c r="T82" s="893">
        <f t="shared" si="29"/>
        <v>-4.5624856284121051E-6</v>
      </c>
      <c r="U82" s="893">
        <f t="shared" si="29"/>
        <v>-9.9025783129036427E-9</v>
      </c>
    </row>
    <row r="83" spans="2:21" ht="19.5" customHeight="1">
      <c r="B83" s="1057"/>
      <c r="C83" s="1058"/>
      <c r="D83" s="1058"/>
      <c r="E83" s="1058"/>
      <c r="F83" s="1058"/>
      <c r="G83" s="1058"/>
      <c r="H83" s="1058"/>
      <c r="I83" s="1058"/>
      <c r="J83" s="1058"/>
      <c r="K83" s="1059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</row>
    <row r="84" spans="2:21" ht="19.5" customHeight="1">
      <c r="B84" s="1032" t="s">
        <v>72</v>
      </c>
      <c r="C84" s="1032"/>
      <c r="D84" s="1032"/>
      <c r="E84" s="1032"/>
      <c r="F84" s="1032"/>
      <c r="G84" s="1032"/>
      <c r="H84" s="1032"/>
      <c r="I84" s="1032"/>
      <c r="J84" s="1032"/>
      <c r="K84" s="1032"/>
      <c r="L84" s="1032" t="s">
        <v>72</v>
      </c>
      <c r="M84" s="1032"/>
      <c r="N84" s="1032"/>
      <c r="O84" s="1032"/>
      <c r="P84" s="1032"/>
      <c r="Q84" s="1032"/>
      <c r="R84" s="1032"/>
      <c r="S84" s="1032"/>
      <c r="T84" s="1032"/>
      <c r="U84" s="1032"/>
    </row>
    <row r="85" spans="2:21" ht="37.5">
      <c r="B85" s="7" t="s">
        <v>73</v>
      </c>
      <c r="C85" s="764">
        <v>2010</v>
      </c>
      <c r="D85" s="20"/>
      <c r="E85" s="20">
        <f>G85</f>
        <v>7574860.314338102</v>
      </c>
      <c r="F85" s="20">
        <f>G85</f>
        <v>7574860.314338102</v>
      </c>
      <c r="G85" s="19">
        <f>H85+I85+J85+K85</f>
        <v>7574860.314338102</v>
      </c>
      <c r="H85" s="19">
        <f ca="1">Видатки!AV10+Видатки!AV12+Видатки!AV14+Видатки!AV16+Видатки!AV18+Видатки!AV20+Видатки!E84</f>
        <v>1891538.9617161113</v>
      </c>
      <c r="I85" s="19">
        <f ca="1">Видатки!AW10+Видатки!AW12+Видатки!AW14+Видатки!AW16+Видатки!AW18+Видатки!AW20+Видатки!F84</f>
        <v>1900954.1766360747</v>
      </c>
      <c r="J85" s="19">
        <f ca="1">Видатки!AX10+Видатки!AX12+Видатки!AX14+Видатки!AX16+Видатки!AX18+Видатки!AX20+Видатки!G84</f>
        <v>1880736.0610735123</v>
      </c>
      <c r="K85" s="19">
        <f ca="1">Видатки!AY10+Видатки!AY12+Видатки!AY14+Видатки!AY16+Видатки!AY18+Видатки!AY20+Видатки!H84</f>
        <v>1901631.1149124037</v>
      </c>
      <c r="L85" s="7" t="s">
        <v>73</v>
      </c>
      <c r="M85" s="764">
        <v>2010</v>
      </c>
      <c r="N85" s="20"/>
      <c r="O85" s="295">
        <f t="shared" ref="O85:U88" si="30">E85/1000</f>
        <v>7574.8603143381024</v>
      </c>
      <c r="P85" s="295">
        <f t="shared" si="30"/>
        <v>7574.8603143381024</v>
      </c>
      <c r="Q85" s="295">
        <f t="shared" si="30"/>
        <v>7574.8603143381024</v>
      </c>
      <c r="R85" s="295">
        <f t="shared" si="30"/>
        <v>1891.5389617161113</v>
      </c>
      <c r="S85" s="295">
        <f t="shared" si="30"/>
        <v>1900.9541766360746</v>
      </c>
      <c r="T85" s="295">
        <f t="shared" si="30"/>
        <v>1880.7360610735122</v>
      </c>
      <c r="U85" s="295">
        <f t="shared" si="30"/>
        <v>1901.6311149124037</v>
      </c>
    </row>
    <row r="86" spans="2:21">
      <c r="B86" s="7" t="s">
        <v>74</v>
      </c>
      <c r="C86" s="764">
        <v>2020</v>
      </c>
      <c r="D86" s="20"/>
      <c r="E86" s="20">
        <f>G86</f>
        <v>10200</v>
      </c>
      <c r="F86" s="20">
        <f>G86</f>
        <v>10200</v>
      </c>
      <c r="G86" s="19">
        <f>H86+I86+J86+K86</f>
        <v>10200</v>
      </c>
      <c r="H86" s="19">
        <f ca="1">Видатки!E85+Видатки!E86+Видатки!E87+Видатки!E88</f>
        <v>2550</v>
      </c>
      <c r="I86" s="19">
        <f ca="1">Видатки!F85+Видатки!F86+Видатки!F87+Видатки!F88</f>
        <v>2550</v>
      </c>
      <c r="J86" s="19">
        <f ca="1">Видатки!G85+Видатки!G86+Видатки!G87+Видатки!G88</f>
        <v>2550</v>
      </c>
      <c r="K86" s="19">
        <f ca="1">Видатки!H85+Видатки!H86+Видатки!H87+Видатки!H88</f>
        <v>2550</v>
      </c>
      <c r="L86" s="7" t="s">
        <v>74</v>
      </c>
      <c r="M86" s="764">
        <v>2020</v>
      </c>
      <c r="N86" s="20"/>
      <c r="O86" s="295">
        <f t="shared" si="30"/>
        <v>10.199999999999999</v>
      </c>
      <c r="P86" s="295">
        <f t="shared" si="30"/>
        <v>10.199999999999999</v>
      </c>
      <c r="Q86" s="295">
        <f t="shared" si="30"/>
        <v>10.199999999999999</v>
      </c>
      <c r="R86" s="295">
        <f t="shared" si="30"/>
        <v>2.5499999999999998</v>
      </c>
      <c r="S86" s="295">
        <f t="shared" si="30"/>
        <v>2.5499999999999998</v>
      </c>
      <c r="T86" s="295">
        <f t="shared" si="30"/>
        <v>2.5499999999999998</v>
      </c>
      <c r="U86" s="295">
        <f t="shared" si="30"/>
        <v>2.5499999999999998</v>
      </c>
    </row>
    <row r="87" spans="2:21" ht="19.5" customHeight="1">
      <c r="B87" s="7" t="s">
        <v>75</v>
      </c>
      <c r="C87" s="764">
        <v>2030</v>
      </c>
      <c r="D87" s="22"/>
      <c r="E87" s="20">
        <f>G87</f>
        <v>8354919.3289968334</v>
      </c>
      <c r="F87" s="20">
        <f>G87</f>
        <v>8354919.3289968334</v>
      </c>
      <c r="G87" s="19">
        <f>H87+I87+J87+K87</f>
        <v>8354919.3289968334</v>
      </c>
      <c r="H87" s="19">
        <f ca="1">H53+Видатки!E89+H56</f>
        <v>2086274.7260386897</v>
      </c>
      <c r="I87" s="19">
        <f ca="1">I53+Видатки!F89+I56</f>
        <v>2096897.0197945456</v>
      </c>
      <c r="J87" s="19">
        <f ca="1">J53+Видатки!G89+J56</f>
        <v>2074086.8381342189</v>
      </c>
      <c r="K87" s="19">
        <f ca="1">K53+Видатки!H89+K56</f>
        <v>2097660.7450293787</v>
      </c>
      <c r="L87" s="7" t="s">
        <v>75</v>
      </c>
      <c r="M87" s="764">
        <v>2030</v>
      </c>
      <c r="N87" s="22"/>
      <c r="O87" s="295">
        <f t="shared" si="30"/>
        <v>8354.9193289968334</v>
      </c>
      <c r="P87" s="295">
        <f t="shared" si="30"/>
        <v>8354.9193289968334</v>
      </c>
      <c r="Q87" s="295">
        <f t="shared" si="30"/>
        <v>8354.9193289968334</v>
      </c>
      <c r="R87" s="295">
        <f t="shared" si="30"/>
        <v>2086.2747260386896</v>
      </c>
      <c r="S87" s="295">
        <f t="shared" si="30"/>
        <v>2096.8970197945455</v>
      </c>
      <c r="T87" s="295">
        <f t="shared" si="30"/>
        <v>2074.0868381342189</v>
      </c>
      <c r="U87" s="295">
        <f t="shared" si="30"/>
        <v>2097.6607450293786</v>
      </c>
    </row>
    <row r="88" spans="2:21">
      <c r="B88" s="7" t="s">
        <v>76</v>
      </c>
      <c r="C88" s="764">
        <v>2040</v>
      </c>
      <c r="D88" s="20"/>
      <c r="E88" s="20">
        <f>G88</f>
        <v>0</v>
      </c>
      <c r="F88" s="20">
        <f>G88</f>
        <v>0</v>
      </c>
      <c r="G88" s="19">
        <f>H88+I88+J88+K88</f>
        <v>0</v>
      </c>
      <c r="H88" s="19">
        <f ca="1">Видатки!E90</f>
        <v>0</v>
      </c>
      <c r="I88" s="19">
        <f ca="1">Видатки!F90</f>
        <v>0</v>
      </c>
      <c r="J88" s="19">
        <f ca="1">Видатки!G90</f>
        <v>0</v>
      </c>
      <c r="K88" s="19">
        <f ca="1">Видатки!H90</f>
        <v>0</v>
      </c>
      <c r="L88" s="7" t="s">
        <v>76</v>
      </c>
      <c r="M88" s="764">
        <v>2040</v>
      </c>
      <c r="N88" s="20"/>
      <c r="O88" s="295">
        <f t="shared" si="30"/>
        <v>0</v>
      </c>
      <c r="P88" s="295">
        <f t="shared" si="30"/>
        <v>0</v>
      </c>
      <c r="Q88" s="295">
        <f t="shared" si="30"/>
        <v>0</v>
      </c>
      <c r="R88" s="295">
        <f t="shared" si="30"/>
        <v>0</v>
      </c>
      <c r="S88" s="295">
        <f t="shared" si="30"/>
        <v>0</v>
      </c>
      <c r="T88" s="295">
        <f t="shared" si="30"/>
        <v>0</v>
      </c>
      <c r="U88" s="295">
        <f t="shared" si="30"/>
        <v>0</v>
      </c>
    </row>
    <row r="89" spans="2:21" ht="19.5" customHeight="1">
      <c r="B89" s="1036"/>
      <c r="C89" s="1036"/>
      <c r="D89" s="1036"/>
      <c r="E89" s="1036"/>
      <c r="F89" s="1036"/>
      <c r="G89" s="1036"/>
      <c r="H89" s="1036"/>
      <c r="I89" s="1036"/>
      <c r="J89" s="1036"/>
      <c r="K89" s="1036"/>
      <c r="L89" s="1036"/>
      <c r="M89" s="1036"/>
      <c r="N89" s="1036"/>
      <c r="O89" s="1036"/>
      <c r="P89" s="1036"/>
      <c r="Q89" s="1036"/>
      <c r="R89" s="1036"/>
      <c r="S89" s="1036"/>
      <c r="T89" s="1036"/>
      <c r="U89" s="1036"/>
    </row>
    <row r="90" spans="2:21" ht="20.100000000000001" customHeight="1">
      <c r="B90" s="1032" t="s">
        <v>127</v>
      </c>
      <c r="C90" s="1032"/>
      <c r="D90" s="1032"/>
      <c r="E90" s="1032"/>
      <c r="F90" s="1032"/>
      <c r="G90" s="1032"/>
      <c r="H90" s="1032"/>
      <c r="I90" s="1032"/>
      <c r="J90" s="1032"/>
      <c r="K90" s="1032"/>
      <c r="L90" s="1032" t="s">
        <v>127</v>
      </c>
      <c r="M90" s="1032"/>
      <c r="N90" s="1032"/>
      <c r="O90" s="1032"/>
      <c r="P90" s="1032"/>
      <c r="Q90" s="1032"/>
      <c r="R90" s="1032"/>
      <c r="S90" s="1032"/>
      <c r="T90" s="1032"/>
      <c r="U90" s="1032"/>
    </row>
    <row r="91" spans="2:21" ht="22.15" customHeight="1">
      <c r="B91" s="17" t="s">
        <v>128</v>
      </c>
      <c r="C91" s="35">
        <v>3020</v>
      </c>
      <c r="D91" s="19">
        <f>SUM(D92:D97)</f>
        <v>0</v>
      </c>
      <c r="E91" s="19">
        <f>SUM(E92:E97)</f>
        <v>4190264</v>
      </c>
      <c r="F91" s="19">
        <f>SUM(F92:F97)</f>
        <v>4190264</v>
      </c>
      <c r="G91" s="19">
        <f t="shared" ref="G91:G97" si="31">H91+I91+J91+K91</f>
        <v>4190264</v>
      </c>
      <c r="H91" s="19">
        <f>SUM(H92:H97)</f>
        <v>2390264</v>
      </c>
      <c r="I91" s="19">
        <f>SUM(I92:I97)</f>
        <v>1800000</v>
      </c>
      <c r="J91" s="19">
        <f>SUM(J92:J97)</f>
        <v>0</v>
      </c>
      <c r="K91" s="19">
        <f>SUM(K92:K97)</f>
        <v>0</v>
      </c>
      <c r="L91" s="17" t="s">
        <v>128</v>
      </c>
      <c r="M91" s="35">
        <v>3020</v>
      </c>
      <c r="N91" s="19">
        <f>SUM(D92:D97)</f>
        <v>0</v>
      </c>
      <c r="O91" s="295">
        <f t="shared" ref="O91:U91" si="32">E91/1000</f>
        <v>4190.2640000000001</v>
      </c>
      <c r="P91" s="295">
        <f t="shared" si="32"/>
        <v>4190.2640000000001</v>
      </c>
      <c r="Q91" s="295">
        <f t="shared" si="32"/>
        <v>4190.2640000000001</v>
      </c>
      <c r="R91" s="295">
        <f t="shared" si="32"/>
        <v>2390.2640000000001</v>
      </c>
      <c r="S91" s="295">
        <f t="shared" si="32"/>
        <v>1800</v>
      </c>
      <c r="T91" s="295">
        <f t="shared" si="32"/>
        <v>0</v>
      </c>
      <c r="U91" s="295">
        <f t="shared" si="32"/>
        <v>0</v>
      </c>
    </row>
    <row r="92" spans="2:21" ht="20.100000000000001" customHeight="1">
      <c r="B92" s="8" t="s">
        <v>77</v>
      </c>
      <c r="C92" s="765">
        <v>3021</v>
      </c>
      <c r="D92" s="20">
        <v>0</v>
      </c>
      <c r="E92" s="20">
        <f>G92</f>
        <v>0</v>
      </c>
      <c r="F92" s="20">
        <f t="shared" ref="F92:F99" si="33">G92</f>
        <v>0</v>
      </c>
      <c r="G92" s="19">
        <f t="shared" si="31"/>
        <v>0</v>
      </c>
      <c r="H92" s="19">
        <f ca="1">Видатки!E91</f>
        <v>0</v>
      </c>
      <c r="I92" s="19">
        <f ca="1">Видатки!F91</f>
        <v>0</v>
      </c>
      <c r="J92" s="19">
        <f ca="1">Видатки!G91</f>
        <v>0</v>
      </c>
      <c r="K92" s="19">
        <f ca="1">Видатки!H91</f>
        <v>0</v>
      </c>
      <c r="L92" s="8" t="s">
        <v>77</v>
      </c>
      <c r="M92" s="765">
        <v>3021</v>
      </c>
      <c r="N92" s="20">
        <v>0</v>
      </c>
      <c r="O92" s="295">
        <f t="shared" ref="O92:O99" si="34">E92/1000</f>
        <v>0</v>
      </c>
      <c r="P92" s="295">
        <f t="shared" ref="P92:P99" si="35">F92/1000</f>
        <v>0</v>
      </c>
      <c r="Q92" s="295">
        <f t="shared" ref="Q92:Q99" si="36">G92/1000</f>
        <v>0</v>
      </c>
      <c r="R92" s="295">
        <f t="shared" ref="R92:R99" si="37">H92/1000</f>
        <v>0</v>
      </c>
      <c r="S92" s="295">
        <f t="shared" ref="S92:S99" si="38">I92/1000</f>
        <v>0</v>
      </c>
      <c r="T92" s="295">
        <f t="shared" ref="T92:T99" si="39">J92/1000</f>
        <v>0</v>
      </c>
      <c r="U92" s="295">
        <f t="shared" ref="U92:U99" si="40">K92/1000</f>
        <v>0</v>
      </c>
    </row>
    <row r="93" spans="2:21" ht="20.100000000000001" customHeight="1">
      <c r="B93" s="8" t="s">
        <v>78</v>
      </c>
      <c r="C93" s="35">
        <v>3022</v>
      </c>
      <c r="D93" s="20"/>
      <c r="E93" s="20">
        <f t="shared" ref="E93:E99" si="41">G93</f>
        <v>3940264</v>
      </c>
      <c r="F93" s="20">
        <f t="shared" si="33"/>
        <v>3940264</v>
      </c>
      <c r="G93" s="19">
        <f t="shared" si="31"/>
        <v>3940264</v>
      </c>
      <c r="H93" s="19">
        <f ca="1">'0'!C155+'0'!C163+Видатки!E92</f>
        <v>2340264</v>
      </c>
      <c r="I93" s="19">
        <f ca="1">'0'!D155+'0'!D163+Видатки!F92</f>
        <v>1600000</v>
      </c>
      <c r="J93" s="19">
        <f ca="1">'0'!E155+'0'!E163+Видатки!G92</f>
        <v>0</v>
      </c>
      <c r="K93" s="19">
        <f ca="1">'0'!F155+'0'!F163+Видатки!H92</f>
        <v>0</v>
      </c>
      <c r="L93" s="8" t="s">
        <v>78</v>
      </c>
      <c r="M93" s="35">
        <v>3022</v>
      </c>
      <c r="N93" s="20"/>
      <c r="O93" s="295">
        <f t="shared" si="34"/>
        <v>3940.2640000000001</v>
      </c>
      <c r="P93" s="295">
        <f t="shared" si="35"/>
        <v>3940.2640000000001</v>
      </c>
      <c r="Q93" s="295">
        <f t="shared" si="36"/>
        <v>3940.2640000000001</v>
      </c>
      <c r="R93" s="295">
        <f t="shared" si="37"/>
        <v>2340.2640000000001</v>
      </c>
      <c r="S93" s="295">
        <f t="shared" si="38"/>
        <v>1600</v>
      </c>
      <c r="T93" s="295">
        <f t="shared" si="39"/>
        <v>0</v>
      </c>
      <c r="U93" s="295">
        <f t="shared" si="40"/>
        <v>0</v>
      </c>
    </row>
    <row r="94" spans="2:21" ht="20.100000000000001" customHeight="1">
      <c r="B94" s="8" t="s">
        <v>79</v>
      </c>
      <c r="C94" s="765">
        <v>3023</v>
      </c>
      <c r="D94" s="20"/>
      <c r="E94" s="20">
        <f t="shared" si="41"/>
        <v>250000</v>
      </c>
      <c r="F94" s="20">
        <f t="shared" si="33"/>
        <v>250000</v>
      </c>
      <c r="G94" s="19">
        <f t="shared" si="31"/>
        <v>250000</v>
      </c>
      <c r="H94" s="19">
        <f ca="1">'0'!C154+'0'!C156+'0'!C162+'0'!C164+Видатки!E93</f>
        <v>50000</v>
      </c>
      <c r="I94" s="19">
        <f ca="1">'0'!D154+'0'!D156+'0'!D162+'0'!D164+Видатки!F93</f>
        <v>200000</v>
      </c>
      <c r="J94" s="19">
        <f ca="1">'0'!E154+'0'!E156+'0'!E162+'0'!E164+Видатки!G93</f>
        <v>0</v>
      </c>
      <c r="K94" s="19">
        <f ca="1">'0'!F154+'0'!F156+'0'!F162+'0'!F164+Видатки!H93</f>
        <v>0</v>
      </c>
      <c r="L94" s="8" t="s">
        <v>79</v>
      </c>
      <c r="M94" s="765">
        <v>3023</v>
      </c>
      <c r="N94" s="20"/>
      <c r="O94" s="295">
        <f t="shared" si="34"/>
        <v>250</v>
      </c>
      <c r="P94" s="295">
        <f t="shared" si="35"/>
        <v>250</v>
      </c>
      <c r="Q94" s="295">
        <f t="shared" si="36"/>
        <v>250</v>
      </c>
      <c r="R94" s="295">
        <f t="shared" si="37"/>
        <v>50</v>
      </c>
      <c r="S94" s="295">
        <f t="shared" si="38"/>
        <v>200</v>
      </c>
      <c r="T94" s="295">
        <f t="shared" si="39"/>
        <v>0</v>
      </c>
      <c r="U94" s="295">
        <f t="shared" si="40"/>
        <v>0</v>
      </c>
    </row>
    <row r="95" spans="2:21" ht="20.100000000000001" customHeight="1">
      <c r="B95" s="8" t="s">
        <v>80</v>
      </c>
      <c r="C95" s="35">
        <v>3024</v>
      </c>
      <c r="D95" s="20"/>
      <c r="E95" s="20">
        <f t="shared" si="41"/>
        <v>0</v>
      </c>
      <c r="F95" s="20">
        <f t="shared" si="33"/>
        <v>0</v>
      </c>
      <c r="G95" s="19">
        <f t="shared" si="31"/>
        <v>0</v>
      </c>
      <c r="H95" s="19">
        <f ca="1">Видатки!E94</f>
        <v>0</v>
      </c>
      <c r="I95" s="19">
        <f ca="1">Видатки!F94</f>
        <v>0</v>
      </c>
      <c r="J95" s="19">
        <f ca="1">Видатки!G94</f>
        <v>0</v>
      </c>
      <c r="K95" s="19">
        <f ca="1">Видатки!H94</f>
        <v>0</v>
      </c>
      <c r="L95" s="8" t="s">
        <v>80</v>
      </c>
      <c r="M95" s="35">
        <v>3024</v>
      </c>
      <c r="N95" s="20"/>
      <c r="O95" s="295">
        <f t="shared" si="34"/>
        <v>0</v>
      </c>
      <c r="P95" s="295">
        <f t="shared" si="35"/>
        <v>0</v>
      </c>
      <c r="Q95" s="295">
        <f t="shared" si="36"/>
        <v>0</v>
      </c>
      <c r="R95" s="295">
        <f t="shared" si="37"/>
        <v>0</v>
      </c>
      <c r="S95" s="295">
        <f t="shared" si="38"/>
        <v>0</v>
      </c>
      <c r="T95" s="295">
        <f t="shared" si="39"/>
        <v>0</v>
      </c>
      <c r="U95" s="295">
        <f t="shared" si="40"/>
        <v>0</v>
      </c>
    </row>
    <row r="96" spans="2:21" ht="37.9" customHeight="1">
      <c r="B96" s="8" t="s">
        <v>81</v>
      </c>
      <c r="C96" s="765">
        <v>3025</v>
      </c>
      <c r="D96" s="20">
        <v>0</v>
      </c>
      <c r="E96" s="20">
        <f t="shared" si="41"/>
        <v>0</v>
      </c>
      <c r="F96" s="20">
        <f t="shared" si="33"/>
        <v>0</v>
      </c>
      <c r="G96" s="19">
        <f t="shared" si="31"/>
        <v>0</v>
      </c>
      <c r="H96" s="19">
        <f ca="1">Видатки!E95</f>
        <v>0</v>
      </c>
      <c r="I96" s="19">
        <f ca="1">Видатки!F95</f>
        <v>0</v>
      </c>
      <c r="J96" s="19">
        <f ca="1">Видатки!G95</f>
        <v>0</v>
      </c>
      <c r="K96" s="19">
        <f ca="1">Видатки!H95</f>
        <v>0</v>
      </c>
      <c r="L96" s="8" t="s">
        <v>81</v>
      </c>
      <c r="M96" s="765">
        <v>3025</v>
      </c>
      <c r="N96" s="20">
        <v>0</v>
      </c>
      <c r="O96" s="295">
        <f t="shared" si="34"/>
        <v>0</v>
      </c>
      <c r="P96" s="295">
        <f t="shared" si="35"/>
        <v>0</v>
      </c>
      <c r="Q96" s="295">
        <f t="shared" si="36"/>
        <v>0</v>
      </c>
      <c r="R96" s="295">
        <f t="shared" si="37"/>
        <v>0</v>
      </c>
      <c r="S96" s="295">
        <f t="shared" si="38"/>
        <v>0</v>
      </c>
      <c r="T96" s="295">
        <f t="shared" si="39"/>
        <v>0</v>
      </c>
      <c r="U96" s="295">
        <f t="shared" si="40"/>
        <v>0</v>
      </c>
    </row>
    <row r="97" spans="2:21" ht="20.100000000000001" customHeight="1">
      <c r="B97" s="8" t="s">
        <v>82</v>
      </c>
      <c r="C97" s="35">
        <v>3026</v>
      </c>
      <c r="D97" s="20">
        <v>0</v>
      </c>
      <c r="E97" s="20">
        <f t="shared" si="41"/>
        <v>0</v>
      </c>
      <c r="F97" s="20">
        <f t="shared" si="33"/>
        <v>0</v>
      </c>
      <c r="G97" s="19">
        <f t="shared" si="31"/>
        <v>0</v>
      </c>
      <c r="H97" s="19">
        <f ca="1">Видатки!E96</f>
        <v>0</v>
      </c>
      <c r="I97" s="19">
        <f ca="1">Видатки!F96</f>
        <v>0</v>
      </c>
      <c r="J97" s="19">
        <f ca="1">Видатки!G96</f>
        <v>0</v>
      </c>
      <c r="K97" s="19">
        <f ca="1">Видатки!H96</f>
        <v>0</v>
      </c>
      <c r="L97" s="8" t="s">
        <v>82</v>
      </c>
      <c r="M97" s="35">
        <v>3026</v>
      </c>
      <c r="N97" s="20">
        <v>0</v>
      </c>
      <c r="O97" s="295">
        <f t="shared" si="34"/>
        <v>0</v>
      </c>
      <c r="P97" s="295">
        <f t="shared" si="35"/>
        <v>0</v>
      </c>
      <c r="Q97" s="295">
        <f t="shared" si="36"/>
        <v>0</v>
      </c>
      <c r="R97" s="295">
        <f t="shared" si="37"/>
        <v>0</v>
      </c>
      <c r="S97" s="295">
        <f t="shared" si="38"/>
        <v>0</v>
      </c>
      <c r="T97" s="295">
        <f t="shared" si="39"/>
        <v>0</v>
      </c>
      <c r="U97" s="295">
        <f t="shared" si="40"/>
        <v>0</v>
      </c>
    </row>
    <row r="98" spans="2:21" ht="23.45" customHeight="1">
      <c r="B98" s="7" t="s">
        <v>179</v>
      </c>
      <c r="C98" s="764">
        <v>3030</v>
      </c>
      <c r="D98" s="20"/>
      <c r="E98" s="20">
        <f t="shared" si="41"/>
        <v>0</v>
      </c>
      <c r="F98" s="20">
        <f t="shared" si="33"/>
        <v>0</v>
      </c>
      <c r="G98" s="19">
        <f>H98+I98+J98+K98</f>
        <v>0</v>
      </c>
      <c r="H98" s="19">
        <f ca="1">Видатки!E97</f>
        <v>0</v>
      </c>
      <c r="I98" s="19">
        <f ca="1">Видатки!F97</f>
        <v>0</v>
      </c>
      <c r="J98" s="19">
        <f ca="1">Видатки!G97</f>
        <v>0</v>
      </c>
      <c r="K98" s="19">
        <f ca="1">Видатки!H97</f>
        <v>0</v>
      </c>
      <c r="L98" s="7" t="s">
        <v>179</v>
      </c>
      <c r="M98" s="764">
        <v>3030</v>
      </c>
      <c r="N98" s="20"/>
      <c r="O98" s="295">
        <f t="shared" si="34"/>
        <v>0</v>
      </c>
      <c r="P98" s="295">
        <f t="shared" si="35"/>
        <v>0</v>
      </c>
      <c r="Q98" s="295">
        <f t="shared" si="36"/>
        <v>0</v>
      </c>
      <c r="R98" s="295">
        <f t="shared" si="37"/>
        <v>0</v>
      </c>
      <c r="S98" s="295">
        <f t="shared" si="38"/>
        <v>0</v>
      </c>
      <c r="T98" s="295">
        <f t="shared" si="39"/>
        <v>0</v>
      </c>
      <c r="U98" s="295">
        <f t="shared" si="40"/>
        <v>0</v>
      </c>
    </row>
    <row r="99" spans="2:21" ht="24" customHeight="1">
      <c r="B99" s="7" t="s">
        <v>1256</v>
      </c>
      <c r="C99" s="764">
        <v>3040</v>
      </c>
      <c r="D99" s="20"/>
      <c r="E99" s="20">
        <f t="shared" si="41"/>
        <v>2416080</v>
      </c>
      <c r="F99" s="20">
        <f t="shared" si="33"/>
        <v>2416080</v>
      </c>
      <c r="G99" s="19">
        <f>H99+I99+J99+K99</f>
        <v>2416080</v>
      </c>
      <c r="H99" s="19">
        <f ca="1">Видатки!E98</f>
        <v>604020</v>
      </c>
      <c r="I99" s="19">
        <f ca="1">Видатки!F98</f>
        <v>604020</v>
      </c>
      <c r="J99" s="19">
        <f ca="1">Видатки!G98</f>
        <v>604020</v>
      </c>
      <c r="K99" s="19">
        <f ca="1">Видатки!H98</f>
        <v>604020</v>
      </c>
      <c r="L99" s="7" t="s">
        <v>1256</v>
      </c>
      <c r="M99" s="764">
        <v>3040</v>
      </c>
      <c r="N99" s="20"/>
      <c r="O99" s="295">
        <f t="shared" si="34"/>
        <v>2416.08</v>
      </c>
      <c r="P99" s="295">
        <f t="shared" si="35"/>
        <v>2416.08</v>
      </c>
      <c r="Q99" s="295">
        <f t="shared" si="36"/>
        <v>2416.08</v>
      </c>
      <c r="R99" s="295">
        <f t="shared" si="37"/>
        <v>604.02</v>
      </c>
      <c r="S99" s="295">
        <f t="shared" si="38"/>
        <v>604.02</v>
      </c>
      <c r="T99" s="295">
        <f t="shared" si="39"/>
        <v>604.02</v>
      </c>
      <c r="U99" s="295">
        <f t="shared" si="40"/>
        <v>604.02</v>
      </c>
    </row>
    <row r="100" spans="2:21" ht="20.100000000000001" customHeight="1">
      <c r="B100" s="1036"/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1036"/>
      <c r="R100" s="1036"/>
      <c r="S100" s="1036"/>
      <c r="T100" s="1036"/>
      <c r="U100" s="1036"/>
    </row>
    <row r="101" spans="2:21" ht="20.100000000000001" customHeight="1">
      <c r="B101" s="1032" t="s">
        <v>129</v>
      </c>
      <c r="C101" s="1032"/>
      <c r="D101" s="1032"/>
      <c r="E101" s="1032"/>
      <c r="F101" s="1032"/>
      <c r="G101" s="1032"/>
      <c r="H101" s="1032"/>
      <c r="I101" s="1032"/>
      <c r="J101" s="1032"/>
      <c r="K101" s="1032"/>
      <c r="L101" s="1032" t="s">
        <v>129</v>
      </c>
      <c r="M101" s="1032"/>
      <c r="N101" s="1032"/>
      <c r="O101" s="1032"/>
      <c r="P101" s="1032"/>
      <c r="Q101" s="1032"/>
      <c r="R101" s="1032"/>
      <c r="S101" s="1032"/>
      <c r="T101" s="1032"/>
      <c r="U101" s="1032"/>
    </row>
    <row r="102" spans="2:21" ht="20.100000000000001" customHeight="1">
      <c r="B102" s="7" t="s">
        <v>83</v>
      </c>
      <c r="C102" s="764">
        <v>4010</v>
      </c>
      <c r="D102" s="19">
        <f t="shared" ref="D102:K102" si="42">D103+D104+D105</f>
        <v>0</v>
      </c>
      <c r="E102" s="19">
        <f t="shared" si="42"/>
        <v>12000</v>
      </c>
      <c r="F102" s="19">
        <f t="shared" si="42"/>
        <v>12000</v>
      </c>
      <c r="G102" s="19">
        <f t="shared" si="42"/>
        <v>12000</v>
      </c>
      <c r="H102" s="19">
        <f t="shared" si="42"/>
        <v>3000</v>
      </c>
      <c r="I102" s="19">
        <f t="shared" si="42"/>
        <v>3000</v>
      </c>
      <c r="J102" s="19">
        <f t="shared" si="42"/>
        <v>3000</v>
      </c>
      <c r="K102" s="19">
        <f t="shared" si="42"/>
        <v>3000</v>
      </c>
      <c r="L102" s="7" t="s">
        <v>83</v>
      </c>
      <c r="M102" s="764">
        <v>4010</v>
      </c>
      <c r="N102" s="19">
        <f>D103+D104+D105</f>
        <v>0</v>
      </c>
      <c r="O102" s="295">
        <f t="shared" ref="O102:U102" si="43">E102/1000</f>
        <v>12</v>
      </c>
      <c r="P102" s="295">
        <f t="shared" si="43"/>
        <v>12</v>
      </c>
      <c r="Q102" s="295">
        <f t="shared" si="43"/>
        <v>12</v>
      </c>
      <c r="R102" s="295">
        <f t="shared" si="43"/>
        <v>3</v>
      </c>
      <c r="S102" s="295">
        <f t="shared" si="43"/>
        <v>3</v>
      </c>
      <c r="T102" s="295">
        <f t="shared" si="43"/>
        <v>3</v>
      </c>
      <c r="U102" s="295">
        <f t="shared" si="43"/>
        <v>3</v>
      </c>
    </row>
    <row r="103" spans="2:21" ht="20.100000000000001" customHeight="1">
      <c r="B103" s="8" t="s">
        <v>84</v>
      </c>
      <c r="C103" s="764">
        <v>4011</v>
      </c>
      <c r="D103" s="20">
        <v>0</v>
      </c>
      <c r="E103" s="20">
        <v>0</v>
      </c>
      <c r="F103" s="20">
        <f>G103</f>
        <v>0</v>
      </c>
      <c r="G103" s="19">
        <f t="shared" ref="G103:G111" si="44">H103+I103+J103+K103</f>
        <v>0</v>
      </c>
      <c r="H103" s="875"/>
      <c r="I103" s="875"/>
      <c r="J103" s="875"/>
      <c r="K103" s="875"/>
      <c r="L103" s="8" t="s">
        <v>84</v>
      </c>
      <c r="M103" s="764">
        <v>4011</v>
      </c>
      <c r="N103" s="20">
        <v>0</v>
      </c>
      <c r="O103" s="295">
        <f t="shared" ref="O103:O111" si="45">E103/1000</f>
        <v>0</v>
      </c>
      <c r="P103" s="295">
        <f t="shared" ref="P103:P111" si="46">F103/1000</f>
        <v>0</v>
      </c>
      <c r="Q103" s="295">
        <f t="shared" ref="Q103:Q111" si="47">G103/1000</f>
        <v>0</v>
      </c>
      <c r="R103" s="295">
        <f t="shared" ref="R103:R111" si="48">H103/1000</f>
        <v>0</v>
      </c>
      <c r="S103" s="295">
        <f t="shared" ref="S103:S111" si="49">I103/1000</f>
        <v>0</v>
      </c>
      <c r="T103" s="295">
        <f t="shared" ref="T103:T111" si="50">J103/1000</f>
        <v>0</v>
      </c>
      <c r="U103" s="295">
        <f t="shared" ref="U103:U111" si="51">K103/1000</f>
        <v>0</v>
      </c>
    </row>
    <row r="104" spans="2:21" ht="20.100000000000001" customHeight="1">
      <c r="B104" s="8" t="s">
        <v>85</v>
      </c>
      <c r="C104" s="764">
        <v>4012</v>
      </c>
      <c r="D104" s="20">
        <v>0</v>
      </c>
      <c r="E104" s="20">
        <v>0</v>
      </c>
      <c r="F104" s="20">
        <f>G104</f>
        <v>0</v>
      </c>
      <c r="G104" s="19">
        <f t="shared" si="44"/>
        <v>0</v>
      </c>
      <c r="H104" s="875"/>
      <c r="I104" s="875"/>
      <c r="J104" s="875"/>
      <c r="K104" s="875"/>
      <c r="L104" s="8" t="s">
        <v>85</v>
      </c>
      <c r="M104" s="764">
        <v>4012</v>
      </c>
      <c r="N104" s="20">
        <v>0</v>
      </c>
      <c r="O104" s="295">
        <f t="shared" si="45"/>
        <v>0</v>
      </c>
      <c r="P104" s="295">
        <f t="shared" si="46"/>
        <v>0</v>
      </c>
      <c r="Q104" s="295">
        <f t="shared" si="47"/>
        <v>0</v>
      </c>
      <c r="R104" s="295">
        <f t="shared" si="48"/>
        <v>0</v>
      </c>
      <c r="S104" s="295">
        <f t="shared" si="49"/>
        <v>0</v>
      </c>
      <c r="T104" s="295">
        <f t="shared" si="50"/>
        <v>0</v>
      </c>
      <c r="U104" s="295">
        <f t="shared" si="51"/>
        <v>0</v>
      </c>
    </row>
    <row r="105" spans="2:21" ht="20.100000000000001" customHeight="1">
      <c r="B105" s="8" t="s">
        <v>86</v>
      </c>
      <c r="C105" s="764">
        <v>4013</v>
      </c>
      <c r="D105" s="19">
        <f>D49</f>
        <v>0</v>
      </c>
      <c r="E105" s="19">
        <f>G105</f>
        <v>12000</v>
      </c>
      <c r="F105" s="19">
        <f>F49</f>
        <v>12000</v>
      </c>
      <c r="G105" s="19">
        <f t="shared" si="44"/>
        <v>12000</v>
      </c>
      <c r="H105" s="19">
        <f>H49</f>
        <v>3000</v>
      </c>
      <c r="I105" s="19">
        <f>I49</f>
        <v>3000</v>
      </c>
      <c r="J105" s="19">
        <f>J49</f>
        <v>3000</v>
      </c>
      <c r="K105" s="19">
        <f>K49</f>
        <v>3000</v>
      </c>
      <c r="L105" s="8" t="s">
        <v>86</v>
      </c>
      <c r="M105" s="764">
        <v>4013</v>
      </c>
      <c r="N105" s="19">
        <f>D49</f>
        <v>0</v>
      </c>
      <c r="O105" s="295">
        <f t="shared" si="45"/>
        <v>12</v>
      </c>
      <c r="P105" s="295">
        <f t="shared" si="46"/>
        <v>12</v>
      </c>
      <c r="Q105" s="295">
        <f t="shared" si="47"/>
        <v>12</v>
      </c>
      <c r="R105" s="295">
        <f t="shared" si="48"/>
        <v>3</v>
      </c>
      <c r="S105" s="295">
        <f t="shared" si="49"/>
        <v>3</v>
      </c>
      <c r="T105" s="295">
        <f t="shared" si="50"/>
        <v>3</v>
      </c>
      <c r="U105" s="295">
        <f t="shared" si="51"/>
        <v>3</v>
      </c>
    </row>
    <row r="106" spans="2:21" ht="20.100000000000001" customHeight="1">
      <c r="B106" s="7" t="s">
        <v>87</v>
      </c>
      <c r="C106" s="764">
        <v>4020</v>
      </c>
      <c r="D106" s="20">
        <v>0</v>
      </c>
      <c r="E106" s="20">
        <v>0</v>
      </c>
      <c r="F106" s="20">
        <f>G106</f>
        <v>0</v>
      </c>
      <c r="G106" s="19">
        <f t="shared" si="44"/>
        <v>0</v>
      </c>
      <c r="H106" s="875"/>
      <c r="I106" s="875"/>
      <c r="J106" s="875"/>
      <c r="K106" s="875"/>
      <c r="L106" s="7" t="s">
        <v>87</v>
      </c>
      <c r="M106" s="764">
        <v>4020</v>
      </c>
      <c r="N106" s="20">
        <v>0</v>
      </c>
      <c r="O106" s="295">
        <f t="shared" si="45"/>
        <v>0</v>
      </c>
      <c r="P106" s="295">
        <f t="shared" si="46"/>
        <v>0</v>
      </c>
      <c r="Q106" s="295">
        <f t="shared" si="47"/>
        <v>0</v>
      </c>
      <c r="R106" s="295">
        <f t="shared" si="48"/>
        <v>0</v>
      </c>
      <c r="S106" s="295">
        <f t="shared" si="49"/>
        <v>0</v>
      </c>
      <c r="T106" s="295">
        <f t="shared" si="50"/>
        <v>0</v>
      </c>
      <c r="U106" s="295">
        <f t="shared" si="51"/>
        <v>0</v>
      </c>
    </row>
    <row r="107" spans="2:21" ht="20.100000000000001" customHeight="1">
      <c r="B107" s="7" t="s">
        <v>88</v>
      </c>
      <c r="C107" s="764">
        <v>4030</v>
      </c>
      <c r="D107" s="19">
        <f>D108+D109+D110</f>
        <v>0</v>
      </c>
      <c r="E107" s="19">
        <f>E108+E109+E110</f>
        <v>0</v>
      </c>
      <c r="F107" s="19">
        <f>F108+F109+F110</f>
        <v>0</v>
      </c>
      <c r="G107" s="19">
        <f t="shared" si="44"/>
        <v>0</v>
      </c>
      <c r="H107" s="876"/>
      <c r="I107" s="876"/>
      <c r="J107" s="876"/>
      <c r="K107" s="876"/>
      <c r="L107" s="7" t="s">
        <v>88</v>
      </c>
      <c r="M107" s="764">
        <v>4030</v>
      </c>
      <c r="N107" s="19">
        <f>D108+D109+D110</f>
        <v>0</v>
      </c>
      <c r="O107" s="295">
        <f t="shared" si="45"/>
        <v>0</v>
      </c>
      <c r="P107" s="295">
        <f t="shared" si="46"/>
        <v>0</v>
      </c>
      <c r="Q107" s="295">
        <f t="shared" si="47"/>
        <v>0</v>
      </c>
      <c r="R107" s="295">
        <f t="shared" si="48"/>
        <v>0</v>
      </c>
      <c r="S107" s="295">
        <f t="shared" si="49"/>
        <v>0</v>
      </c>
      <c r="T107" s="295">
        <f t="shared" si="50"/>
        <v>0</v>
      </c>
      <c r="U107" s="295">
        <f t="shared" si="51"/>
        <v>0</v>
      </c>
    </row>
    <row r="108" spans="2:21" ht="20.100000000000001" customHeight="1">
      <c r="B108" s="8" t="s">
        <v>84</v>
      </c>
      <c r="C108" s="764">
        <v>4031</v>
      </c>
      <c r="D108" s="20">
        <v>0</v>
      </c>
      <c r="E108" s="20">
        <v>0</v>
      </c>
      <c r="F108" s="20">
        <f>G108</f>
        <v>0</v>
      </c>
      <c r="G108" s="19">
        <f t="shared" si="44"/>
        <v>0</v>
      </c>
      <c r="H108" s="875"/>
      <c r="I108" s="875"/>
      <c r="J108" s="875"/>
      <c r="K108" s="875"/>
      <c r="L108" s="8" t="s">
        <v>84</v>
      </c>
      <c r="M108" s="764">
        <v>4031</v>
      </c>
      <c r="N108" s="20">
        <v>0</v>
      </c>
      <c r="O108" s="295">
        <f t="shared" si="45"/>
        <v>0</v>
      </c>
      <c r="P108" s="295">
        <f t="shared" si="46"/>
        <v>0</v>
      </c>
      <c r="Q108" s="295">
        <f t="shared" si="47"/>
        <v>0</v>
      </c>
      <c r="R108" s="295">
        <f t="shared" si="48"/>
        <v>0</v>
      </c>
      <c r="S108" s="295">
        <f t="shared" si="49"/>
        <v>0</v>
      </c>
      <c r="T108" s="295">
        <f t="shared" si="50"/>
        <v>0</v>
      </c>
      <c r="U108" s="295">
        <f t="shared" si="51"/>
        <v>0</v>
      </c>
    </row>
    <row r="109" spans="2:21" ht="20.100000000000001" customHeight="1">
      <c r="B109" s="8" t="s">
        <v>85</v>
      </c>
      <c r="C109" s="764">
        <v>4032</v>
      </c>
      <c r="D109" s="20">
        <v>0</v>
      </c>
      <c r="E109" s="20">
        <v>0</v>
      </c>
      <c r="F109" s="20">
        <f>G109</f>
        <v>0</v>
      </c>
      <c r="G109" s="19">
        <f t="shared" si="44"/>
        <v>0</v>
      </c>
      <c r="H109" s="875"/>
      <c r="I109" s="875"/>
      <c r="J109" s="875"/>
      <c r="K109" s="875"/>
      <c r="L109" s="8" t="s">
        <v>85</v>
      </c>
      <c r="M109" s="764">
        <v>4032</v>
      </c>
      <c r="N109" s="20">
        <v>0</v>
      </c>
      <c r="O109" s="295">
        <f t="shared" si="45"/>
        <v>0</v>
      </c>
      <c r="P109" s="295">
        <f t="shared" si="46"/>
        <v>0</v>
      </c>
      <c r="Q109" s="295">
        <f t="shared" si="47"/>
        <v>0</v>
      </c>
      <c r="R109" s="295">
        <f t="shared" si="48"/>
        <v>0</v>
      </c>
      <c r="S109" s="295">
        <f t="shared" si="49"/>
        <v>0</v>
      </c>
      <c r="T109" s="295">
        <f t="shared" si="50"/>
        <v>0</v>
      </c>
      <c r="U109" s="295">
        <f t="shared" si="51"/>
        <v>0</v>
      </c>
    </row>
    <row r="110" spans="2:21" ht="20.100000000000001" customHeight="1">
      <c r="B110" s="8" t="s">
        <v>86</v>
      </c>
      <c r="C110" s="764">
        <v>4033</v>
      </c>
      <c r="D110" s="20">
        <v>0</v>
      </c>
      <c r="E110" s="20">
        <v>0</v>
      </c>
      <c r="F110" s="20">
        <f>G110</f>
        <v>0</v>
      </c>
      <c r="G110" s="19">
        <f t="shared" si="44"/>
        <v>0</v>
      </c>
      <c r="H110" s="875"/>
      <c r="I110" s="875"/>
      <c r="J110" s="875"/>
      <c r="K110" s="875"/>
      <c r="L110" s="8" t="s">
        <v>86</v>
      </c>
      <c r="M110" s="764">
        <v>4033</v>
      </c>
      <c r="N110" s="20">
        <v>0</v>
      </c>
      <c r="O110" s="295">
        <f t="shared" si="45"/>
        <v>0</v>
      </c>
      <c r="P110" s="295">
        <f t="shared" si="46"/>
        <v>0</v>
      </c>
      <c r="Q110" s="295">
        <f t="shared" si="47"/>
        <v>0</v>
      </c>
      <c r="R110" s="295">
        <f t="shared" si="48"/>
        <v>0</v>
      </c>
      <c r="S110" s="295">
        <f t="shared" si="49"/>
        <v>0</v>
      </c>
      <c r="T110" s="295">
        <f t="shared" si="50"/>
        <v>0</v>
      </c>
      <c r="U110" s="295">
        <f t="shared" si="51"/>
        <v>0</v>
      </c>
    </row>
    <row r="111" spans="2:21" ht="20.100000000000001" customHeight="1">
      <c r="B111" s="7" t="s">
        <v>89</v>
      </c>
      <c r="C111" s="764">
        <v>4040</v>
      </c>
      <c r="D111" s="20">
        <v>0</v>
      </c>
      <c r="E111" s="20">
        <v>0</v>
      </c>
      <c r="F111" s="20">
        <f>G111</f>
        <v>0</v>
      </c>
      <c r="G111" s="19">
        <f t="shared" si="44"/>
        <v>0</v>
      </c>
      <c r="H111" s="875"/>
      <c r="I111" s="875"/>
      <c r="J111" s="875"/>
      <c r="K111" s="875"/>
      <c r="L111" s="7" t="s">
        <v>89</v>
      </c>
      <c r="M111" s="764">
        <v>4040</v>
      </c>
      <c r="N111" s="20">
        <v>0</v>
      </c>
      <c r="O111" s="295">
        <f t="shared" si="45"/>
        <v>0</v>
      </c>
      <c r="P111" s="295">
        <f t="shared" si="46"/>
        <v>0</v>
      </c>
      <c r="Q111" s="295">
        <f t="shared" si="47"/>
        <v>0</v>
      </c>
      <c r="R111" s="295">
        <f t="shared" si="48"/>
        <v>0</v>
      </c>
      <c r="S111" s="295">
        <f t="shared" si="49"/>
        <v>0</v>
      </c>
      <c r="T111" s="295">
        <f t="shared" si="50"/>
        <v>0</v>
      </c>
      <c r="U111" s="295">
        <f t="shared" si="51"/>
        <v>0</v>
      </c>
    </row>
    <row r="112" spans="2:21" s="18" customFormat="1" ht="19.5" customHeight="1">
      <c r="B112" s="1039"/>
      <c r="C112" s="1039"/>
      <c r="D112" s="1039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39"/>
      <c r="O112" s="1039"/>
      <c r="P112" s="1039"/>
      <c r="Q112" s="1039"/>
      <c r="R112" s="1039"/>
      <c r="S112" s="1039"/>
      <c r="T112" s="1039"/>
      <c r="U112" s="1039"/>
    </row>
    <row r="113" spans="2:21" s="18" customFormat="1" ht="19.5" customHeight="1">
      <c r="B113" s="1032" t="s">
        <v>90</v>
      </c>
      <c r="C113" s="1032"/>
      <c r="D113" s="1032"/>
      <c r="E113" s="1032"/>
      <c r="F113" s="1032"/>
      <c r="G113" s="1032"/>
      <c r="H113" s="1032"/>
      <c r="I113" s="1032"/>
      <c r="J113" s="1032"/>
      <c r="K113" s="1032"/>
      <c r="L113" s="1032" t="s">
        <v>90</v>
      </c>
      <c r="M113" s="1032"/>
      <c r="N113" s="1032"/>
      <c r="O113" s="1032"/>
      <c r="P113" s="1032"/>
      <c r="Q113" s="1032"/>
      <c r="R113" s="1032"/>
      <c r="S113" s="1032"/>
      <c r="T113" s="1032"/>
      <c r="U113" s="1032"/>
    </row>
    <row r="114" spans="2:21" s="18" customFormat="1" ht="21.6" customHeight="1">
      <c r="B114" s="7" t="s">
        <v>91</v>
      </c>
      <c r="C114" s="764">
        <v>5010</v>
      </c>
      <c r="D114" s="765" t="s">
        <v>112</v>
      </c>
      <c r="E114" s="765" t="s">
        <v>112</v>
      </c>
      <c r="F114" s="765" t="s">
        <v>112</v>
      </c>
      <c r="G114" s="765" t="s">
        <v>112</v>
      </c>
      <c r="H114" s="765" t="s">
        <v>112</v>
      </c>
      <c r="I114" s="765" t="s">
        <v>112</v>
      </c>
      <c r="J114" s="765" t="s">
        <v>112</v>
      </c>
      <c r="K114" s="765" t="s">
        <v>112</v>
      </c>
      <c r="L114" s="7" t="s">
        <v>91</v>
      </c>
      <c r="M114" s="764">
        <v>5010</v>
      </c>
      <c r="N114" s="765" t="s">
        <v>112</v>
      </c>
      <c r="O114" s="765" t="s">
        <v>112</v>
      </c>
      <c r="P114" s="765" t="s">
        <v>112</v>
      </c>
      <c r="Q114" s="765" t="s">
        <v>112</v>
      </c>
      <c r="R114" s="765" t="s">
        <v>112</v>
      </c>
      <c r="S114" s="765" t="s">
        <v>112</v>
      </c>
      <c r="T114" s="765" t="s">
        <v>112</v>
      </c>
      <c r="U114" s="765" t="s">
        <v>112</v>
      </c>
    </row>
    <row r="115" spans="2:21" s="18" customFormat="1">
      <c r="B115" s="7" t="s">
        <v>92</v>
      </c>
      <c r="C115" s="764">
        <v>5020</v>
      </c>
      <c r="D115" s="765" t="s">
        <v>112</v>
      </c>
      <c r="E115" s="765" t="s">
        <v>112</v>
      </c>
      <c r="F115" s="765" t="s">
        <v>112</v>
      </c>
      <c r="G115" s="765" t="s">
        <v>112</v>
      </c>
      <c r="H115" s="765" t="s">
        <v>112</v>
      </c>
      <c r="I115" s="765" t="s">
        <v>112</v>
      </c>
      <c r="J115" s="765" t="s">
        <v>112</v>
      </c>
      <c r="K115" s="765" t="s">
        <v>112</v>
      </c>
      <c r="L115" s="7" t="s">
        <v>92</v>
      </c>
      <c r="M115" s="764">
        <v>5020</v>
      </c>
      <c r="N115" s="765" t="s">
        <v>112</v>
      </c>
      <c r="O115" s="765" t="s">
        <v>112</v>
      </c>
      <c r="P115" s="765" t="s">
        <v>112</v>
      </c>
      <c r="Q115" s="765" t="s">
        <v>112</v>
      </c>
      <c r="R115" s="765" t="s">
        <v>112</v>
      </c>
      <c r="S115" s="765" t="s">
        <v>112</v>
      </c>
      <c r="T115" s="765" t="s">
        <v>112</v>
      </c>
      <c r="U115" s="765" t="s">
        <v>112</v>
      </c>
    </row>
    <row r="116" spans="2:21" s="18" customFormat="1" ht="43.15" customHeight="1">
      <c r="B116" s="7" t="s">
        <v>193</v>
      </c>
      <c r="C116" s="764">
        <v>5030</v>
      </c>
      <c r="D116" s="765" t="s">
        <v>112</v>
      </c>
      <c r="E116" s="765" t="s">
        <v>112</v>
      </c>
      <c r="F116" s="765" t="s">
        <v>112</v>
      </c>
      <c r="G116" s="765" t="s">
        <v>112</v>
      </c>
      <c r="H116" s="765" t="s">
        <v>112</v>
      </c>
      <c r="I116" s="765" t="s">
        <v>112</v>
      </c>
      <c r="J116" s="765" t="s">
        <v>112</v>
      </c>
      <c r="K116" s="765" t="s">
        <v>112</v>
      </c>
      <c r="L116" s="7" t="s">
        <v>193</v>
      </c>
      <c r="M116" s="764">
        <v>5030</v>
      </c>
      <c r="N116" s="765" t="s">
        <v>112</v>
      </c>
      <c r="O116" s="765" t="s">
        <v>112</v>
      </c>
      <c r="P116" s="765" t="s">
        <v>112</v>
      </c>
      <c r="Q116" s="765" t="s">
        <v>112</v>
      </c>
      <c r="R116" s="765" t="s">
        <v>112</v>
      </c>
      <c r="S116" s="765" t="s">
        <v>112</v>
      </c>
      <c r="T116" s="765" t="s">
        <v>112</v>
      </c>
      <c r="U116" s="765" t="s">
        <v>112</v>
      </c>
    </row>
    <row r="117" spans="2:21" s="18" customFormat="1" ht="19.5" customHeight="1">
      <c r="B117" s="7" t="s">
        <v>93</v>
      </c>
      <c r="C117" s="764">
        <v>5040</v>
      </c>
      <c r="D117" s="765" t="s">
        <v>112</v>
      </c>
      <c r="E117" s="765" t="s">
        <v>112</v>
      </c>
      <c r="F117" s="765" t="s">
        <v>112</v>
      </c>
      <c r="G117" s="765" t="s">
        <v>112</v>
      </c>
      <c r="H117" s="765" t="s">
        <v>112</v>
      </c>
      <c r="I117" s="765" t="s">
        <v>112</v>
      </c>
      <c r="J117" s="765" t="s">
        <v>112</v>
      </c>
      <c r="K117" s="765" t="s">
        <v>112</v>
      </c>
      <c r="L117" s="7" t="s">
        <v>93</v>
      </c>
      <c r="M117" s="764">
        <v>5040</v>
      </c>
      <c r="N117" s="765" t="s">
        <v>112</v>
      </c>
      <c r="O117" s="765" t="s">
        <v>112</v>
      </c>
      <c r="P117" s="765" t="s">
        <v>112</v>
      </c>
      <c r="Q117" s="765" t="s">
        <v>112</v>
      </c>
      <c r="R117" s="765" t="s">
        <v>112</v>
      </c>
      <c r="S117" s="765" t="s">
        <v>112</v>
      </c>
      <c r="T117" s="765" t="s">
        <v>112</v>
      </c>
      <c r="U117" s="765" t="s">
        <v>112</v>
      </c>
    </row>
    <row r="118" spans="2:21" s="18" customFormat="1" ht="19.5" customHeight="1">
      <c r="B118" s="1033"/>
      <c r="C118" s="1033"/>
      <c r="D118" s="1033"/>
      <c r="E118" s="1033"/>
      <c r="F118" s="1033"/>
      <c r="G118" s="1033"/>
      <c r="H118" s="1033"/>
      <c r="I118" s="1033"/>
      <c r="J118" s="1033"/>
      <c r="K118" s="1033"/>
      <c r="L118" s="1033"/>
      <c r="M118" s="1033"/>
      <c r="N118" s="1033"/>
      <c r="O118" s="1033"/>
      <c r="P118" s="1033"/>
      <c r="Q118" s="1033"/>
      <c r="R118" s="1033"/>
      <c r="S118" s="1033"/>
      <c r="T118" s="1033"/>
      <c r="U118" s="1033"/>
    </row>
    <row r="119" spans="2:21" s="18" customFormat="1" ht="19.5" customHeight="1">
      <c r="B119" s="1032" t="s">
        <v>94</v>
      </c>
      <c r="C119" s="1032"/>
      <c r="D119" s="1032"/>
      <c r="E119" s="1032"/>
      <c r="F119" s="1032"/>
      <c r="G119" s="1032"/>
      <c r="H119" s="1032"/>
      <c r="I119" s="1032"/>
      <c r="J119" s="1032"/>
      <c r="K119" s="1032"/>
      <c r="L119" s="1032" t="s">
        <v>94</v>
      </c>
      <c r="M119" s="1032"/>
      <c r="N119" s="1032"/>
      <c r="O119" s="1032"/>
      <c r="P119" s="1032"/>
      <c r="Q119" s="1032"/>
      <c r="R119" s="1032"/>
      <c r="S119" s="1032"/>
      <c r="T119" s="1032"/>
      <c r="U119" s="1032"/>
    </row>
    <row r="120" spans="2:21" s="18" customFormat="1" ht="19.5" customHeight="1">
      <c r="B120" s="7" t="s">
        <v>200</v>
      </c>
      <c r="C120" s="765">
        <v>6010</v>
      </c>
      <c r="D120" s="765" t="s">
        <v>112</v>
      </c>
      <c r="E120" s="765" t="s">
        <v>112</v>
      </c>
      <c r="F120" s="765" t="s">
        <v>112</v>
      </c>
      <c r="G120" s="765" t="s">
        <v>112</v>
      </c>
      <c r="H120" s="765" t="s">
        <v>112</v>
      </c>
      <c r="I120" s="765" t="s">
        <v>112</v>
      </c>
      <c r="J120" s="765" t="s">
        <v>112</v>
      </c>
      <c r="K120" s="765" t="s">
        <v>112</v>
      </c>
      <c r="L120" s="7" t="s">
        <v>200</v>
      </c>
      <c r="M120" s="765">
        <v>6010</v>
      </c>
      <c r="N120" s="765" t="s">
        <v>112</v>
      </c>
      <c r="O120" s="765" t="s">
        <v>112</v>
      </c>
      <c r="P120" s="765" t="s">
        <v>112</v>
      </c>
      <c r="Q120" s="765" t="s">
        <v>112</v>
      </c>
      <c r="R120" s="765" t="s">
        <v>112</v>
      </c>
      <c r="S120" s="765" t="s">
        <v>112</v>
      </c>
      <c r="T120" s="765" t="s">
        <v>112</v>
      </c>
      <c r="U120" s="765" t="s">
        <v>112</v>
      </c>
    </row>
    <row r="121" spans="2:21" s="18" customFormat="1" ht="19.5" customHeight="1">
      <c r="B121" s="7" t="s">
        <v>201</v>
      </c>
      <c r="C121" s="765">
        <v>6020</v>
      </c>
      <c r="D121" s="765" t="s">
        <v>112</v>
      </c>
      <c r="E121" s="765" t="s">
        <v>112</v>
      </c>
      <c r="F121" s="765" t="s">
        <v>112</v>
      </c>
      <c r="G121" s="765" t="s">
        <v>112</v>
      </c>
      <c r="H121" s="765" t="s">
        <v>112</v>
      </c>
      <c r="I121" s="765" t="s">
        <v>112</v>
      </c>
      <c r="J121" s="765" t="s">
        <v>112</v>
      </c>
      <c r="K121" s="765" t="s">
        <v>112</v>
      </c>
      <c r="L121" s="7" t="s">
        <v>201</v>
      </c>
      <c r="M121" s="765">
        <v>6020</v>
      </c>
      <c r="N121" s="765" t="s">
        <v>112</v>
      </c>
      <c r="O121" s="765" t="s">
        <v>112</v>
      </c>
      <c r="P121" s="765" t="s">
        <v>112</v>
      </c>
      <c r="Q121" s="765" t="s">
        <v>112</v>
      </c>
      <c r="R121" s="765" t="s">
        <v>112</v>
      </c>
      <c r="S121" s="765" t="s">
        <v>112</v>
      </c>
      <c r="T121" s="765" t="s">
        <v>112</v>
      </c>
      <c r="U121" s="765" t="s">
        <v>112</v>
      </c>
    </row>
    <row r="122" spans="2:21" s="18" customFormat="1" ht="19.5" customHeight="1">
      <c r="B122" s="7" t="s">
        <v>95</v>
      </c>
      <c r="C122" s="765">
        <v>6030</v>
      </c>
      <c r="D122" s="765" t="s">
        <v>112</v>
      </c>
      <c r="E122" s="765" t="s">
        <v>112</v>
      </c>
      <c r="F122" s="765" t="s">
        <v>112</v>
      </c>
      <c r="G122" s="765" t="s">
        <v>112</v>
      </c>
      <c r="H122" s="765" t="s">
        <v>112</v>
      </c>
      <c r="I122" s="765" t="s">
        <v>112</v>
      </c>
      <c r="J122" s="765" t="s">
        <v>112</v>
      </c>
      <c r="K122" s="765" t="s">
        <v>112</v>
      </c>
      <c r="L122" s="7" t="s">
        <v>95</v>
      </c>
      <c r="M122" s="765">
        <v>6030</v>
      </c>
      <c r="N122" s="765" t="s">
        <v>112</v>
      </c>
      <c r="O122" s="765" t="s">
        <v>112</v>
      </c>
      <c r="P122" s="765" t="s">
        <v>112</v>
      </c>
      <c r="Q122" s="765" t="s">
        <v>112</v>
      </c>
      <c r="R122" s="765" t="s">
        <v>112</v>
      </c>
      <c r="S122" s="765" t="s">
        <v>112</v>
      </c>
      <c r="T122" s="765" t="s">
        <v>112</v>
      </c>
      <c r="U122" s="765" t="s">
        <v>112</v>
      </c>
    </row>
    <row r="123" spans="2:21" s="18" customFormat="1" ht="18" customHeight="1">
      <c r="B123" s="7" t="s">
        <v>96</v>
      </c>
      <c r="C123" s="765">
        <v>6040</v>
      </c>
      <c r="D123" s="765" t="s">
        <v>112</v>
      </c>
      <c r="E123" s="765" t="s">
        <v>112</v>
      </c>
      <c r="F123" s="765" t="s">
        <v>112</v>
      </c>
      <c r="G123" s="765" t="s">
        <v>112</v>
      </c>
      <c r="H123" s="765" t="s">
        <v>112</v>
      </c>
      <c r="I123" s="765" t="s">
        <v>112</v>
      </c>
      <c r="J123" s="765" t="s">
        <v>112</v>
      </c>
      <c r="K123" s="765" t="s">
        <v>112</v>
      </c>
      <c r="L123" s="7" t="s">
        <v>96</v>
      </c>
      <c r="M123" s="765">
        <v>6040</v>
      </c>
      <c r="N123" s="765" t="s">
        <v>112</v>
      </c>
      <c r="O123" s="765" t="s">
        <v>112</v>
      </c>
      <c r="P123" s="765" t="s">
        <v>112</v>
      </c>
      <c r="Q123" s="765" t="s">
        <v>112</v>
      </c>
      <c r="R123" s="765" t="s">
        <v>112</v>
      </c>
      <c r="S123" s="765" t="s">
        <v>112</v>
      </c>
      <c r="T123" s="765" t="s">
        <v>112</v>
      </c>
      <c r="U123" s="765" t="s">
        <v>112</v>
      </c>
    </row>
    <row r="124" spans="2:21" s="18" customFormat="1" ht="20.45" customHeight="1">
      <c r="B124" s="7" t="s">
        <v>97</v>
      </c>
      <c r="C124" s="765">
        <v>6050</v>
      </c>
      <c r="D124" s="765" t="s">
        <v>112</v>
      </c>
      <c r="E124" s="765" t="s">
        <v>112</v>
      </c>
      <c r="F124" s="765" t="s">
        <v>112</v>
      </c>
      <c r="G124" s="765" t="s">
        <v>112</v>
      </c>
      <c r="H124" s="765" t="s">
        <v>112</v>
      </c>
      <c r="I124" s="765" t="s">
        <v>112</v>
      </c>
      <c r="J124" s="765" t="s">
        <v>112</v>
      </c>
      <c r="K124" s="765" t="s">
        <v>112</v>
      </c>
      <c r="L124" s="7" t="s">
        <v>97</v>
      </c>
      <c r="M124" s="765">
        <v>6050</v>
      </c>
      <c r="N124" s="765" t="s">
        <v>112</v>
      </c>
      <c r="O124" s="765" t="s">
        <v>112</v>
      </c>
      <c r="P124" s="765" t="s">
        <v>112</v>
      </c>
      <c r="Q124" s="765" t="s">
        <v>112</v>
      </c>
      <c r="R124" s="765" t="s">
        <v>112</v>
      </c>
      <c r="S124" s="765" t="s">
        <v>112</v>
      </c>
      <c r="T124" s="765" t="s">
        <v>112</v>
      </c>
      <c r="U124" s="765" t="s">
        <v>112</v>
      </c>
    </row>
    <row r="125" spans="2:21" s="18" customFormat="1" ht="19.5" customHeight="1"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</row>
    <row r="126" spans="2:21" ht="19.5" customHeight="1">
      <c r="B126" s="1032" t="s">
        <v>98</v>
      </c>
      <c r="C126" s="1032"/>
      <c r="D126" s="1032"/>
      <c r="E126" s="1032"/>
      <c r="F126" s="1032"/>
      <c r="G126" s="1032"/>
      <c r="H126" s="1032"/>
      <c r="I126" s="1032"/>
      <c r="J126" s="1032"/>
      <c r="K126" s="1032"/>
      <c r="L126" s="1032" t="s">
        <v>98</v>
      </c>
      <c r="M126" s="1032"/>
      <c r="N126" s="1032"/>
      <c r="O126" s="1032"/>
      <c r="P126" s="1032"/>
      <c r="Q126" s="1032"/>
      <c r="R126" s="1032"/>
      <c r="S126" s="1032"/>
      <c r="T126" s="1032"/>
      <c r="U126" s="1032"/>
    </row>
    <row r="127" spans="2:21" ht="37.5">
      <c r="B127" s="7" t="s">
        <v>99</v>
      </c>
      <c r="C127" s="25">
        <v>7010</v>
      </c>
      <c r="D127" s="19">
        <f>SUM(D128:D133)</f>
        <v>0</v>
      </c>
      <c r="E127" s="890">
        <f>SUM(E128:E133)</f>
        <v>233.5</v>
      </c>
      <c r="F127" s="295">
        <f>G127</f>
        <v>233.5</v>
      </c>
      <c r="G127" s="890">
        <f>SUM(G128:G133)</f>
        <v>233.5</v>
      </c>
      <c r="H127" s="890">
        <f>SUM(H128:H133)</f>
        <v>233.5</v>
      </c>
      <c r="I127" s="890">
        <f>SUM(I128:I133)</f>
        <v>233.5</v>
      </c>
      <c r="J127" s="890">
        <f>SUM(J128:J133)</f>
        <v>233.5</v>
      </c>
      <c r="K127" s="890">
        <f>SUM(K128:K133)</f>
        <v>233.5</v>
      </c>
      <c r="L127" s="7" t="s">
        <v>99</v>
      </c>
      <c r="M127" s="25">
        <v>7010</v>
      </c>
      <c r="N127" s="19">
        <f>SUM(D128:D133)</f>
        <v>0</v>
      </c>
      <c r="O127" s="890">
        <f>SUM(E128:E133)</f>
        <v>233.5</v>
      </c>
      <c r="P127" s="295">
        <f>G127</f>
        <v>233.5</v>
      </c>
      <c r="Q127" s="890">
        <f>SUM(G128:G133)</f>
        <v>233.5</v>
      </c>
      <c r="R127" s="890">
        <f>SUM(H128:H133)</f>
        <v>233.5</v>
      </c>
      <c r="S127" s="890">
        <f>SUM(I128:I133)</f>
        <v>233.5</v>
      </c>
      <c r="T127" s="890">
        <f>SUM(J128:J133)</f>
        <v>233.5</v>
      </c>
      <c r="U127" s="890">
        <f>SUM(K128:K133)</f>
        <v>233.5</v>
      </c>
    </row>
    <row r="128" spans="2:21" ht="22.9" customHeight="1">
      <c r="B128" s="8" t="s">
        <v>149</v>
      </c>
      <c r="C128" s="25">
        <v>7011</v>
      </c>
      <c r="D128" s="20"/>
      <c r="E128" s="295">
        <f t="shared" ref="E128:E133" si="52">G128</f>
        <v>4</v>
      </c>
      <c r="F128" s="295">
        <f t="shared" ref="F128:F140" si="53">G128</f>
        <v>4</v>
      </c>
      <c r="G128" s="890">
        <f ca="1">Видатки!L10</f>
        <v>4</v>
      </c>
      <c r="H128" s="890">
        <f ca="1">Видатки!I10</f>
        <v>4</v>
      </c>
      <c r="I128" s="890">
        <f ca="1">Видатки!J10</f>
        <v>4</v>
      </c>
      <c r="J128" s="890">
        <f ca="1">Видатки!K10</f>
        <v>4</v>
      </c>
      <c r="K128" s="890">
        <f ca="1">Видатки!L10</f>
        <v>4</v>
      </c>
      <c r="L128" s="8" t="s">
        <v>149</v>
      </c>
      <c r="M128" s="25">
        <v>7011</v>
      </c>
      <c r="N128" s="20"/>
      <c r="O128" s="295">
        <f t="shared" ref="O128:O133" si="54">Q128</f>
        <v>4</v>
      </c>
      <c r="P128" s="295">
        <f t="shared" ref="P128:P133" si="55">Q128</f>
        <v>4</v>
      </c>
      <c r="Q128" s="890">
        <f ca="1">Видатки!L10</f>
        <v>4</v>
      </c>
      <c r="R128" s="890">
        <f ca="1">Видатки!I10</f>
        <v>4</v>
      </c>
      <c r="S128" s="890">
        <f ca="1">Видатки!J10</f>
        <v>4</v>
      </c>
      <c r="T128" s="890">
        <f ca="1">Видатки!K10</f>
        <v>4</v>
      </c>
      <c r="U128" s="890">
        <f ca="1">Видатки!L10</f>
        <v>4</v>
      </c>
    </row>
    <row r="129" spans="2:21" ht="19.5" customHeight="1">
      <c r="B129" s="8" t="s">
        <v>16</v>
      </c>
      <c r="C129" s="25">
        <v>7012</v>
      </c>
      <c r="D129" s="20"/>
      <c r="E129" s="295">
        <f t="shared" si="52"/>
        <v>42</v>
      </c>
      <c r="F129" s="295">
        <f t="shared" si="53"/>
        <v>42</v>
      </c>
      <c r="G129" s="890">
        <f ca="1">Видатки!L14</f>
        <v>42</v>
      </c>
      <c r="H129" s="890">
        <f ca="1">Видатки!I14</f>
        <v>42</v>
      </c>
      <c r="I129" s="890">
        <f ca="1">Видатки!J14</f>
        <v>42</v>
      </c>
      <c r="J129" s="890">
        <f ca="1">Видатки!K14</f>
        <v>42</v>
      </c>
      <c r="K129" s="890">
        <f ca="1">Видатки!L14</f>
        <v>42</v>
      </c>
      <c r="L129" s="8" t="s">
        <v>16</v>
      </c>
      <c r="M129" s="25">
        <v>7012</v>
      </c>
      <c r="N129" s="20"/>
      <c r="O129" s="295">
        <f t="shared" si="54"/>
        <v>42</v>
      </c>
      <c r="P129" s="295">
        <f t="shared" si="55"/>
        <v>42</v>
      </c>
      <c r="Q129" s="890">
        <f ca="1">Видатки!L14</f>
        <v>42</v>
      </c>
      <c r="R129" s="890">
        <f ca="1">Видатки!I14</f>
        <v>42</v>
      </c>
      <c r="S129" s="890">
        <f ca="1">Видатки!J14</f>
        <v>42</v>
      </c>
      <c r="T129" s="890">
        <f ca="1">Видатки!K14</f>
        <v>42</v>
      </c>
      <c r="U129" s="890">
        <f ca="1">Видатки!L14</f>
        <v>42</v>
      </c>
    </row>
    <row r="130" spans="2:21" ht="19.5" customHeight="1">
      <c r="B130" s="8" t="s">
        <v>101</v>
      </c>
      <c r="C130" s="25">
        <v>7013</v>
      </c>
      <c r="D130" s="20"/>
      <c r="E130" s="295">
        <f t="shared" si="52"/>
        <v>94.5</v>
      </c>
      <c r="F130" s="295">
        <f t="shared" si="53"/>
        <v>94.5</v>
      </c>
      <c r="G130" s="890">
        <f ca="1">Видатки!L16</f>
        <v>94.5</v>
      </c>
      <c r="H130" s="890">
        <f ca="1">Видатки!I16</f>
        <v>94.5</v>
      </c>
      <c r="I130" s="890">
        <f ca="1">Видатки!J16</f>
        <v>94.5</v>
      </c>
      <c r="J130" s="890">
        <f ca="1">Видатки!K16</f>
        <v>94.5</v>
      </c>
      <c r="K130" s="890">
        <f ca="1">Видатки!L16</f>
        <v>94.5</v>
      </c>
      <c r="L130" s="8" t="s">
        <v>101</v>
      </c>
      <c r="M130" s="25">
        <v>7013</v>
      </c>
      <c r="N130" s="20"/>
      <c r="O130" s="295">
        <f t="shared" si="54"/>
        <v>94.5</v>
      </c>
      <c r="P130" s="295">
        <f t="shared" si="55"/>
        <v>94.5</v>
      </c>
      <c r="Q130" s="890">
        <f ca="1">Видатки!L16</f>
        <v>94.5</v>
      </c>
      <c r="R130" s="890">
        <f ca="1">Видатки!I16</f>
        <v>94.5</v>
      </c>
      <c r="S130" s="890">
        <f ca="1">Видатки!J16</f>
        <v>94.5</v>
      </c>
      <c r="T130" s="890">
        <f ca="1">Видатки!K16</f>
        <v>94.5</v>
      </c>
      <c r="U130" s="890">
        <f ca="1">Видатки!L16</f>
        <v>94.5</v>
      </c>
    </row>
    <row r="131" spans="2:21" ht="19.5" customHeight="1">
      <c r="B131" s="8" t="s">
        <v>102</v>
      </c>
      <c r="C131" s="25">
        <v>7014</v>
      </c>
      <c r="D131" s="20"/>
      <c r="E131" s="295">
        <f t="shared" si="52"/>
        <v>39</v>
      </c>
      <c r="F131" s="295">
        <f t="shared" si="53"/>
        <v>39</v>
      </c>
      <c r="G131" s="890">
        <f ca="1">Видатки!L18</f>
        <v>39</v>
      </c>
      <c r="H131" s="890">
        <f ca="1">Видатки!I18</f>
        <v>39</v>
      </c>
      <c r="I131" s="890">
        <f ca="1">Видатки!J18</f>
        <v>39</v>
      </c>
      <c r="J131" s="890">
        <f ca="1">Видатки!K18</f>
        <v>39</v>
      </c>
      <c r="K131" s="890">
        <f ca="1">Видатки!L18</f>
        <v>39</v>
      </c>
      <c r="L131" s="8" t="s">
        <v>102</v>
      </c>
      <c r="M131" s="25">
        <v>7014</v>
      </c>
      <c r="N131" s="20"/>
      <c r="O131" s="295">
        <f t="shared" si="54"/>
        <v>39</v>
      </c>
      <c r="P131" s="295">
        <f t="shared" si="55"/>
        <v>39</v>
      </c>
      <c r="Q131" s="890">
        <f ca="1">Видатки!L18</f>
        <v>39</v>
      </c>
      <c r="R131" s="890">
        <f ca="1">Видатки!I18</f>
        <v>39</v>
      </c>
      <c r="S131" s="890">
        <f ca="1">Видатки!J18</f>
        <v>39</v>
      </c>
      <c r="T131" s="890">
        <f ca="1">Видатки!K18</f>
        <v>39</v>
      </c>
      <c r="U131" s="890">
        <f ca="1">Видатки!L18</f>
        <v>39</v>
      </c>
    </row>
    <row r="132" spans="2:21" ht="19.5" customHeight="1">
      <c r="B132" s="8" t="s">
        <v>100</v>
      </c>
      <c r="C132" s="25">
        <v>7015</v>
      </c>
      <c r="D132" s="20"/>
      <c r="E132" s="295">
        <f t="shared" si="52"/>
        <v>9</v>
      </c>
      <c r="F132" s="295">
        <f t="shared" si="53"/>
        <v>9</v>
      </c>
      <c r="G132" s="890">
        <f ca="1">Видатки!I12</f>
        <v>9</v>
      </c>
      <c r="H132" s="890">
        <f ca="1">Видатки!I12</f>
        <v>9</v>
      </c>
      <c r="I132" s="890">
        <f ca="1">Видатки!J12</f>
        <v>9</v>
      </c>
      <c r="J132" s="890">
        <f ca="1">Видатки!K12</f>
        <v>9</v>
      </c>
      <c r="K132" s="890">
        <f ca="1">Видатки!L12</f>
        <v>9</v>
      </c>
      <c r="L132" s="8" t="s">
        <v>100</v>
      </c>
      <c r="M132" s="25">
        <v>7015</v>
      </c>
      <c r="N132" s="20"/>
      <c r="O132" s="295">
        <f t="shared" si="54"/>
        <v>9</v>
      </c>
      <c r="P132" s="295">
        <f t="shared" si="55"/>
        <v>9</v>
      </c>
      <c r="Q132" s="890">
        <f ca="1">Видатки!I12</f>
        <v>9</v>
      </c>
      <c r="R132" s="890">
        <f ca="1">Видатки!I12</f>
        <v>9</v>
      </c>
      <c r="S132" s="890">
        <f ca="1">Видатки!J12</f>
        <v>9</v>
      </c>
      <c r="T132" s="890">
        <f ca="1">Видатки!K12</f>
        <v>9</v>
      </c>
      <c r="U132" s="890">
        <f ca="1">Видатки!L12</f>
        <v>9</v>
      </c>
    </row>
    <row r="133" spans="2:21" ht="19.5" customHeight="1">
      <c r="B133" s="8" t="s">
        <v>191</v>
      </c>
      <c r="C133" s="25">
        <v>7016</v>
      </c>
      <c r="D133" s="20"/>
      <c r="E133" s="295">
        <f t="shared" si="52"/>
        <v>45</v>
      </c>
      <c r="F133" s="295">
        <f t="shared" si="53"/>
        <v>45</v>
      </c>
      <c r="G133" s="890">
        <f ca="1">Видатки!L20</f>
        <v>45</v>
      </c>
      <c r="H133" s="890">
        <f ca="1">Видатки!I20</f>
        <v>45</v>
      </c>
      <c r="I133" s="890">
        <f ca="1">Видатки!J20</f>
        <v>45</v>
      </c>
      <c r="J133" s="890">
        <f ca="1">Видатки!K20</f>
        <v>45</v>
      </c>
      <c r="K133" s="890">
        <f ca="1">Видатки!L20</f>
        <v>45</v>
      </c>
      <c r="L133" s="8" t="s">
        <v>191</v>
      </c>
      <c r="M133" s="25">
        <v>7016</v>
      </c>
      <c r="N133" s="20"/>
      <c r="O133" s="295">
        <f t="shared" si="54"/>
        <v>45</v>
      </c>
      <c r="P133" s="295">
        <f t="shared" si="55"/>
        <v>45</v>
      </c>
      <c r="Q133" s="890">
        <f ca="1">Видатки!L20</f>
        <v>45</v>
      </c>
      <c r="R133" s="890">
        <f ca="1">Видатки!I20</f>
        <v>45</v>
      </c>
      <c r="S133" s="890">
        <f ca="1">Видатки!J20</f>
        <v>45</v>
      </c>
      <c r="T133" s="890">
        <f ca="1">Видатки!K20</f>
        <v>45</v>
      </c>
      <c r="U133" s="890">
        <f ca="1">Видатки!L20</f>
        <v>45</v>
      </c>
    </row>
    <row r="134" spans="2:21" s="6" customFormat="1" ht="19.5" customHeight="1">
      <c r="B134" s="17" t="s">
        <v>103</v>
      </c>
      <c r="C134" s="908">
        <v>7020</v>
      </c>
      <c r="D134" s="894"/>
      <c r="E134" s="894">
        <f>SUM(E135:E140)</f>
        <v>37922360.586349234</v>
      </c>
      <c r="F134" s="21">
        <f t="shared" si="53"/>
        <v>37922360.586349234</v>
      </c>
      <c r="G134" s="894">
        <f ca="1">SUM(G135:G140)</f>
        <v>37922360.586349234</v>
      </c>
      <c r="H134" s="894">
        <f ca="1">SUM(H135:H140)</f>
        <v>9469430.5729031339</v>
      </c>
      <c r="I134" s="894">
        <f ca="1">SUM(I135:I140)</f>
        <v>9517713.7263388429</v>
      </c>
      <c r="J134" s="894">
        <f ca="1">SUM(J135:J140)</f>
        <v>9414031.0824282672</v>
      </c>
      <c r="K134" s="894">
        <f ca="1">SUM(K135:K140)</f>
        <v>9521185.2046789918</v>
      </c>
      <c r="L134" s="17" t="s">
        <v>103</v>
      </c>
      <c r="M134" s="908">
        <v>7020</v>
      </c>
      <c r="N134" s="894"/>
      <c r="O134" s="892">
        <f t="shared" ref="O134:U134" si="56">E134/1000</f>
        <v>37922.360586349234</v>
      </c>
      <c r="P134" s="892">
        <f t="shared" si="56"/>
        <v>37922.360586349234</v>
      </c>
      <c r="Q134" s="892">
        <f t="shared" si="56"/>
        <v>37922.360586349234</v>
      </c>
      <c r="R134" s="892">
        <f t="shared" si="56"/>
        <v>9469.4305729031348</v>
      </c>
      <c r="S134" s="892">
        <f t="shared" si="56"/>
        <v>9517.7137263388431</v>
      </c>
      <c r="T134" s="892">
        <f t="shared" si="56"/>
        <v>9414.0310824282678</v>
      </c>
      <c r="U134" s="892">
        <f t="shared" si="56"/>
        <v>9521.1852046789918</v>
      </c>
    </row>
    <row r="135" spans="2:21" ht="19.5" customHeight="1">
      <c r="B135" s="8" t="s">
        <v>149</v>
      </c>
      <c r="C135" s="25">
        <v>7021</v>
      </c>
      <c r="D135" s="20"/>
      <c r="E135" s="20">
        <f t="shared" ref="E135:E140" si="57">G135</f>
        <v>948371.11184895004</v>
      </c>
      <c r="F135" s="20">
        <f t="shared" si="53"/>
        <v>948371.11184895004</v>
      </c>
      <c r="G135" s="19">
        <f ca="1">Видатки!AK10</f>
        <v>948371.11184895004</v>
      </c>
      <c r="H135" s="19">
        <f ca="1">Видатки!AG10</f>
        <v>236313.93670260001</v>
      </c>
      <c r="I135" s="19">
        <f ca="1">Видатки!AH10</f>
        <v>236313.93670260001</v>
      </c>
      <c r="J135" s="19">
        <f ca="1">Видатки!AI10</f>
        <v>236313.93670260001</v>
      </c>
      <c r="K135" s="19">
        <f ca="1">Видатки!AJ10</f>
        <v>239429.30174114997</v>
      </c>
      <c r="L135" s="8" t="s">
        <v>149</v>
      </c>
      <c r="M135" s="25">
        <v>7021</v>
      </c>
      <c r="N135" s="20"/>
      <c r="O135" s="295">
        <f t="shared" ref="O135:U135" si="58">E135/1000</f>
        <v>948.37111184895002</v>
      </c>
      <c r="P135" s="295">
        <f t="shared" si="58"/>
        <v>948.37111184895002</v>
      </c>
      <c r="Q135" s="295">
        <f t="shared" si="58"/>
        <v>948.37111184895002</v>
      </c>
      <c r="R135" s="295">
        <f t="shared" si="58"/>
        <v>236.31393670260002</v>
      </c>
      <c r="S135" s="295">
        <f t="shared" si="58"/>
        <v>236.31393670260002</v>
      </c>
      <c r="T135" s="295">
        <f t="shared" si="58"/>
        <v>236.31393670260002</v>
      </c>
      <c r="U135" s="295">
        <f t="shared" si="58"/>
        <v>239.42930174114997</v>
      </c>
    </row>
    <row r="136" spans="2:21" ht="19.5" customHeight="1">
      <c r="B136" s="8" t="s">
        <v>16</v>
      </c>
      <c r="C136" s="25">
        <v>7022</v>
      </c>
      <c r="D136" s="20"/>
      <c r="E136" s="20">
        <f t="shared" si="57"/>
        <v>10833999.871870544</v>
      </c>
      <c r="F136" s="20">
        <f t="shared" si="53"/>
        <v>10833999.871870544</v>
      </c>
      <c r="G136" s="19">
        <f ca="1">Видатки!AK14</f>
        <v>10833999.871870544</v>
      </c>
      <c r="H136" s="19">
        <f ca="1">Видатки!AG14</f>
        <v>2708869.8330529789</v>
      </c>
      <c r="I136" s="19">
        <f ca="1">Видатки!AH14</f>
        <v>2721890.3367516194</v>
      </c>
      <c r="J136" s="19">
        <f ca="1">Видатки!AI14</f>
        <v>2699543.7459921632</v>
      </c>
      <c r="K136" s="19">
        <f ca="1">Видатки!AJ14</f>
        <v>2703695.9560737815</v>
      </c>
      <c r="L136" s="8" t="s">
        <v>16</v>
      </c>
      <c r="M136" s="25">
        <v>7022</v>
      </c>
      <c r="N136" s="20"/>
      <c r="O136" s="295">
        <f t="shared" ref="O136:U140" si="59">E136/1000</f>
        <v>10833.999871870545</v>
      </c>
      <c r="P136" s="295">
        <f t="shared" si="59"/>
        <v>10833.999871870545</v>
      </c>
      <c r="Q136" s="295">
        <f t="shared" si="59"/>
        <v>10833.999871870545</v>
      </c>
      <c r="R136" s="295">
        <f t="shared" si="59"/>
        <v>2708.8698330529787</v>
      </c>
      <c r="S136" s="295">
        <f t="shared" si="59"/>
        <v>2721.8903367516195</v>
      </c>
      <c r="T136" s="295">
        <f t="shared" si="59"/>
        <v>2699.5437459921632</v>
      </c>
      <c r="U136" s="295">
        <f t="shared" si="59"/>
        <v>2703.6959560737814</v>
      </c>
    </row>
    <row r="137" spans="2:21" ht="19.5" customHeight="1">
      <c r="B137" s="8" t="s">
        <v>101</v>
      </c>
      <c r="C137" s="25">
        <v>7023</v>
      </c>
      <c r="D137" s="20"/>
      <c r="E137" s="20">
        <f t="shared" si="57"/>
        <v>16771907.682260497</v>
      </c>
      <c r="F137" s="20">
        <f t="shared" si="53"/>
        <v>16771907.682260497</v>
      </c>
      <c r="G137" s="19">
        <f ca="1">Видатки!AK16</f>
        <v>16771907.682260497</v>
      </c>
      <c r="H137" s="19">
        <f ca="1">Видатки!AG16</f>
        <v>4193821.7605040199</v>
      </c>
      <c r="I137" s="19">
        <f ca="1">Видатки!AH16</f>
        <v>4222800.5317503177</v>
      </c>
      <c r="J137" s="19">
        <f ca="1">Видатки!AI16</f>
        <v>4173016.9666267131</v>
      </c>
      <c r="K137" s="19">
        <f ca="1">Видатки!AJ16</f>
        <v>4182268.4233794468</v>
      </c>
      <c r="L137" s="8" t="s">
        <v>101</v>
      </c>
      <c r="M137" s="25">
        <v>7023</v>
      </c>
      <c r="N137" s="20"/>
      <c r="O137" s="295">
        <f t="shared" si="59"/>
        <v>16771.907682260495</v>
      </c>
      <c r="P137" s="295">
        <f t="shared" si="59"/>
        <v>16771.907682260495</v>
      </c>
      <c r="Q137" s="295">
        <f t="shared" si="59"/>
        <v>16771.907682260495</v>
      </c>
      <c r="R137" s="295">
        <f t="shared" si="59"/>
        <v>4193.8217605040199</v>
      </c>
      <c r="S137" s="295">
        <f t="shared" si="59"/>
        <v>4222.8005317503175</v>
      </c>
      <c r="T137" s="295">
        <f t="shared" si="59"/>
        <v>4173.0169666267129</v>
      </c>
      <c r="U137" s="295">
        <f t="shared" si="59"/>
        <v>4182.2684233794471</v>
      </c>
    </row>
    <row r="138" spans="2:21" ht="19.5" customHeight="1">
      <c r="B138" s="8" t="s">
        <v>102</v>
      </c>
      <c r="C138" s="25">
        <v>7024</v>
      </c>
      <c r="D138" s="20"/>
      <c r="E138" s="20">
        <f t="shared" si="57"/>
        <v>3571897.0040737595</v>
      </c>
      <c r="F138" s="20">
        <f t="shared" si="53"/>
        <v>3571897.0040737595</v>
      </c>
      <c r="G138" s="19">
        <f ca="1">Видатки!AK18</f>
        <v>3571897.0040737595</v>
      </c>
      <c r="H138" s="19">
        <f ca="1">Видатки!AG18</f>
        <v>887226.3163766847</v>
      </c>
      <c r="I138" s="19">
        <f ca="1">Видатки!AH18</f>
        <v>900561.13515665033</v>
      </c>
      <c r="J138" s="19">
        <f ca="1">Видатки!AI18</f>
        <v>877148.65643181815</v>
      </c>
      <c r="K138" s="19">
        <f ca="1">Видатки!AJ18</f>
        <v>906960.89610860648</v>
      </c>
      <c r="L138" s="8" t="s">
        <v>102</v>
      </c>
      <c r="M138" s="25">
        <v>7024</v>
      </c>
      <c r="N138" s="20"/>
      <c r="O138" s="295">
        <f t="shared" si="59"/>
        <v>3571.8970040737595</v>
      </c>
      <c r="P138" s="295">
        <f t="shared" si="59"/>
        <v>3571.8970040737595</v>
      </c>
      <c r="Q138" s="295">
        <f t="shared" si="59"/>
        <v>3571.8970040737595</v>
      </c>
      <c r="R138" s="295">
        <f t="shared" si="59"/>
        <v>887.22631637668474</v>
      </c>
      <c r="S138" s="295">
        <f t="shared" si="59"/>
        <v>900.56113515665038</v>
      </c>
      <c r="T138" s="295">
        <f t="shared" si="59"/>
        <v>877.14865643181815</v>
      </c>
      <c r="U138" s="295">
        <f t="shared" si="59"/>
        <v>906.96089610860645</v>
      </c>
    </row>
    <row r="139" spans="2:21">
      <c r="B139" s="8" t="s">
        <v>100</v>
      </c>
      <c r="C139" s="25">
        <v>7025</v>
      </c>
      <c r="D139" s="295"/>
      <c r="E139" s="20">
        <f t="shared" si="57"/>
        <v>2091723.1852062501</v>
      </c>
      <c r="F139" s="20">
        <f t="shared" si="53"/>
        <v>2091723.1852062501</v>
      </c>
      <c r="G139" s="19">
        <f ca="1">Видатки!AK12</f>
        <v>2091723.1852062501</v>
      </c>
      <c r="H139" s="19">
        <f ca="1">Видатки!AG12</f>
        <v>522637.27191874996</v>
      </c>
      <c r="I139" s="19">
        <f ca="1">Видатки!AH12</f>
        <v>522637.27191874996</v>
      </c>
      <c r="J139" s="19">
        <f ca="1">Видатки!AI12</f>
        <v>522637.27191874996</v>
      </c>
      <c r="K139" s="19">
        <f ca="1">Видатки!AJ12</f>
        <v>523811.36945000006</v>
      </c>
      <c r="L139" s="8" t="s">
        <v>100</v>
      </c>
      <c r="M139" s="25">
        <v>7025</v>
      </c>
      <c r="N139" s="295"/>
      <c r="O139" s="295">
        <f t="shared" si="59"/>
        <v>2091.72318520625</v>
      </c>
      <c r="P139" s="295">
        <f t="shared" si="59"/>
        <v>2091.72318520625</v>
      </c>
      <c r="Q139" s="295">
        <f t="shared" si="59"/>
        <v>2091.72318520625</v>
      </c>
      <c r="R139" s="295">
        <f t="shared" si="59"/>
        <v>522.63727191875</v>
      </c>
      <c r="S139" s="295">
        <f t="shared" si="59"/>
        <v>522.63727191875</v>
      </c>
      <c r="T139" s="295">
        <f t="shared" si="59"/>
        <v>522.63727191875</v>
      </c>
      <c r="U139" s="295">
        <f t="shared" si="59"/>
        <v>523.81136945000003</v>
      </c>
    </row>
    <row r="140" spans="2:21" ht="19.5" customHeight="1">
      <c r="B140" s="8" t="s">
        <v>191</v>
      </c>
      <c r="C140" s="25">
        <v>7026</v>
      </c>
      <c r="D140" s="20"/>
      <c r="E140" s="20">
        <f t="shared" si="57"/>
        <v>3704461.7310892381</v>
      </c>
      <c r="F140" s="20">
        <f t="shared" si="53"/>
        <v>3704461.7310892381</v>
      </c>
      <c r="G140" s="19">
        <f ca="1">Видатки!AK20</f>
        <v>3704461.7310892381</v>
      </c>
      <c r="H140" s="19">
        <f ca="1">Видатки!AG20</f>
        <v>920561.45434810128</v>
      </c>
      <c r="I140" s="19">
        <f ca="1">Видатки!AH20</f>
        <v>913510.51405890589</v>
      </c>
      <c r="J140" s="19">
        <f ca="1">Видатки!AI20</f>
        <v>905370.50475622271</v>
      </c>
      <c r="K140" s="19">
        <f ca="1">Видатки!AJ20</f>
        <v>965019.25792600843</v>
      </c>
      <c r="L140" s="8" t="s">
        <v>191</v>
      </c>
      <c r="M140" s="25">
        <v>7026</v>
      </c>
      <c r="N140" s="20"/>
      <c r="O140" s="295">
        <f t="shared" si="59"/>
        <v>3704.4617310892381</v>
      </c>
      <c r="P140" s="295">
        <f t="shared" si="59"/>
        <v>3704.4617310892381</v>
      </c>
      <c r="Q140" s="295">
        <f t="shared" si="59"/>
        <v>3704.4617310892381</v>
      </c>
      <c r="R140" s="295">
        <f t="shared" si="59"/>
        <v>920.56145434810128</v>
      </c>
      <c r="S140" s="295">
        <f t="shared" si="59"/>
        <v>913.51051405890587</v>
      </c>
      <c r="T140" s="295">
        <f t="shared" si="59"/>
        <v>905.37050475622266</v>
      </c>
      <c r="U140" s="295">
        <f t="shared" si="59"/>
        <v>965.01925792600844</v>
      </c>
    </row>
    <row r="141" spans="2:21" ht="19.5" customHeight="1">
      <c r="B141" s="7" t="s">
        <v>104</v>
      </c>
      <c r="C141" s="25">
        <v>7030</v>
      </c>
      <c r="D141" s="19" t="s">
        <v>112</v>
      </c>
      <c r="E141" s="890" t="s">
        <v>112</v>
      </c>
      <c r="F141" s="890" t="s">
        <v>112</v>
      </c>
      <c r="G141" s="890" t="s">
        <v>112</v>
      </c>
      <c r="H141" s="890" t="s">
        <v>112</v>
      </c>
      <c r="I141" s="890" t="s">
        <v>112</v>
      </c>
      <c r="J141" s="890" t="s">
        <v>112</v>
      </c>
      <c r="K141" s="890" t="s">
        <v>112</v>
      </c>
      <c r="L141" s="7" t="s">
        <v>104</v>
      </c>
      <c r="M141" s="25">
        <v>7030</v>
      </c>
      <c r="N141" s="19" t="s">
        <v>112</v>
      </c>
      <c r="O141" s="890" t="s">
        <v>112</v>
      </c>
      <c r="P141" s="890" t="s">
        <v>112</v>
      </c>
      <c r="Q141" s="890" t="s">
        <v>112</v>
      </c>
      <c r="R141" s="890" t="s">
        <v>112</v>
      </c>
      <c r="S141" s="890" t="s">
        <v>112</v>
      </c>
      <c r="T141" s="890" t="s">
        <v>112</v>
      </c>
      <c r="U141" s="890" t="s">
        <v>112</v>
      </c>
    </row>
    <row r="142" spans="2:21" ht="19.5" customHeight="1">
      <c r="B142" s="8" t="s">
        <v>149</v>
      </c>
      <c r="C142" s="25">
        <v>7031</v>
      </c>
      <c r="D142" s="19" t="e">
        <f t="shared" ref="D142:D147" si="60">D135/12/D128</f>
        <v>#DIV/0!</v>
      </c>
      <c r="E142" s="19">
        <f>G142</f>
        <v>19757.731496853125</v>
      </c>
      <c r="F142" s="19">
        <f>G142</f>
        <v>19757.731496853125</v>
      </c>
      <c r="G142" s="19">
        <f t="shared" ref="G142:G147" si="61">G135/12/G128</f>
        <v>19757.731496853125</v>
      </c>
      <c r="H142" s="19">
        <f t="shared" ref="H142:H147" si="62">H135/3/H128</f>
        <v>19692.82805855</v>
      </c>
      <c r="I142" s="19">
        <f t="shared" ref="I142:K144" si="63">I135/3/I128</f>
        <v>19692.82805855</v>
      </c>
      <c r="J142" s="19">
        <f t="shared" si="63"/>
        <v>19692.82805855</v>
      </c>
      <c r="K142" s="19">
        <f t="shared" si="63"/>
        <v>19952.441811762499</v>
      </c>
      <c r="L142" s="8" t="s">
        <v>149</v>
      </c>
      <c r="M142" s="25">
        <v>7031</v>
      </c>
      <c r="N142" s="19" t="e">
        <f t="shared" ref="N142:N147" si="64">N135/12/N128</f>
        <v>#DIV/0!</v>
      </c>
      <c r="O142" s="20">
        <f t="shared" ref="O142:O147" si="65">E142</f>
        <v>19757.731496853125</v>
      </c>
      <c r="P142" s="20">
        <f t="shared" ref="P142:U147" si="66">F142</f>
        <v>19757.731496853125</v>
      </c>
      <c r="Q142" s="20">
        <f t="shared" si="66"/>
        <v>19757.731496853125</v>
      </c>
      <c r="R142" s="20">
        <f t="shared" si="66"/>
        <v>19692.82805855</v>
      </c>
      <c r="S142" s="20">
        <f t="shared" si="66"/>
        <v>19692.82805855</v>
      </c>
      <c r="T142" s="20">
        <f t="shared" si="66"/>
        <v>19692.82805855</v>
      </c>
      <c r="U142" s="20">
        <f t="shared" si="66"/>
        <v>19952.441811762499</v>
      </c>
    </row>
    <row r="143" spans="2:21" ht="19.5" customHeight="1">
      <c r="B143" s="8" t="s">
        <v>16</v>
      </c>
      <c r="C143" s="25">
        <v>7032</v>
      </c>
      <c r="D143" s="19" t="e">
        <f t="shared" si="60"/>
        <v>#DIV/0!</v>
      </c>
      <c r="E143" s="19">
        <f t="shared" ref="E143:E148" si="67">G143</f>
        <v>21496.031491806632</v>
      </c>
      <c r="F143" s="19">
        <f t="shared" ref="F143:F154" si="68">G143</f>
        <v>21496.031491806632</v>
      </c>
      <c r="G143" s="19">
        <f t="shared" si="61"/>
        <v>21496.031491806632</v>
      </c>
      <c r="H143" s="19">
        <f t="shared" si="62"/>
        <v>21498.966928991897</v>
      </c>
      <c r="I143" s="19">
        <f t="shared" si="63"/>
        <v>21602.304259933488</v>
      </c>
      <c r="J143" s="19">
        <f t="shared" si="63"/>
        <v>21424.950365017168</v>
      </c>
      <c r="K143" s="19">
        <f t="shared" si="63"/>
        <v>21457.904413283981</v>
      </c>
      <c r="L143" s="8" t="s">
        <v>16</v>
      </c>
      <c r="M143" s="25">
        <v>7032</v>
      </c>
      <c r="N143" s="19" t="e">
        <f t="shared" si="64"/>
        <v>#DIV/0!</v>
      </c>
      <c r="O143" s="20">
        <f t="shared" si="65"/>
        <v>21496.031491806632</v>
      </c>
      <c r="P143" s="20">
        <f t="shared" si="66"/>
        <v>21496.031491806632</v>
      </c>
      <c r="Q143" s="20">
        <f t="shared" si="66"/>
        <v>21496.031491806632</v>
      </c>
      <c r="R143" s="20">
        <f t="shared" si="66"/>
        <v>21498.966928991897</v>
      </c>
      <c r="S143" s="20">
        <f t="shared" si="66"/>
        <v>21602.304259933488</v>
      </c>
      <c r="T143" s="20">
        <f t="shared" si="66"/>
        <v>21424.950365017168</v>
      </c>
      <c r="U143" s="20">
        <f t="shared" si="66"/>
        <v>21457.904413283981</v>
      </c>
    </row>
    <row r="144" spans="2:21" ht="19.5" customHeight="1">
      <c r="B144" s="8" t="s">
        <v>101</v>
      </c>
      <c r="C144" s="25">
        <v>7033</v>
      </c>
      <c r="D144" s="19" t="e">
        <f t="shared" si="60"/>
        <v>#DIV/0!</v>
      </c>
      <c r="E144" s="19">
        <f t="shared" si="67"/>
        <v>14790.042047848763</v>
      </c>
      <c r="F144" s="19">
        <f t="shared" si="68"/>
        <v>14790.042047848763</v>
      </c>
      <c r="G144" s="19">
        <f t="shared" si="61"/>
        <v>14790.042047848763</v>
      </c>
      <c r="H144" s="19">
        <f t="shared" si="62"/>
        <v>14793.022082906597</v>
      </c>
      <c r="I144" s="19">
        <f t="shared" si="63"/>
        <v>14895.239970900591</v>
      </c>
      <c r="J144" s="19">
        <f t="shared" si="63"/>
        <v>14719.636566584526</v>
      </c>
      <c r="K144" s="19">
        <f t="shared" si="63"/>
        <v>14752.269571003339</v>
      </c>
      <c r="L144" s="8" t="s">
        <v>101</v>
      </c>
      <c r="M144" s="25">
        <v>7033</v>
      </c>
      <c r="N144" s="19" t="e">
        <f t="shared" si="64"/>
        <v>#DIV/0!</v>
      </c>
      <c r="O144" s="20">
        <f t="shared" si="65"/>
        <v>14790.042047848763</v>
      </c>
      <c r="P144" s="20">
        <f t="shared" si="66"/>
        <v>14790.042047848763</v>
      </c>
      <c r="Q144" s="20">
        <f t="shared" si="66"/>
        <v>14790.042047848763</v>
      </c>
      <c r="R144" s="20">
        <f t="shared" si="66"/>
        <v>14793.022082906597</v>
      </c>
      <c r="S144" s="20">
        <f t="shared" si="66"/>
        <v>14895.239970900591</v>
      </c>
      <c r="T144" s="20">
        <f t="shared" si="66"/>
        <v>14719.636566584526</v>
      </c>
      <c r="U144" s="20">
        <f t="shared" si="66"/>
        <v>14752.269571003339</v>
      </c>
    </row>
    <row r="145" spans="2:21" ht="19.5" customHeight="1">
      <c r="B145" s="8" t="s">
        <v>102</v>
      </c>
      <c r="C145" s="25">
        <v>7034</v>
      </c>
      <c r="D145" s="19" t="e">
        <f t="shared" si="60"/>
        <v>#DIV/0!</v>
      </c>
      <c r="E145" s="19">
        <f t="shared" si="67"/>
        <v>7632.2585557131615</v>
      </c>
      <c r="F145" s="19">
        <f t="shared" si="68"/>
        <v>7632.2585557131615</v>
      </c>
      <c r="G145" s="19">
        <f t="shared" si="61"/>
        <v>7632.2585557131615</v>
      </c>
      <c r="H145" s="19">
        <f t="shared" si="62"/>
        <v>7583.1309092024339</v>
      </c>
      <c r="I145" s="19">
        <f t="shared" ref="I145:K147" si="69">I138/3/I131</f>
        <v>7697.1037192876101</v>
      </c>
      <c r="J145" s="19">
        <f t="shared" si="69"/>
        <v>7496.9970635198133</v>
      </c>
      <c r="K145" s="19">
        <f t="shared" si="69"/>
        <v>7751.8025308427896</v>
      </c>
      <c r="L145" s="8" t="s">
        <v>102</v>
      </c>
      <c r="M145" s="25">
        <v>7034</v>
      </c>
      <c r="N145" s="19" t="e">
        <f t="shared" si="64"/>
        <v>#DIV/0!</v>
      </c>
      <c r="O145" s="20">
        <f t="shared" si="65"/>
        <v>7632.2585557131615</v>
      </c>
      <c r="P145" s="20">
        <f t="shared" si="66"/>
        <v>7632.2585557131615</v>
      </c>
      <c r="Q145" s="20">
        <f t="shared" si="66"/>
        <v>7632.2585557131615</v>
      </c>
      <c r="R145" s="20">
        <f t="shared" si="66"/>
        <v>7583.1309092024339</v>
      </c>
      <c r="S145" s="20">
        <f t="shared" si="66"/>
        <v>7697.1037192876101</v>
      </c>
      <c r="T145" s="20">
        <f t="shared" si="66"/>
        <v>7496.9970635198133</v>
      </c>
      <c r="U145" s="20">
        <f t="shared" si="66"/>
        <v>7751.8025308427896</v>
      </c>
    </row>
    <row r="146" spans="2:21" ht="19.5" customHeight="1">
      <c r="B146" s="8" t="s">
        <v>100</v>
      </c>
      <c r="C146" s="25">
        <v>7035</v>
      </c>
      <c r="D146" s="19" t="e">
        <f t="shared" si="60"/>
        <v>#DIV/0!</v>
      </c>
      <c r="E146" s="19">
        <f t="shared" si="67"/>
        <v>19367.807270428239</v>
      </c>
      <c r="F146" s="19">
        <f t="shared" si="68"/>
        <v>19367.807270428239</v>
      </c>
      <c r="G146" s="19">
        <f t="shared" si="61"/>
        <v>19367.807270428239</v>
      </c>
      <c r="H146" s="19">
        <f t="shared" si="62"/>
        <v>19356.935996990738</v>
      </c>
      <c r="I146" s="19">
        <f t="shared" si="69"/>
        <v>19356.935996990738</v>
      </c>
      <c r="J146" s="19">
        <f t="shared" si="69"/>
        <v>19356.935996990738</v>
      </c>
      <c r="K146" s="19">
        <f t="shared" si="69"/>
        <v>19400.421090740743</v>
      </c>
      <c r="L146" s="8" t="s">
        <v>100</v>
      </c>
      <c r="M146" s="25">
        <v>7035</v>
      </c>
      <c r="N146" s="19" t="e">
        <f t="shared" si="64"/>
        <v>#DIV/0!</v>
      </c>
      <c r="O146" s="20">
        <f t="shared" si="65"/>
        <v>19367.807270428239</v>
      </c>
      <c r="P146" s="20">
        <f t="shared" si="66"/>
        <v>19367.807270428239</v>
      </c>
      <c r="Q146" s="20">
        <f t="shared" si="66"/>
        <v>19367.807270428239</v>
      </c>
      <c r="R146" s="20">
        <f t="shared" si="66"/>
        <v>19356.935996990738</v>
      </c>
      <c r="S146" s="20">
        <f t="shared" si="66"/>
        <v>19356.935996990738</v>
      </c>
      <c r="T146" s="20">
        <f t="shared" si="66"/>
        <v>19356.935996990738</v>
      </c>
      <c r="U146" s="20">
        <f t="shared" si="66"/>
        <v>19400.421090740743</v>
      </c>
    </row>
    <row r="147" spans="2:21" ht="19.5" customHeight="1">
      <c r="B147" s="8" t="s">
        <v>191</v>
      </c>
      <c r="C147" s="25">
        <v>7036</v>
      </c>
      <c r="D147" s="19" t="e">
        <f t="shared" si="60"/>
        <v>#DIV/0!</v>
      </c>
      <c r="E147" s="19">
        <f t="shared" si="67"/>
        <v>6860.1143168319222</v>
      </c>
      <c r="F147" s="19">
        <f t="shared" si="68"/>
        <v>6860.1143168319222</v>
      </c>
      <c r="G147" s="19">
        <f t="shared" si="61"/>
        <v>6860.1143168319222</v>
      </c>
      <c r="H147" s="19">
        <f t="shared" si="62"/>
        <v>6818.9737359118608</v>
      </c>
      <c r="I147" s="19">
        <f t="shared" si="69"/>
        <v>6766.7445485844883</v>
      </c>
      <c r="J147" s="19">
        <f t="shared" si="69"/>
        <v>6706.4481833794271</v>
      </c>
      <c r="K147" s="19">
        <f t="shared" si="69"/>
        <v>7148.2907994519146</v>
      </c>
      <c r="L147" s="8" t="s">
        <v>191</v>
      </c>
      <c r="M147" s="25">
        <v>7036</v>
      </c>
      <c r="N147" s="19" t="e">
        <f t="shared" si="64"/>
        <v>#DIV/0!</v>
      </c>
      <c r="O147" s="20">
        <f t="shared" si="65"/>
        <v>6860.1143168319222</v>
      </c>
      <c r="P147" s="20">
        <f t="shared" si="66"/>
        <v>6860.1143168319222</v>
      </c>
      <c r="Q147" s="20">
        <f t="shared" si="66"/>
        <v>6860.1143168319222</v>
      </c>
      <c r="R147" s="20">
        <f t="shared" si="66"/>
        <v>6818.9737359118608</v>
      </c>
      <c r="S147" s="20">
        <f t="shared" si="66"/>
        <v>6766.7445485844883</v>
      </c>
      <c r="T147" s="20">
        <f t="shared" si="66"/>
        <v>6706.4481833794271</v>
      </c>
      <c r="U147" s="20">
        <f t="shared" si="66"/>
        <v>7148.2907994519146</v>
      </c>
    </row>
    <row r="148" spans="2:21" ht="19.5" customHeight="1">
      <c r="B148" s="7" t="s">
        <v>105</v>
      </c>
      <c r="C148" s="25">
        <v>7040</v>
      </c>
      <c r="D148" s="20">
        <v>0</v>
      </c>
      <c r="E148" s="890">
        <f t="shared" si="67"/>
        <v>0</v>
      </c>
      <c r="F148" s="890">
        <f t="shared" si="68"/>
        <v>0</v>
      </c>
      <c r="G148" s="890">
        <f>SUM(G149:G154)</f>
        <v>0</v>
      </c>
      <c r="H148" s="890" t="s">
        <v>112</v>
      </c>
      <c r="I148" s="890" t="s">
        <v>112</v>
      </c>
      <c r="J148" s="890" t="s">
        <v>112</v>
      </c>
      <c r="K148" s="890" t="s">
        <v>112</v>
      </c>
      <c r="L148" s="7" t="s">
        <v>105</v>
      </c>
      <c r="M148" s="25">
        <v>7040</v>
      </c>
      <c r="N148" s="20">
        <v>0</v>
      </c>
      <c r="O148" s="890">
        <f>Q148</f>
        <v>0</v>
      </c>
      <c r="P148" s="890">
        <f t="shared" ref="P148:P154" si="70">Q148</f>
        <v>0</v>
      </c>
      <c r="Q148" s="890">
        <f>SUM(G149:G154)</f>
        <v>0</v>
      </c>
      <c r="R148" s="890" t="s">
        <v>112</v>
      </c>
      <c r="S148" s="890" t="s">
        <v>112</v>
      </c>
      <c r="T148" s="890" t="s">
        <v>112</v>
      </c>
      <c r="U148" s="890" t="s">
        <v>112</v>
      </c>
    </row>
    <row r="149" spans="2:21" ht="19.5" customHeight="1">
      <c r="B149" s="8" t="s">
        <v>149</v>
      </c>
      <c r="C149" s="25">
        <v>7041</v>
      </c>
      <c r="D149" s="20">
        <v>0</v>
      </c>
      <c r="E149" s="295">
        <v>0</v>
      </c>
      <c r="F149" s="890">
        <f t="shared" si="68"/>
        <v>0</v>
      </c>
      <c r="G149" s="295">
        <v>0</v>
      </c>
      <c r="H149" s="890" t="s">
        <v>112</v>
      </c>
      <c r="I149" s="890" t="s">
        <v>112</v>
      </c>
      <c r="J149" s="890" t="s">
        <v>112</v>
      </c>
      <c r="K149" s="890" t="s">
        <v>112</v>
      </c>
      <c r="L149" s="8" t="s">
        <v>149</v>
      </c>
      <c r="M149" s="25">
        <v>7041</v>
      </c>
      <c r="N149" s="20">
        <v>0</v>
      </c>
      <c r="O149" s="295">
        <v>0</v>
      </c>
      <c r="P149" s="890">
        <f t="shared" si="70"/>
        <v>0</v>
      </c>
      <c r="Q149" s="295">
        <v>0</v>
      </c>
      <c r="R149" s="890" t="s">
        <v>112</v>
      </c>
      <c r="S149" s="890" t="s">
        <v>112</v>
      </c>
      <c r="T149" s="890" t="s">
        <v>112</v>
      </c>
      <c r="U149" s="890" t="s">
        <v>112</v>
      </c>
    </row>
    <row r="150" spans="2:21" ht="19.5" customHeight="1">
      <c r="B150" s="8" t="s">
        <v>16</v>
      </c>
      <c r="C150" s="25">
        <v>7042</v>
      </c>
      <c r="D150" s="20">
        <v>0</v>
      </c>
      <c r="E150" s="295">
        <v>0</v>
      </c>
      <c r="F150" s="890">
        <f t="shared" si="68"/>
        <v>0</v>
      </c>
      <c r="G150" s="295">
        <v>0</v>
      </c>
      <c r="H150" s="890" t="s">
        <v>112</v>
      </c>
      <c r="I150" s="890" t="s">
        <v>112</v>
      </c>
      <c r="J150" s="890" t="s">
        <v>112</v>
      </c>
      <c r="K150" s="890" t="s">
        <v>112</v>
      </c>
      <c r="L150" s="8" t="s">
        <v>16</v>
      </c>
      <c r="M150" s="25">
        <v>7042</v>
      </c>
      <c r="N150" s="20">
        <v>0</v>
      </c>
      <c r="O150" s="295">
        <v>0</v>
      </c>
      <c r="P150" s="890">
        <f t="shared" si="70"/>
        <v>0</v>
      </c>
      <c r="Q150" s="295">
        <v>0</v>
      </c>
      <c r="R150" s="890" t="s">
        <v>112</v>
      </c>
      <c r="S150" s="890" t="s">
        <v>112</v>
      </c>
      <c r="T150" s="890" t="s">
        <v>112</v>
      </c>
      <c r="U150" s="890" t="s">
        <v>112</v>
      </c>
    </row>
    <row r="151" spans="2:21" ht="19.5" customHeight="1">
      <c r="B151" s="8" t="s">
        <v>101</v>
      </c>
      <c r="C151" s="25">
        <v>7043</v>
      </c>
      <c r="D151" s="20">
        <v>0</v>
      </c>
      <c r="E151" s="295">
        <v>0</v>
      </c>
      <c r="F151" s="890">
        <f t="shared" si="68"/>
        <v>0</v>
      </c>
      <c r="G151" s="295">
        <v>0</v>
      </c>
      <c r="H151" s="890" t="s">
        <v>112</v>
      </c>
      <c r="I151" s="890" t="s">
        <v>112</v>
      </c>
      <c r="J151" s="890" t="s">
        <v>112</v>
      </c>
      <c r="K151" s="890" t="s">
        <v>112</v>
      </c>
      <c r="L151" s="8" t="s">
        <v>101</v>
      </c>
      <c r="M151" s="25">
        <v>7043</v>
      </c>
      <c r="N151" s="20">
        <v>0</v>
      </c>
      <c r="O151" s="295">
        <v>0</v>
      </c>
      <c r="P151" s="890">
        <f t="shared" si="70"/>
        <v>0</v>
      </c>
      <c r="Q151" s="295">
        <v>0</v>
      </c>
      <c r="R151" s="890" t="s">
        <v>112</v>
      </c>
      <c r="S151" s="890" t="s">
        <v>112</v>
      </c>
      <c r="T151" s="890" t="s">
        <v>112</v>
      </c>
      <c r="U151" s="890" t="s">
        <v>112</v>
      </c>
    </row>
    <row r="152" spans="2:21" ht="19.5" customHeight="1">
      <c r="B152" s="8" t="s">
        <v>102</v>
      </c>
      <c r="C152" s="25">
        <v>7044</v>
      </c>
      <c r="D152" s="20">
        <v>0</v>
      </c>
      <c r="E152" s="295">
        <v>0</v>
      </c>
      <c r="F152" s="890">
        <f t="shared" si="68"/>
        <v>0</v>
      </c>
      <c r="G152" s="295">
        <v>0</v>
      </c>
      <c r="H152" s="890" t="s">
        <v>112</v>
      </c>
      <c r="I152" s="890" t="s">
        <v>112</v>
      </c>
      <c r="J152" s="890" t="s">
        <v>112</v>
      </c>
      <c r="K152" s="890" t="s">
        <v>112</v>
      </c>
      <c r="L152" s="8" t="s">
        <v>102</v>
      </c>
      <c r="M152" s="25">
        <v>7044</v>
      </c>
      <c r="N152" s="20">
        <v>0</v>
      </c>
      <c r="O152" s="295">
        <v>0</v>
      </c>
      <c r="P152" s="890">
        <f t="shared" si="70"/>
        <v>0</v>
      </c>
      <c r="Q152" s="295">
        <v>0</v>
      </c>
      <c r="R152" s="890" t="s">
        <v>112</v>
      </c>
      <c r="S152" s="890" t="s">
        <v>112</v>
      </c>
      <c r="T152" s="890" t="s">
        <v>112</v>
      </c>
      <c r="U152" s="890" t="s">
        <v>112</v>
      </c>
    </row>
    <row r="153" spans="2:21" ht="19.5" customHeight="1">
      <c r="B153" s="8" t="s">
        <v>100</v>
      </c>
      <c r="C153" s="25">
        <v>7045</v>
      </c>
      <c r="D153" s="20">
        <v>0</v>
      </c>
      <c r="E153" s="295">
        <v>0</v>
      </c>
      <c r="F153" s="890">
        <f t="shared" si="68"/>
        <v>0</v>
      </c>
      <c r="G153" s="295">
        <v>0</v>
      </c>
      <c r="H153" s="890" t="s">
        <v>112</v>
      </c>
      <c r="I153" s="890" t="s">
        <v>112</v>
      </c>
      <c r="J153" s="890" t="s">
        <v>112</v>
      </c>
      <c r="K153" s="890" t="s">
        <v>112</v>
      </c>
      <c r="L153" s="8" t="s">
        <v>100</v>
      </c>
      <c r="M153" s="25">
        <v>7045</v>
      </c>
      <c r="N153" s="20">
        <v>0</v>
      </c>
      <c r="O153" s="295">
        <v>0</v>
      </c>
      <c r="P153" s="890">
        <f t="shared" si="70"/>
        <v>0</v>
      </c>
      <c r="Q153" s="295">
        <v>0</v>
      </c>
      <c r="R153" s="890" t="s">
        <v>112</v>
      </c>
      <c r="S153" s="890" t="s">
        <v>112</v>
      </c>
      <c r="T153" s="890" t="s">
        <v>112</v>
      </c>
      <c r="U153" s="890" t="s">
        <v>112</v>
      </c>
    </row>
    <row r="154" spans="2:21" ht="19.5" customHeight="1">
      <c r="B154" s="8" t="s">
        <v>191</v>
      </c>
      <c r="C154" s="25">
        <v>7046</v>
      </c>
      <c r="D154" s="20">
        <v>0</v>
      </c>
      <c r="E154" s="295">
        <v>0</v>
      </c>
      <c r="F154" s="890">
        <f t="shared" si="68"/>
        <v>0</v>
      </c>
      <c r="G154" s="295">
        <v>0</v>
      </c>
      <c r="H154" s="890" t="s">
        <v>112</v>
      </c>
      <c r="I154" s="890" t="s">
        <v>112</v>
      </c>
      <c r="J154" s="890" t="s">
        <v>112</v>
      </c>
      <c r="K154" s="890" t="s">
        <v>112</v>
      </c>
      <c r="L154" s="8" t="s">
        <v>191</v>
      </c>
      <c r="M154" s="25">
        <v>7046</v>
      </c>
      <c r="N154" s="20">
        <v>0</v>
      </c>
      <c r="O154" s="295">
        <v>0</v>
      </c>
      <c r="P154" s="890">
        <f t="shared" si="70"/>
        <v>0</v>
      </c>
      <c r="Q154" s="295">
        <v>0</v>
      </c>
      <c r="R154" s="890" t="s">
        <v>112</v>
      </c>
      <c r="S154" s="890" t="s">
        <v>112</v>
      </c>
      <c r="T154" s="890" t="s">
        <v>112</v>
      </c>
      <c r="U154" s="890" t="s">
        <v>112</v>
      </c>
    </row>
    <row r="155" spans="2:21" ht="19.5" customHeight="1">
      <c r="B155" s="9"/>
      <c r="C155" s="37"/>
      <c r="D155" s="10"/>
      <c r="E155" s="10"/>
      <c r="F155" s="10"/>
      <c r="G155" s="10"/>
      <c r="H155" s="10"/>
      <c r="I155" s="10"/>
      <c r="J155" s="10"/>
      <c r="K155" s="10"/>
      <c r="L155" s="9"/>
      <c r="M155" s="37"/>
      <c r="N155" s="10"/>
      <c r="O155" s="10"/>
      <c r="P155" s="10"/>
      <c r="Q155" s="10"/>
      <c r="R155" s="10"/>
      <c r="S155" s="10"/>
      <c r="T155" s="10"/>
      <c r="U155" s="10"/>
    </row>
    <row r="156" spans="2:21" ht="21.75" customHeight="1">
      <c r="B156" s="9"/>
      <c r="D156" s="11"/>
      <c r="E156" s="12"/>
      <c r="F156" s="12"/>
      <c r="G156" s="12"/>
      <c r="H156" s="12"/>
      <c r="I156" s="12"/>
      <c r="J156" s="12"/>
      <c r="K156" s="12"/>
      <c r="L156" s="9"/>
      <c r="N156" s="11"/>
      <c r="O156" s="12"/>
      <c r="P156" s="12"/>
      <c r="Q156" s="12"/>
      <c r="R156" s="12"/>
      <c r="S156" s="12"/>
      <c r="T156" s="12"/>
      <c r="U156" s="12"/>
    </row>
    <row r="157" spans="2:21" ht="19.899999999999999" customHeight="1">
      <c r="B157" s="13" t="s">
        <v>993</v>
      </c>
      <c r="C157" s="37"/>
      <c r="D157" s="1037" t="s">
        <v>881</v>
      </c>
      <c r="E157" s="1037"/>
      <c r="F157" s="1037"/>
      <c r="G157" s="1037"/>
      <c r="H157" s="14"/>
      <c r="I157" s="1038" t="s">
        <v>1150</v>
      </c>
      <c r="J157" s="1038"/>
      <c r="K157" s="1038"/>
      <c r="L157" s="13" t="s">
        <v>993</v>
      </c>
      <c r="M157" s="37"/>
      <c r="N157" s="1037" t="s">
        <v>881</v>
      </c>
      <c r="O157" s="1037"/>
      <c r="P157" s="1037"/>
      <c r="Q157" s="1037"/>
      <c r="R157" s="14"/>
      <c r="S157" s="1038" t="s">
        <v>1150</v>
      </c>
      <c r="T157" s="1038"/>
      <c r="U157" s="1038"/>
    </row>
    <row r="158" spans="2:21" ht="20.100000000000001" customHeight="1">
      <c r="B158" s="15"/>
      <c r="C158" s="2"/>
      <c r="D158" s="1034" t="s">
        <v>1151</v>
      </c>
      <c r="E158" s="1034"/>
      <c r="F158" s="1034"/>
      <c r="G158" s="1034"/>
      <c r="H158" s="15"/>
      <c r="I158" s="1035" t="s">
        <v>341</v>
      </c>
      <c r="J158" s="1035"/>
      <c r="K158" s="1035"/>
      <c r="L158" s="15"/>
      <c r="M158" s="2"/>
      <c r="N158" s="1034" t="s">
        <v>1151</v>
      </c>
      <c r="O158" s="1034"/>
      <c r="P158" s="1034"/>
      <c r="Q158" s="1034"/>
      <c r="R158" s="15"/>
      <c r="S158" s="1035" t="s">
        <v>341</v>
      </c>
      <c r="T158" s="1035"/>
      <c r="U158" s="1035"/>
    </row>
    <row r="159" spans="2:21" ht="44.25" customHeight="1">
      <c r="B159" s="9" t="s">
        <v>344</v>
      </c>
      <c r="D159" s="11"/>
      <c r="E159" s="12"/>
      <c r="F159" s="12"/>
      <c r="G159" s="12"/>
      <c r="H159" s="12"/>
      <c r="I159" s="12"/>
      <c r="J159" s="12"/>
      <c r="K159" s="12"/>
      <c r="L159" s="9" t="s">
        <v>344</v>
      </c>
      <c r="N159" s="11"/>
      <c r="O159" s="12"/>
      <c r="P159" s="12"/>
      <c r="Q159" s="12"/>
      <c r="R159" s="12"/>
      <c r="S159" s="12"/>
      <c r="T159" s="12"/>
      <c r="U159" s="12"/>
    </row>
    <row r="160" spans="2:21">
      <c r="B160" s="9"/>
      <c r="D160" s="11"/>
      <c r="E160" s="12"/>
      <c r="F160" s="12"/>
      <c r="G160" s="12"/>
      <c r="H160" s="12"/>
      <c r="I160" s="12"/>
      <c r="J160" s="12"/>
      <c r="K160" s="12"/>
      <c r="L160" s="9"/>
      <c r="N160" s="11"/>
      <c r="O160" s="12"/>
      <c r="P160" s="12"/>
      <c r="Q160" s="12"/>
      <c r="R160" s="12"/>
      <c r="S160" s="12"/>
      <c r="T160" s="12"/>
      <c r="U160" s="12"/>
    </row>
    <row r="161" spans="2:21">
      <c r="B161" s="9"/>
      <c r="D161" s="11"/>
      <c r="E161" s="12"/>
      <c r="F161" s="12"/>
      <c r="G161" s="12"/>
      <c r="H161" s="12"/>
      <c r="I161" s="12"/>
      <c r="J161" s="12"/>
      <c r="K161" s="12"/>
      <c r="L161" s="9"/>
      <c r="N161" s="11"/>
      <c r="O161" s="12"/>
      <c r="P161" s="12"/>
      <c r="Q161" s="12"/>
      <c r="R161" s="12"/>
      <c r="S161" s="12"/>
      <c r="T161" s="12"/>
      <c r="U161" s="12"/>
    </row>
    <row r="162" spans="2:21">
      <c r="B162" s="9"/>
      <c r="D162" s="11"/>
      <c r="E162" s="12"/>
      <c r="F162" s="12"/>
      <c r="G162" s="12"/>
      <c r="H162" s="12"/>
      <c r="I162" s="12"/>
      <c r="J162" s="12"/>
      <c r="K162" s="12"/>
      <c r="L162" s="9"/>
      <c r="N162" s="11"/>
      <c r="O162" s="12"/>
      <c r="P162" s="12"/>
      <c r="Q162" s="12"/>
      <c r="R162" s="12"/>
      <c r="S162" s="12"/>
      <c r="T162" s="12"/>
      <c r="U162" s="12"/>
    </row>
    <row r="163" spans="2:21">
      <c r="B163" s="9"/>
      <c r="D163" s="11"/>
      <c r="E163" s="12"/>
      <c r="F163" s="12"/>
      <c r="G163" s="12"/>
      <c r="H163" s="12"/>
      <c r="I163" s="12"/>
      <c r="J163" s="12"/>
      <c r="K163" s="12"/>
      <c r="L163" s="9"/>
      <c r="N163" s="11"/>
      <c r="O163" s="12"/>
      <c r="P163" s="12"/>
      <c r="Q163" s="12"/>
      <c r="R163" s="12"/>
      <c r="S163" s="12"/>
      <c r="T163" s="12"/>
      <c r="U163" s="12"/>
    </row>
    <row r="164" spans="2:21">
      <c r="B164" s="9"/>
      <c r="D164" s="11"/>
      <c r="E164" s="12"/>
      <c r="F164" s="12"/>
      <c r="G164" s="12"/>
      <c r="H164" s="12"/>
      <c r="I164" s="12"/>
      <c r="J164" s="12"/>
      <c r="K164" s="12"/>
      <c r="L164" s="9"/>
      <c r="N164" s="11"/>
      <c r="O164" s="12"/>
      <c r="P164" s="12"/>
      <c r="Q164" s="12"/>
      <c r="R164" s="12"/>
      <c r="S164" s="12"/>
      <c r="T164" s="12"/>
      <c r="U164" s="12"/>
    </row>
    <row r="165" spans="2:21">
      <c r="B165" s="9"/>
      <c r="D165" s="11"/>
      <c r="E165" s="12"/>
      <c r="F165" s="12"/>
      <c r="G165" s="12"/>
      <c r="H165" s="12"/>
      <c r="I165" s="12"/>
      <c r="J165" s="12"/>
      <c r="K165" s="12"/>
      <c r="L165" s="9"/>
      <c r="N165" s="11"/>
      <c r="O165" s="12"/>
      <c r="P165" s="12"/>
      <c r="Q165" s="12"/>
      <c r="R165" s="12"/>
      <c r="S165" s="12"/>
      <c r="T165" s="12"/>
      <c r="U165" s="12"/>
    </row>
    <row r="166" spans="2:21">
      <c r="B166" s="9"/>
      <c r="D166" s="11"/>
      <c r="E166" s="12"/>
      <c r="F166" s="12"/>
      <c r="G166" s="12"/>
      <c r="H166" s="12"/>
      <c r="I166" s="12"/>
      <c r="J166" s="12"/>
      <c r="K166" s="12"/>
      <c r="L166" s="9"/>
      <c r="N166" s="11"/>
      <c r="O166" s="12"/>
      <c r="P166" s="12"/>
      <c r="Q166" s="12"/>
      <c r="R166" s="12"/>
      <c r="S166" s="12"/>
      <c r="T166" s="12"/>
      <c r="U166" s="12"/>
    </row>
    <row r="167" spans="2:21">
      <c r="B167" s="9"/>
      <c r="D167" s="11"/>
      <c r="E167" s="12"/>
      <c r="F167" s="12"/>
      <c r="G167" s="12"/>
      <c r="H167" s="12"/>
      <c r="I167" s="12"/>
      <c r="J167" s="12"/>
      <c r="K167" s="12"/>
      <c r="L167" s="9"/>
      <c r="N167" s="11"/>
      <c r="O167" s="12"/>
      <c r="P167" s="12"/>
      <c r="Q167" s="12"/>
      <c r="R167" s="12"/>
      <c r="S167" s="12"/>
      <c r="T167" s="12"/>
      <c r="U167" s="12"/>
    </row>
    <row r="168" spans="2:21">
      <c r="B168" s="9"/>
      <c r="D168" s="11"/>
      <c r="E168" s="12"/>
      <c r="F168" s="12"/>
      <c r="G168" s="12"/>
      <c r="H168" s="12"/>
      <c r="I168" s="12"/>
      <c r="J168" s="12"/>
      <c r="K168" s="12"/>
      <c r="L168" s="9"/>
      <c r="N168" s="11"/>
      <c r="O168" s="12"/>
      <c r="P168" s="12"/>
      <c r="Q168" s="12"/>
      <c r="R168" s="12"/>
      <c r="S168" s="12"/>
      <c r="T168" s="12"/>
      <c r="U168" s="12"/>
    </row>
    <row r="169" spans="2:21">
      <c r="B169" s="9"/>
      <c r="D169" s="11"/>
      <c r="E169" s="12"/>
      <c r="F169" s="12"/>
      <c r="G169" s="12"/>
      <c r="H169" s="12"/>
      <c r="I169" s="12"/>
      <c r="J169" s="12"/>
      <c r="K169" s="12"/>
      <c r="L169" s="9"/>
      <c r="N169" s="11"/>
      <c r="O169" s="12"/>
      <c r="P169" s="12"/>
      <c r="Q169" s="12"/>
      <c r="R169" s="12"/>
      <c r="S169" s="12"/>
      <c r="T169" s="12"/>
      <c r="U169" s="12"/>
    </row>
    <row r="170" spans="2:21">
      <c r="B170" s="9"/>
      <c r="D170" s="11"/>
      <c r="E170" s="12"/>
      <c r="F170" s="12"/>
      <c r="G170" s="12"/>
      <c r="H170" s="12"/>
      <c r="I170" s="12"/>
      <c r="J170" s="12"/>
      <c r="K170" s="12"/>
      <c r="L170" s="9"/>
      <c r="N170" s="11"/>
      <c r="O170" s="12"/>
      <c r="P170" s="12"/>
      <c r="Q170" s="12"/>
      <c r="R170" s="12"/>
      <c r="S170" s="12"/>
      <c r="T170" s="12"/>
      <c r="U170" s="12"/>
    </row>
    <row r="171" spans="2:21">
      <c r="B171" s="9"/>
      <c r="D171" s="11"/>
      <c r="E171" s="12"/>
      <c r="F171" s="12"/>
      <c r="G171" s="12"/>
      <c r="H171" s="12"/>
      <c r="I171" s="12"/>
      <c r="J171" s="12"/>
      <c r="K171" s="12"/>
      <c r="L171" s="9"/>
      <c r="N171" s="11"/>
      <c r="O171" s="12"/>
      <c r="P171" s="12"/>
      <c r="Q171" s="12"/>
      <c r="R171" s="12"/>
      <c r="S171" s="12"/>
      <c r="T171" s="12"/>
      <c r="U171" s="12"/>
    </row>
    <row r="172" spans="2:21">
      <c r="B172" s="9"/>
      <c r="D172" s="11"/>
      <c r="E172" s="12"/>
      <c r="F172" s="12"/>
      <c r="G172" s="12"/>
      <c r="H172" s="12"/>
      <c r="I172" s="12"/>
      <c r="J172" s="12"/>
      <c r="K172" s="12"/>
      <c r="L172" s="9"/>
      <c r="N172" s="11"/>
      <c r="O172" s="12"/>
      <c r="P172" s="12"/>
      <c r="Q172" s="12"/>
      <c r="R172" s="12"/>
      <c r="S172" s="12"/>
      <c r="T172" s="12"/>
      <c r="U172" s="12"/>
    </row>
    <row r="173" spans="2:21">
      <c r="B173" s="9"/>
      <c r="D173" s="11"/>
      <c r="E173" s="12"/>
      <c r="F173" s="12"/>
      <c r="G173" s="12"/>
      <c r="H173" s="12"/>
      <c r="I173" s="12"/>
      <c r="J173" s="12"/>
      <c r="K173" s="12"/>
      <c r="L173" s="9"/>
      <c r="N173" s="11"/>
      <c r="O173" s="12"/>
      <c r="P173" s="12"/>
      <c r="Q173" s="12"/>
      <c r="R173" s="12"/>
      <c r="S173" s="12"/>
      <c r="T173" s="12"/>
      <c r="U173" s="12"/>
    </row>
    <row r="174" spans="2:21">
      <c r="B174" s="9"/>
      <c r="D174" s="11"/>
      <c r="E174" s="12"/>
      <c r="F174" s="12"/>
      <c r="G174" s="12"/>
      <c r="H174" s="12"/>
      <c r="I174" s="12"/>
      <c r="J174" s="12"/>
      <c r="K174" s="12"/>
      <c r="L174" s="9"/>
      <c r="N174" s="11"/>
      <c r="O174" s="12"/>
      <c r="P174" s="12"/>
      <c r="Q174" s="12"/>
      <c r="R174" s="12"/>
      <c r="S174" s="12"/>
      <c r="T174" s="12"/>
      <c r="U174" s="12"/>
    </row>
    <row r="175" spans="2:21">
      <c r="B175" s="9"/>
      <c r="D175" s="11"/>
      <c r="E175" s="12"/>
      <c r="F175" s="12"/>
      <c r="G175" s="12"/>
      <c r="H175" s="12"/>
      <c r="I175" s="12"/>
      <c r="J175" s="12"/>
      <c r="K175" s="12"/>
      <c r="L175" s="9"/>
      <c r="N175" s="11"/>
      <c r="O175" s="12"/>
      <c r="P175" s="12"/>
      <c r="Q175" s="12"/>
      <c r="R175" s="12"/>
      <c r="S175" s="12"/>
      <c r="T175" s="12"/>
      <c r="U175" s="12"/>
    </row>
    <row r="176" spans="2:21">
      <c r="B176" s="9"/>
      <c r="D176" s="11"/>
      <c r="E176" s="12"/>
      <c r="F176" s="12"/>
      <c r="G176" s="12"/>
      <c r="H176" s="12"/>
      <c r="I176" s="12"/>
      <c r="J176" s="12"/>
      <c r="K176" s="12"/>
      <c r="L176" s="9"/>
      <c r="N176" s="11"/>
      <c r="O176" s="12"/>
      <c r="P176" s="12"/>
      <c r="Q176" s="12"/>
      <c r="R176" s="12"/>
      <c r="S176" s="12"/>
      <c r="T176" s="12"/>
      <c r="U176" s="12"/>
    </row>
    <row r="177" spans="2:21">
      <c r="B177" s="9"/>
      <c r="D177" s="11"/>
      <c r="E177" s="12"/>
      <c r="F177" s="12"/>
      <c r="G177" s="12"/>
      <c r="H177" s="12"/>
      <c r="I177" s="12"/>
      <c r="J177" s="12"/>
      <c r="K177" s="12"/>
      <c r="L177" s="9"/>
      <c r="N177" s="11"/>
      <c r="O177" s="12"/>
      <c r="P177" s="12"/>
      <c r="Q177" s="12"/>
      <c r="R177" s="12"/>
      <c r="S177" s="12"/>
      <c r="T177" s="12"/>
      <c r="U177" s="12"/>
    </row>
    <row r="178" spans="2:21">
      <c r="B178" s="9"/>
      <c r="D178" s="11"/>
      <c r="E178" s="12"/>
      <c r="F178" s="12"/>
      <c r="G178" s="12"/>
      <c r="H178" s="12"/>
      <c r="I178" s="12"/>
      <c r="J178" s="12"/>
      <c r="K178" s="12"/>
      <c r="L178" s="9"/>
      <c r="N178" s="11"/>
      <c r="O178" s="12"/>
      <c r="P178" s="12"/>
      <c r="Q178" s="12"/>
      <c r="R178" s="12"/>
      <c r="S178" s="12"/>
      <c r="T178" s="12"/>
      <c r="U178" s="12"/>
    </row>
    <row r="179" spans="2:21">
      <c r="B179" s="9"/>
      <c r="D179" s="11"/>
      <c r="E179" s="12"/>
      <c r="F179" s="12"/>
      <c r="G179" s="12"/>
      <c r="H179" s="12"/>
      <c r="I179" s="12"/>
      <c r="J179" s="12"/>
      <c r="K179" s="12"/>
      <c r="L179" s="9"/>
      <c r="N179" s="11"/>
      <c r="O179" s="12"/>
      <c r="P179" s="12"/>
      <c r="Q179" s="12"/>
      <c r="R179" s="12"/>
      <c r="S179" s="12"/>
      <c r="T179" s="12"/>
      <c r="U179" s="12"/>
    </row>
    <row r="180" spans="2:21">
      <c r="B180" s="9"/>
      <c r="D180" s="11"/>
      <c r="E180" s="12"/>
      <c r="F180" s="12"/>
      <c r="G180" s="12"/>
      <c r="H180" s="12"/>
      <c r="I180" s="12"/>
      <c r="J180" s="12"/>
      <c r="K180" s="12"/>
      <c r="L180" s="9"/>
      <c r="N180" s="11"/>
      <c r="O180" s="12"/>
      <c r="P180" s="12"/>
      <c r="Q180" s="12"/>
      <c r="R180" s="12"/>
      <c r="S180" s="12"/>
      <c r="T180" s="12"/>
      <c r="U180" s="12"/>
    </row>
    <row r="181" spans="2:21">
      <c r="B181" s="9"/>
      <c r="D181" s="11"/>
      <c r="E181" s="12"/>
      <c r="F181" s="12"/>
      <c r="G181" s="12"/>
      <c r="H181" s="12"/>
      <c r="I181" s="12"/>
      <c r="J181" s="12"/>
      <c r="K181" s="12"/>
      <c r="L181" s="9"/>
      <c r="N181" s="11"/>
      <c r="O181" s="12"/>
      <c r="P181" s="12"/>
      <c r="Q181" s="12"/>
      <c r="R181" s="12"/>
      <c r="S181" s="12"/>
      <c r="T181" s="12"/>
      <c r="U181" s="12"/>
    </row>
    <row r="182" spans="2:21">
      <c r="B182" s="9"/>
      <c r="D182" s="11"/>
      <c r="E182" s="12"/>
      <c r="F182" s="12"/>
      <c r="G182" s="12"/>
      <c r="H182" s="12"/>
      <c r="I182" s="12"/>
      <c r="J182" s="12"/>
      <c r="K182" s="12"/>
      <c r="L182" s="9"/>
      <c r="N182" s="11"/>
      <c r="O182" s="12"/>
      <c r="P182" s="12"/>
      <c r="Q182" s="12"/>
      <c r="R182" s="12"/>
      <c r="S182" s="12"/>
      <c r="T182" s="12"/>
      <c r="U182" s="12"/>
    </row>
    <row r="183" spans="2:21">
      <c r="B183" s="9"/>
      <c r="D183" s="11"/>
      <c r="E183" s="12"/>
      <c r="F183" s="12"/>
      <c r="G183" s="12"/>
      <c r="H183" s="12"/>
      <c r="I183" s="12"/>
      <c r="J183" s="12"/>
      <c r="K183" s="12"/>
      <c r="L183" s="9"/>
      <c r="N183" s="11"/>
      <c r="O183" s="12"/>
      <c r="P183" s="12"/>
      <c r="Q183" s="12"/>
      <c r="R183" s="12"/>
      <c r="S183" s="12"/>
      <c r="T183" s="12"/>
      <c r="U183" s="12"/>
    </row>
    <row r="184" spans="2:21">
      <c r="B184" s="9"/>
      <c r="D184" s="11"/>
      <c r="E184" s="12"/>
      <c r="F184" s="12"/>
      <c r="G184" s="12"/>
      <c r="H184" s="12"/>
      <c r="I184" s="12"/>
      <c r="J184" s="12"/>
      <c r="K184" s="12"/>
      <c r="L184" s="9"/>
      <c r="N184" s="11"/>
      <c r="O184" s="12"/>
      <c r="P184" s="12"/>
      <c r="Q184" s="12"/>
      <c r="R184" s="12"/>
      <c r="S184" s="12"/>
      <c r="T184" s="12"/>
      <c r="U184" s="12"/>
    </row>
    <row r="185" spans="2:21">
      <c r="B185" s="9"/>
      <c r="D185" s="11"/>
      <c r="E185" s="12"/>
      <c r="F185" s="12"/>
      <c r="G185" s="12"/>
      <c r="H185" s="12"/>
      <c r="I185" s="12"/>
      <c r="J185" s="12"/>
      <c r="K185" s="12"/>
      <c r="L185" s="9"/>
      <c r="N185" s="11"/>
      <c r="O185" s="12"/>
      <c r="P185" s="12"/>
      <c r="Q185" s="12"/>
      <c r="R185" s="12"/>
      <c r="S185" s="12"/>
      <c r="T185" s="12"/>
      <c r="U185" s="12"/>
    </row>
    <row r="186" spans="2:21">
      <c r="B186" s="9"/>
      <c r="D186" s="11"/>
      <c r="E186" s="12"/>
      <c r="F186" s="12"/>
      <c r="G186" s="12"/>
      <c r="H186" s="12"/>
      <c r="I186" s="12"/>
      <c r="J186" s="12"/>
      <c r="K186" s="12"/>
      <c r="L186" s="9"/>
      <c r="N186" s="11"/>
      <c r="O186" s="12"/>
      <c r="P186" s="12"/>
      <c r="Q186" s="12"/>
      <c r="R186" s="12"/>
      <c r="S186" s="12"/>
      <c r="T186" s="12"/>
      <c r="U186" s="12"/>
    </row>
    <row r="187" spans="2:21">
      <c r="B187" s="9"/>
      <c r="D187" s="11"/>
      <c r="E187" s="12"/>
      <c r="F187" s="12"/>
      <c r="G187" s="12"/>
      <c r="H187" s="12"/>
      <c r="I187" s="12"/>
      <c r="J187" s="12"/>
      <c r="K187" s="12"/>
      <c r="L187" s="9"/>
      <c r="N187" s="11"/>
      <c r="O187" s="12"/>
      <c r="P187" s="12"/>
      <c r="Q187" s="12"/>
      <c r="R187" s="12"/>
      <c r="S187" s="12"/>
      <c r="T187" s="12"/>
      <c r="U187" s="12"/>
    </row>
    <row r="188" spans="2:21">
      <c r="B188" s="9"/>
      <c r="D188" s="11"/>
      <c r="E188" s="12"/>
      <c r="F188" s="12"/>
      <c r="G188" s="12"/>
      <c r="H188" s="12"/>
      <c r="I188" s="12"/>
      <c r="J188" s="12"/>
      <c r="K188" s="12"/>
      <c r="L188" s="9"/>
      <c r="N188" s="11"/>
      <c r="O188" s="12"/>
      <c r="P188" s="12"/>
      <c r="Q188" s="12"/>
      <c r="R188" s="12"/>
      <c r="S188" s="12"/>
      <c r="T188" s="12"/>
      <c r="U188" s="12"/>
    </row>
    <row r="189" spans="2:21">
      <c r="B189" s="9"/>
      <c r="D189" s="11"/>
      <c r="E189" s="12"/>
      <c r="F189" s="12"/>
      <c r="G189" s="12"/>
      <c r="H189" s="12"/>
      <c r="I189" s="12"/>
      <c r="J189" s="12"/>
      <c r="K189" s="12"/>
      <c r="L189" s="9"/>
      <c r="N189" s="11"/>
      <c r="O189" s="12"/>
      <c r="P189" s="12"/>
      <c r="Q189" s="12"/>
      <c r="R189" s="12"/>
      <c r="S189" s="12"/>
      <c r="T189" s="12"/>
      <c r="U189" s="12"/>
    </row>
    <row r="190" spans="2:21">
      <c r="B190" s="9"/>
      <c r="D190" s="11"/>
      <c r="E190" s="12"/>
      <c r="F190" s="12"/>
      <c r="G190" s="12"/>
      <c r="H190" s="12"/>
      <c r="I190" s="12"/>
      <c r="J190" s="12"/>
      <c r="K190" s="12"/>
      <c r="L190" s="9"/>
      <c r="N190" s="11"/>
      <c r="O190" s="12"/>
      <c r="P190" s="12"/>
      <c r="Q190" s="12"/>
      <c r="R190" s="12"/>
      <c r="S190" s="12"/>
      <c r="T190" s="12"/>
      <c r="U190" s="12"/>
    </row>
    <row r="191" spans="2:21">
      <c r="B191" s="9"/>
      <c r="D191" s="11"/>
      <c r="E191" s="12"/>
      <c r="F191" s="12"/>
      <c r="G191" s="12"/>
      <c r="H191" s="12"/>
      <c r="I191" s="12"/>
      <c r="J191" s="12"/>
      <c r="K191" s="12"/>
      <c r="L191" s="9"/>
      <c r="N191" s="11"/>
      <c r="O191" s="12"/>
      <c r="P191" s="12"/>
      <c r="Q191" s="12"/>
      <c r="R191" s="12"/>
      <c r="S191" s="12"/>
      <c r="T191" s="12"/>
      <c r="U191" s="12"/>
    </row>
    <row r="192" spans="2:21">
      <c r="B192" s="9"/>
      <c r="D192" s="11"/>
      <c r="E192" s="12"/>
      <c r="F192" s="12"/>
      <c r="G192" s="12"/>
      <c r="H192" s="12"/>
      <c r="I192" s="12"/>
      <c r="J192" s="12"/>
      <c r="K192" s="12"/>
      <c r="L192" s="9"/>
      <c r="N192" s="11"/>
      <c r="O192" s="12"/>
      <c r="P192" s="12"/>
      <c r="Q192" s="12"/>
      <c r="R192" s="12"/>
      <c r="S192" s="12"/>
      <c r="T192" s="12"/>
      <c r="U192" s="12"/>
    </row>
    <row r="193" spans="2:21">
      <c r="B193" s="9"/>
      <c r="D193" s="11"/>
      <c r="E193" s="12"/>
      <c r="F193" s="12"/>
      <c r="G193" s="12"/>
      <c r="H193" s="12"/>
      <c r="I193" s="12"/>
      <c r="J193" s="12"/>
      <c r="K193" s="12"/>
      <c r="L193" s="9"/>
      <c r="N193" s="11"/>
      <c r="O193" s="12"/>
      <c r="P193" s="12"/>
      <c r="Q193" s="12"/>
      <c r="R193" s="12"/>
      <c r="S193" s="12"/>
      <c r="T193" s="12"/>
      <c r="U193" s="12"/>
    </row>
    <row r="194" spans="2:21">
      <c r="B194" s="9"/>
      <c r="D194" s="11"/>
      <c r="E194" s="12"/>
      <c r="F194" s="12"/>
      <c r="G194" s="12"/>
      <c r="H194" s="12"/>
      <c r="I194" s="12"/>
      <c r="J194" s="12"/>
      <c r="K194" s="12"/>
      <c r="L194" s="9"/>
      <c r="N194" s="11"/>
      <c r="O194" s="12"/>
      <c r="P194" s="12"/>
      <c r="Q194" s="12"/>
      <c r="R194" s="12"/>
      <c r="S194" s="12"/>
      <c r="T194" s="12"/>
      <c r="U194" s="12"/>
    </row>
    <row r="195" spans="2:21">
      <c r="B195" s="9"/>
      <c r="D195" s="11"/>
      <c r="E195" s="12"/>
      <c r="F195" s="12"/>
      <c r="G195" s="12"/>
      <c r="H195" s="12"/>
      <c r="I195" s="12"/>
      <c r="J195" s="12"/>
      <c r="K195" s="12"/>
      <c r="L195" s="9"/>
      <c r="N195" s="11"/>
      <c r="O195" s="12"/>
      <c r="P195" s="12"/>
      <c r="Q195" s="12"/>
      <c r="R195" s="12"/>
      <c r="S195" s="12"/>
      <c r="T195" s="12"/>
      <c r="U195" s="12"/>
    </row>
    <row r="196" spans="2:21">
      <c r="B196" s="9"/>
      <c r="D196" s="11"/>
      <c r="E196" s="12"/>
      <c r="F196" s="12"/>
      <c r="G196" s="12"/>
      <c r="H196" s="12"/>
      <c r="I196" s="12"/>
      <c r="J196" s="12"/>
      <c r="K196" s="12"/>
      <c r="L196" s="9"/>
      <c r="N196" s="11"/>
      <c r="O196" s="12"/>
      <c r="P196" s="12"/>
      <c r="Q196" s="12"/>
      <c r="R196" s="12"/>
      <c r="S196" s="12"/>
      <c r="T196" s="12"/>
      <c r="U196" s="12"/>
    </row>
    <row r="197" spans="2:21">
      <c r="B197" s="9"/>
      <c r="D197" s="11"/>
      <c r="E197" s="12"/>
      <c r="F197" s="12"/>
      <c r="G197" s="12"/>
      <c r="H197" s="12"/>
      <c r="I197" s="12"/>
      <c r="J197" s="12"/>
      <c r="K197" s="12"/>
      <c r="L197" s="9"/>
      <c r="N197" s="11"/>
      <c r="O197" s="12"/>
      <c r="P197" s="12"/>
      <c r="Q197" s="12"/>
      <c r="R197" s="12"/>
      <c r="S197" s="12"/>
      <c r="T197" s="12"/>
      <c r="U197" s="12"/>
    </row>
    <row r="198" spans="2:21">
      <c r="B198" s="9"/>
      <c r="D198" s="11"/>
      <c r="E198" s="12"/>
      <c r="F198" s="12"/>
      <c r="G198" s="12"/>
      <c r="H198" s="12"/>
      <c r="I198" s="12"/>
      <c r="J198" s="12"/>
      <c r="K198" s="12"/>
      <c r="L198" s="9"/>
      <c r="N198" s="11"/>
      <c r="O198" s="12"/>
      <c r="P198" s="12"/>
      <c r="Q198" s="12"/>
      <c r="R198" s="12"/>
      <c r="S198" s="12"/>
      <c r="T198" s="12"/>
      <c r="U198" s="12"/>
    </row>
    <row r="199" spans="2:21">
      <c r="B199" s="9"/>
      <c r="D199" s="11"/>
      <c r="E199" s="12"/>
      <c r="F199" s="12"/>
      <c r="G199" s="12"/>
      <c r="H199" s="12"/>
      <c r="I199" s="12"/>
      <c r="J199" s="12"/>
      <c r="K199" s="12"/>
      <c r="L199" s="9"/>
      <c r="N199" s="11"/>
      <c r="O199" s="12"/>
      <c r="P199" s="12"/>
      <c r="Q199" s="12"/>
      <c r="R199" s="12"/>
      <c r="S199" s="12"/>
      <c r="T199" s="12"/>
      <c r="U199" s="12"/>
    </row>
    <row r="200" spans="2:21">
      <c r="B200" s="16"/>
      <c r="L200" s="16"/>
    </row>
    <row r="201" spans="2:21">
      <c r="B201" s="16"/>
      <c r="L201" s="16"/>
    </row>
    <row r="202" spans="2:21">
      <c r="B202" s="16"/>
      <c r="L202" s="16"/>
    </row>
    <row r="203" spans="2:21">
      <c r="B203" s="16"/>
      <c r="L203" s="16"/>
    </row>
    <row r="204" spans="2:21">
      <c r="B204" s="16"/>
      <c r="L204" s="16"/>
    </row>
    <row r="205" spans="2:21">
      <c r="B205" s="16"/>
      <c r="L205" s="16"/>
    </row>
    <row r="206" spans="2:21">
      <c r="B206" s="16"/>
      <c r="L206" s="16"/>
    </row>
    <row r="207" spans="2:21">
      <c r="B207" s="16"/>
      <c r="L207" s="16"/>
    </row>
    <row r="208" spans="2:21">
      <c r="B208" s="16"/>
      <c r="L208" s="16"/>
    </row>
    <row r="209" spans="2:12">
      <c r="B209" s="16"/>
      <c r="L209" s="16"/>
    </row>
    <row r="210" spans="2:12">
      <c r="B210" s="16"/>
      <c r="L210" s="16"/>
    </row>
    <row r="211" spans="2:12">
      <c r="B211" s="16"/>
      <c r="L211" s="16"/>
    </row>
    <row r="212" spans="2:12">
      <c r="B212" s="16"/>
      <c r="L212" s="16"/>
    </row>
    <row r="213" spans="2:12">
      <c r="B213" s="16"/>
      <c r="L213" s="16"/>
    </row>
    <row r="214" spans="2:12">
      <c r="B214" s="16"/>
      <c r="L214" s="16"/>
    </row>
    <row r="215" spans="2:12">
      <c r="B215" s="16"/>
      <c r="L215" s="16"/>
    </row>
    <row r="216" spans="2:12">
      <c r="B216" s="16"/>
      <c r="L216" s="16"/>
    </row>
    <row r="217" spans="2:12">
      <c r="B217" s="16"/>
      <c r="L217" s="16"/>
    </row>
    <row r="218" spans="2:12">
      <c r="B218" s="16"/>
      <c r="L218" s="16"/>
    </row>
    <row r="219" spans="2:12">
      <c r="B219" s="16"/>
      <c r="L219" s="16"/>
    </row>
    <row r="220" spans="2:12">
      <c r="B220" s="16"/>
      <c r="L220" s="16"/>
    </row>
    <row r="221" spans="2:12">
      <c r="B221" s="16"/>
      <c r="L221" s="16"/>
    </row>
    <row r="222" spans="2:12">
      <c r="B222" s="16"/>
      <c r="L222" s="16"/>
    </row>
    <row r="223" spans="2:12">
      <c r="B223" s="16"/>
      <c r="L223" s="16"/>
    </row>
    <row r="224" spans="2:12">
      <c r="B224" s="16"/>
      <c r="L224" s="16"/>
    </row>
    <row r="225" spans="2:12">
      <c r="B225" s="16"/>
      <c r="L225" s="16"/>
    </row>
    <row r="226" spans="2:12">
      <c r="B226" s="16"/>
      <c r="L226" s="16"/>
    </row>
    <row r="227" spans="2:12">
      <c r="B227" s="16"/>
      <c r="L227" s="16"/>
    </row>
    <row r="228" spans="2:12">
      <c r="B228" s="16"/>
      <c r="L228" s="16"/>
    </row>
    <row r="229" spans="2:12">
      <c r="B229" s="16"/>
      <c r="L229" s="16"/>
    </row>
    <row r="230" spans="2:12">
      <c r="B230" s="16"/>
      <c r="L230" s="16"/>
    </row>
    <row r="231" spans="2:12">
      <c r="B231" s="16"/>
      <c r="L231" s="16"/>
    </row>
    <row r="232" spans="2:12">
      <c r="B232" s="16"/>
      <c r="L232" s="16"/>
    </row>
    <row r="233" spans="2:12">
      <c r="B233" s="16"/>
      <c r="L233" s="16"/>
    </row>
    <row r="234" spans="2:12">
      <c r="B234" s="16"/>
      <c r="L234" s="16"/>
    </row>
    <row r="235" spans="2:12">
      <c r="B235" s="16"/>
      <c r="L235" s="16"/>
    </row>
    <row r="236" spans="2:12">
      <c r="B236" s="16"/>
      <c r="L236" s="16"/>
    </row>
    <row r="237" spans="2:12">
      <c r="B237" s="16"/>
      <c r="L237" s="16"/>
    </row>
    <row r="238" spans="2:12">
      <c r="B238" s="16"/>
      <c r="L238" s="16"/>
    </row>
    <row r="239" spans="2:12">
      <c r="B239" s="16"/>
      <c r="L239" s="16"/>
    </row>
    <row r="240" spans="2:12">
      <c r="B240" s="16"/>
      <c r="L240" s="16"/>
    </row>
    <row r="241" spans="2:12">
      <c r="B241" s="16"/>
      <c r="L241" s="16"/>
    </row>
    <row r="242" spans="2:12">
      <c r="B242" s="16"/>
      <c r="L242" s="16"/>
    </row>
    <row r="243" spans="2:12">
      <c r="B243" s="16"/>
      <c r="L243" s="16"/>
    </row>
    <row r="244" spans="2:12">
      <c r="B244" s="16"/>
      <c r="L244" s="16"/>
    </row>
    <row r="245" spans="2:12">
      <c r="B245" s="16"/>
      <c r="L245" s="16"/>
    </row>
    <row r="246" spans="2:12">
      <c r="B246" s="16"/>
      <c r="L246" s="16"/>
    </row>
    <row r="247" spans="2:12">
      <c r="B247" s="16"/>
      <c r="L247" s="16"/>
    </row>
    <row r="248" spans="2:12">
      <c r="B248" s="16"/>
      <c r="L248" s="16"/>
    </row>
    <row r="249" spans="2:12">
      <c r="B249" s="16"/>
      <c r="L249" s="16"/>
    </row>
    <row r="250" spans="2:12">
      <c r="B250" s="16"/>
      <c r="L250" s="16"/>
    </row>
    <row r="251" spans="2:12">
      <c r="B251" s="16"/>
      <c r="L251" s="16"/>
    </row>
    <row r="252" spans="2:12">
      <c r="B252" s="16"/>
      <c r="L252" s="16"/>
    </row>
    <row r="253" spans="2:12">
      <c r="B253" s="16"/>
      <c r="L253" s="16"/>
    </row>
    <row r="254" spans="2:12">
      <c r="B254" s="16"/>
      <c r="L254" s="16"/>
    </row>
    <row r="255" spans="2:12">
      <c r="B255" s="16"/>
      <c r="L255" s="16"/>
    </row>
    <row r="256" spans="2:12">
      <c r="B256" s="16"/>
      <c r="L256" s="16"/>
    </row>
    <row r="257" spans="2:12">
      <c r="B257" s="16"/>
      <c r="L257" s="16"/>
    </row>
    <row r="258" spans="2:12">
      <c r="B258" s="16"/>
      <c r="L258" s="16"/>
    </row>
    <row r="259" spans="2:12">
      <c r="B259" s="16"/>
      <c r="L259" s="16"/>
    </row>
    <row r="260" spans="2:12">
      <c r="B260" s="16"/>
      <c r="L260" s="16"/>
    </row>
    <row r="261" spans="2:12">
      <c r="B261" s="16"/>
      <c r="L261" s="16"/>
    </row>
    <row r="262" spans="2:12">
      <c r="B262" s="16"/>
      <c r="L262" s="16"/>
    </row>
    <row r="263" spans="2:12">
      <c r="B263" s="16"/>
      <c r="L263" s="16"/>
    </row>
    <row r="264" spans="2:12">
      <c r="B264" s="16"/>
      <c r="L264" s="16"/>
    </row>
    <row r="265" spans="2:12">
      <c r="B265" s="16"/>
      <c r="L265" s="16"/>
    </row>
    <row r="266" spans="2:12">
      <c r="B266" s="16"/>
      <c r="L266" s="16"/>
    </row>
    <row r="267" spans="2:12">
      <c r="B267" s="16"/>
      <c r="L267" s="16"/>
    </row>
    <row r="268" spans="2:12">
      <c r="B268" s="16"/>
      <c r="L268" s="16"/>
    </row>
    <row r="269" spans="2:12">
      <c r="B269" s="16"/>
      <c r="L269" s="16"/>
    </row>
    <row r="270" spans="2:12">
      <c r="B270" s="16"/>
      <c r="L270" s="16"/>
    </row>
    <row r="271" spans="2:12">
      <c r="B271" s="16"/>
      <c r="L271" s="16"/>
    </row>
    <row r="272" spans="2:12">
      <c r="B272" s="16"/>
      <c r="L272" s="16"/>
    </row>
    <row r="273" spans="2:12">
      <c r="B273" s="16"/>
      <c r="L273" s="16"/>
    </row>
    <row r="274" spans="2:12">
      <c r="B274" s="16"/>
      <c r="L274" s="16"/>
    </row>
    <row r="275" spans="2:12">
      <c r="B275" s="16"/>
      <c r="L275" s="16"/>
    </row>
    <row r="276" spans="2:12">
      <c r="B276" s="16"/>
      <c r="L276" s="16"/>
    </row>
    <row r="277" spans="2:12">
      <c r="B277" s="16"/>
      <c r="L277" s="16"/>
    </row>
    <row r="278" spans="2:12">
      <c r="B278" s="16"/>
      <c r="L278" s="16"/>
    </row>
    <row r="279" spans="2:12">
      <c r="B279" s="16"/>
      <c r="L279" s="16"/>
    </row>
    <row r="280" spans="2:12">
      <c r="B280" s="16"/>
      <c r="L280" s="16"/>
    </row>
    <row r="281" spans="2:12">
      <c r="B281" s="16"/>
      <c r="L281" s="16"/>
    </row>
    <row r="282" spans="2:12">
      <c r="B282" s="16"/>
      <c r="L282" s="16"/>
    </row>
    <row r="283" spans="2:12">
      <c r="B283" s="16"/>
      <c r="L283" s="16"/>
    </row>
    <row r="284" spans="2:12">
      <c r="B284" s="16"/>
      <c r="L284" s="16"/>
    </row>
    <row r="285" spans="2:12">
      <c r="B285" s="16"/>
      <c r="L285" s="16"/>
    </row>
    <row r="286" spans="2:12">
      <c r="B286" s="16"/>
      <c r="L286" s="16"/>
    </row>
    <row r="287" spans="2:12">
      <c r="B287" s="16"/>
      <c r="L287" s="16"/>
    </row>
    <row r="288" spans="2:12">
      <c r="B288" s="16"/>
      <c r="L288" s="16"/>
    </row>
    <row r="289" spans="2:12">
      <c r="B289" s="16"/>
      <c r="L289" s="16"/>
    </row>
    <row r="290" spans="2:12">
      <c r="B290" s="16"/>
      <c r="L290" s="16"/>
    </row>
    <row r="291" spans="2:12">
      <c r="B291" s="16"/>
      <c r="L291" s="16"/>
    </row>
    <row r="292" spans="2:12">
      <c r="B292" s="16"/>
      <c r="L292" s="16"/>
    </row>
    <row r="293" spans="2:12">
      <c r="B293" s="16"/>
      <c r="L293" s="16"/>
    </row>
    <row r="294" spans="2:12">
      <c r="B294" s="16"/>
      <c r="L294" s="16"/>
    </row>
    <row r="295" spans="2:12">
      <c r="B295" s="16"/>
      <c r="L295" s="16"/>
    </row>
    <row r="296" spans="2:12">
      <c r="B296" s="16"/>
      <c r="L296" s="16"/>
    </row>
    <row r="297" spans="2:12">
      <c r="B297" s="16"/>
      <c r="L297" s="16"/>
    </row>
    <row r="298" spans="2:12">
      <c r="B298" s="16"/>
      <c r="L298" s="16"/>
    </row>
    <row r="299" spans="2:12">
      <c r="B299" s="16"/>
      <c r="L299" s="16"/>
    </row>
    <row r="300" spans="2:12">
      <c r="B300" s="16"/>
      <c r="L300" s="16"/>
    </row>
    <row r="301" spans="2:12">
      <c r="B301" s="16"/>
      <c r="L301" s="16"/>
    </row>
    <row r="302" spans="2:12">
      <c r="B302" s="16"/>
      <c r="L302" s="16"/>
    </row>
    <row r="303" spans="2:12">
      <c r="B303" s="16"/>
      <c r="L303" s="16"/>
    </row>
    <row r="304" spans="2:12">
      <c r="B304" s="16"/>
      <c r="L304" s="16"/>
    </row>
    <row r="305" spans="2:12">
      <c r="B305" s="16"/>
      <c r="L305" s="16"/>
    </row>
    <row r="306" spans="2:12">
      <c r="B306" s="16"/>
      <c r="L306" s="16"/>
    </row>
    <row r="307" spans="2:12">
      <c r="B307" s="16"/>
      <c r="L307" s="16"/>
    </row>
    <row r="308" spans="2:12">
      <c r="B308" s="16"/>
      <c r="L308" s="16"/>
    </row>
    <row r="309" spans="2:12">
      <c r="B309" s="16"/>
      <c r="L309" s="16"/>
    </row>
    <row r="310" spans="2:12">
      <c r="B310" s="16"/>
      <c r="L310" s="16"/>
    </row>
    <row r="311" spans="2:12">
      <c r="B311" s="16"/>
      <c r="L311" s="16"/>
    </row>
    <row r="312" spans="2:12">
      <c r="B312" s="16"/>
      <c r="L312" s="16"/>
    </row>
    <row r="313" spans="2:12">
      <c r="B313" s="16"/>
      <c r="L313" s="16"/>
    </row>
    <row r="314" spans="2:12">
      <c r="B314" s="16"/>
      <c r="L314" s="16"/>
    </row>
    <row r="315" spans="2:12">
      <c r="B315" s="16"/>
      <c r="L315" s="16"/>
    </row>
    <row r="316" spans="2:12">
      <c r="B316" s="16"/>
      <c r="L316" s="16"/>
    </row>
    <row r="317" spans="2:12">
      <c r="B317" s="16"/>
      <c r="L317" s="16"/>
    </row>
    <row r="318" spans="2:12">
      <c r="B318" s="16"/>
      <c r="L318" s="16"/>
    </row>
    <row r="319" spans="2:12">
      <c r="B319" s="16"/>
      <c r="L319" s="16"/>
    </row>
    <row r="320" spans="2:12">
      <c r="B320" s="16"/>
      <c r="L320" s="16"/>
    </row>
    <row r="321" spans="2:12">
      <c r="B321" s="16"/>
      <c r="L321" s="16"/>
    </row>
    <row r="322" spans="2:12">
      <c r="B322" s="16"/>
      <c r="L322" s="16"/>
    </row>
    <row r="323" spans="2:12">
      <c r="B323" s="16"/>
      <c r="L323" s="16"/>
    </row>
    <row r="324" spans="2:12">
      <c r="B324" s="16"/>
      <c r="L324" s="16"/>
    </row>
    <row r="325" spans="2:12">
      <c r="B325" s="16"/>
      <c r="L325" s="16"/>
    </row>
    <row r="326" spans="2:12">
      <c r="B326" s="16"/>
      <c r="L326" s="16"/>
    </row>
    <row r="327" spans="2:12">
      <c r="B327" s="16"/>
      <c r="L327" s="16"/>
    </row>
    <row r="328" spans="2:12">
      <c r="B328" s="16"/>
      <c r="L328" s="16"/>
    </row>
    <row r="329" spans="2:12">
      <c r="B329" s="16"/>
      <c r="L329" s="16"/>
    </row>
    <row r="330" spans="2:12">
      <c r="B330" s="16"/>
      <c r="L330" s="16"/>
    </row>
    <row r="331" spans="2:12">
      <c r="B331" s="16"/>
      <c r="L331" s="16"/>
    </row>
    <row r="332" spans="2:12">
      <c r="B332" s="16"/>
      <c r="L332" s="16"/>
    </row>
    <row r="333" spans="2:12">
      <c r="B333" s="16"/>
      <c r="L333" s="16"/>
    </row>
    <row r="334" spans="2:12">
      <c r="B334" s="16"/>
      <c r="L334" s="16"/>
    </row>
    <row r="335" spans="2:12">
      <c r="B335" s="16"/>
      <c r="L335" s="16"/>
    </row>
    <row r="336" spans="2:12">
      <c r="B336" s="16"/>
      <c r="L336" s="16"/>
    </row>
    <row r="337" spans="2:12">
      <c r="B337" s="16"/>
      <c r="L337" s="16"/>
    </row>
    <row r="338" spans="2:12">
      <c r="B338" s="16"/>
      <c r="L338" s="16"/>
    </row>
    <row r="339" spans="2:12">
      <c r="B339" s="16"/>
      <c r="L339" s="16"/>
    </row>
    <row r="340" spans="2:12">
      <c r="B340" s="16"/>
      <c r="L340" s="16"/>
    </row>
    <row r="341" spans="2:12">
      <c r="B341" s="16"/>
      <c r="L341" s="16"/>
    </row>
    <row r="342" spans="2:12">
      <c r="B342" s="16"/>
      <c r="L342" s="16"/>
    </row>
    <row r="343" spans="2:12">
      <c r="B343" s="16"/>
      <c r="L343" s="16"/>
    </row>
    <row r="344" spans="2:12">
      <c r="B344" s="16"/>
      <c r="L344" s="16"/>
    </row>
    <row r="345" spans="2:12">
      <c r="B345" s="16"/>
      <c r="L345" s="16"/>
    </row>
    <row r="346" spans="2:12">
      <c r="B346" s="16"/>
      <c r="L346" s="16"/>
    </row>
    <row r="347" spans="2:12">
      <c r="B347" s="16"/>
      <c r="L347" s="16"/>
    </row>
    <row r="348" spans="2:12">
      <c r="B348" s="16"/>
      <c r="L348" s="16"/>
    </row>
    <row r="349" spans="2:12">
      <c r="B349" s="16"/>
      <c r="L349" s="16"/>
    </row>
    <row r="350" spans="2:12">
      <c r="B350" s="16"/>
      <c r="L350" s="16"/>
    </row>
    <row r="351" spans="2:12">
      <c r="B351" s="16"/>
      <c r="L351" s="16"/>
    </row>
    <row r="352" spans="2:12">
      <c r="B352" s="16"/>
      <c r="L352" s="16"/>
    </row>
    <row r="353" spans="2:12">
      <c r="B353" s="16"/>
      <c r="L353" s="16"/>
    </row>
    <row r="354" spans="2:12">
      <c r="B354" s="16"/>
      <c r="L354" s="16"/>
    </row>
    <row r="355" spans="2:12">
      <c r="B355" s="16"/>
      <c r="L355" s="16"/>
    </row>
    <row r="356" spans="2:12">
      <c r="B356" s="16"/>
      <c r="L356" s="16"/>
    </row>
    <row r="357" spans="2:12">
      <c r="B357" s="16"/>
      <c r="L357" s="16"/>
    </row>
    <row r="358" spans="2:12">
      <c r="B358" s="16"/>
      <c r="L358" s="16"/>
    </row>
    <row r="359" spans="2:12">
      <c r="B359" s="16"/>
      <c r="L359" s="16"/>
    </row>
    <row r="360" spans="2:12">
      <c r="B360" s="16"/>
      <c r="L360" s="16"/>
    </row>
    <row r="361" spans="2:12">
      <c r="B361" s="16"/>
      <c r="L361" s="16"/>
    </row>
    <row r="362" spans="2:12">
      <c r="B362" s="16"/>
      <c r="L362" s="16"/>
    </row>
    <row r="363" spans="2:12">
      <c r="B363" s="16"/>
      <c r="L363" s="16"/>
    </row>
    <row r="364" spans="2:12">
      <c r="B364" s="16"/>
      <c r="L364" s="16"/>
    </row>
    <row r="365" spans="2:12">
      <c r="B365" s="16"/>
      <c r="L365" s="16"/>
    </row>
    <row r="366" spans="2:12">
      <c r="B366" s="16"/>
      <c r="L366" s="16"/>
    </row>
  </sheetData>
  <mergeCells count="109">
    <mergeCell ref="B118:K118"/>
    <mergeCell ref="B100:K100"/>
    <mergeCell ref="B101:K101"/>
    <mergeCell ref="B112:K112"/>
    <mergeCell ref="B90:K90"/>
    <mergeCell ref="C25:H25"/>
    <mergeCell ref="C26:H26"/>
    <mergeCell ref="I24:J24"/>
    <mergeCell ref="C24:H24"/>
    <mergeCell ref="D158:G158"/>
    <mergeCell ref="I158:K158"/>
    <mergeCell ref="D157:G157"/>
    <mergeCell ref="I157:K157"/>
    <mergeCell ref="B89:K89"/>
    <mergeCell ref="B113:K113"/>
    <mergeCell ref="I23:J23"/>
    <mergeCell ref="F34:F35"/>
    <mergeCell ref="H34:K34"/>
    <mergeCell ref="C34:C35"/>
    <mergeCell ref="C28:H28"/>
    <mergeCell ref="I28:J28"/>
    <mergeCell ref="E34:E35"/>
    <mergeCell ref="C29:H29"/>
    <mergeCell ref="B32:K32"/>
    <mergeCell ref="C23:H23"/>
    <mergeCell ref="I16:K16"/>
    <mergeCell ref="B84:K84"/>
    <mergeCell ref="B51:K51"/>
    <mergeCell ref="B126:K126"/>
    <mergeCell ref="B119:K119"/>
    <mergeCell ref="B125:K125"/>
    <mergeCell ref="B83:K83"/>
    <mergeCell ref="I27:J27"/>
    <mergeCell ref="C30:H30"/>
    <mergeCell ref="C27:H27"/>
    <mergeCell ref="I22:J22"/>
    <mergeCell ref="S16:U16"/>
    <mergeCell ref="I15:J15"/>
    <mergeCell ref="S12:T12"/>
    <mergeCell ref="S13:T13"/>
    <mergeCell ref="S14:T14"/>
    <mergeCell ref="S15:T15"/>
    <mergeCell ref="I12:J12"/>
    <mergeCell ref="I13:J13"/>
    <mergeCell ref="I14:J14"/>
    <mergeCell ref="M22:R22"/>
    <mergeCell ref="B38:K38"/>
    <mergeCell ref="B37:K37"/>
    <mergeCell ref="D54:K54"/>
    <mergeCell ref="M20:R20"/>
    <mergeCell ref="M28:R28"/>
    <mergeCell ref="B34:B35"/>
    <mergeCell ref="D34:D35"/>
    <mergeCell ref="G34:G35"/>
    <mergeCell ref="C22:H22"/>
    <mergeCell ref="C19:H19"/>
    <mergeCell ref="I18:K18"/>
    <mergeCell ref="C20:H20"/>
    <mergeCell ref="C21:H21"/>
    <mergeCell ref="C18:H18"/>
    <mergeCell ref="I21:J21"/>
    <mergeCell ref="I19:J19"/>
    <mergeCell ref="I20:J20"/>
    <mergeCell ref="L90:U90"/>
    <mergeCell ref="Q34:Q35"/>
    <mergeCell ref="R34:U34"/>
    <mergeCell ref="L37:U37"/>
    <mergeCell ref="L38:U38"/>
    <mergeCell ref="L51:U51"/>
    <mergeCell ref="N54:U54"/>
    <mergeCell ref="M27:R27"/>
    <mergeCell ref="S27:T27"/>
    <mergeCell ref="S28:T28"/>
    <mergeCell ref="M29:R29"/>
    <mergeCell ref="S18:U18"/>
    <mergeCell ref="M19:R19"/>
    <mergeCell ref="S19:T19"/>
    <mergeCell ref="S20:T20"/>
    <mergeCell ref="M21:R21"/>
    <mergeCell ref="S21:T21"/>
    <mergeCell ref="M30:R30"/>
    <mergeCell ref="S22:T22"/>
    <mergeCell ref="M23:R23"/>
    <mergeCell ref="S23:T23"/>
    <mergeCell ref="L83:U83"/>
    <mergeCell ref="L32:U32"/>
    <mergeCell ref="M24:R24"/>
    <mergeCell ref="S24:T24"/>
    <mergeCell ref="M25:R25"/>
    <mergeCell ref="M26:R26"/>
    <mergeCell ref="L112:U112"/>
    <mergeCell ref="P34:P35"/>
    <mergeCell ref="L84:U84"/>
    <mergeCell ref="L89:U89"/>
    <mergeCell ref="L34:L35"/>
    <mergeCell ref="M34:M35"/>
    <mergeCell ref="N34:N35"/>
    <mergeCell ref="O34:O35"/>
    <mergeCell ref="L100:U100"/>
    <mergeCell ref="L101:U101"/>
    <mergeCell ref="L113:U113"/>
    <mergeCell ref="L118:U118"/>
    <mergeCell ref="N158:Q158"/>
    <mergeCell ref="S158:U158"/>
    <mergeCell ref="L119:U119"/>
    <mergeCell ref="L125:U125"/>
    <mergeCell ref="L126:U126"/>
    <mergeCell ref="N157:Q157"/>
    <mergeCell ref="S157:U157"/>
  </mergeCells>
  <phoneticPr fontId="0" type="noConversion"/>
  <conditionalFormatting sqref="N82:U82 D82:K82">
    <cfRule type="cellIs" dxfId="1001" priority="27" operator="lessThanOrEqual">
      <formula>0</formula>
    </cfRule>
  </conditionalFormatting>
  <conditionalFormatting sqref="N54 N55:Q82 N92:Q99 N127:Q154 N39:U50 N52:U53 O55:U81 N85:U88 O91:U99 N102:U111 O134:U140 O142:U147 D58:G82 G91 D127:G154 G55:G57 D54 D85:G88 D55:F81 D92:G99 D39:G50 D52:G53 H76:K77 H81:K81 D102:K111 H142:K147 F74:K75">
    <cfRule type="notContainsBlanks" dxfId="1000" priority="26">
      <formula>LEN(TRIM(D39))&gt;0</formula>
    </cfRule>
  </conditionalFormatting>
  <pageMargins left="0.39370078740157483" right="0" top="0" bottom="0" header="0" footer="0"/>
  <pageSetup paperSize="9" scale="44" fitToHeight="2" orientation="portrait" blackAndWhite="1" r:id="rId1"/>
  <headerFooter alignWithMargins="0"/>
  <rowBreaks count="1" manualBreakCount="1">
    <brk id="83" min="1" max="30" man="1"/>
  </rowBreaks>
  <ignoredErrors>
    <ignoredError sqref="G144 G39 G82:K82 I80:K80 G143 G145:G147 I81:K81" evalError="1"/>
    <ignoredError sqref="G72 G62 G48 G91" formula="1"/>
    <ignoredError sqref="G81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U84"/>
  <sheetViews>
    <sheetView view="pageBreakPreview" topLeftCell="A55" zoomScaleNormal="90" zoomScaleSheetLayoutView="100" workbookViewId="0">
      <selection activeCell="P89" sqref="P89"/>
    </sheetView>
  </sheetViews>
  <sheetFormatPr defaultRowHeight="15"/>
  <cols>
    <col min="1" max="1" width="3.7109375" customWidth="1"/>
    <col min="2" max="2" width="44.85546875" style="330" bestFit="1" customWidth="1"/>
    <col min="3" max="4" width="9.140625" style="330" bestFit="1"/>
    <col min="5" max="5" width="10.42578125" style="330" bestFit="1" customWidth="1"/>
    <col min="6" max="6" width="12" style="330" bestFit="1" customWidth="1"/>
    <col min="7" max="8" width="9.140625" style="330" bestFit="1"/>
    <col min="9" max="10" width="11.5703125" style="330" bestFit="1" customWidth="1"/>
    <col min="11" max="12" width="9.140625" style="330" bestFit="1"/>
    <col min="13" max="13" width="10.42578125" style="330" bestFit="1" customWidth="1"/>
    <col min="14" max="14" width="12" style="330" bestFit="1" customWidth="1"/>
    <col min="15" max="15" width="9.85546875" style="330" bestFit="1" customWidth="1"/>
    <col min="16" max="16" width="10.5703125" style="330" bestFit="1" customWidth="1"/>
    <col min="17" max="17" width="11.42578125" style="330" bestFit="1" customWidth="1"/>
    <col min="18" max="18" width="16.7109375" style="330" bestFit="1" customWidth="1"/>
    <col min="19" max="19" width="17.85546875" bestFit="1" customWidth="1"/>
    <col min="20" max="20" width="13.85546875" bestFit="1" customWidth="1"/>
    <col min="21" max="21" width="11.42578125" bestFit="1" customWidth="1"/>
  </cols>
  <sheetData>
    <row r="2" spans="2:18" s="396" customFormat="1" ht="18.75">
      <c r="B2" s="357" t="s">
        <v>966</v>
      </c>
      <c r="C2" s="1191" t="s">
        <v>989</v>
      </c>
      <c r="D2" s="1191"/>
      <c r="E2" s="1191"/>
      <c r="F2" s="1191"/>
      <c r="G2" s="1191"/>
      <c r="H2" s="1191"/>
      <c r="I2" s="1191"/>
      <c r="J2" s="1191"/>
      <c r="K2" s="1191" t="s">
        <v>942</v>
      </c>
      <c r="L2" s="1191"/>
      <c r="M2" s="1191"/>
      <c r="N2" s="1191"/>
      <c r="O2" s="1191"/>
      <c r="P2" s="1191"/>
      <c r="Q2" s="1191"/>
      <c r="R2" s="1191"/>
    </row>
    <row r="3" spans="2:18" s="83" customFormat="1" ht="15" customHeight="1">
      <c r="B3" s="359"/>
      <c r="C3" s="360" t="s">
        <v>943</v>
      </c>
      <c r="D3" s="1188" t="s">
        <v>944</v>
      </c>
      <c r="E3" s="1192"/>
      <c r="F3" s="1188" t="s">
        <v>945</v>
      </c>
      <c r="G3" s="1189"/>
      <c r="H3" s="1190" t="s">
        <v>946</v>
      </c>
      <c r="I3" s="1189"/>
      <c r="J3" s="362" t="s">
        <v>871</v>
      </c>
      <c r="K3" s="360" t="s">
        <v>943</v>
      </c>
      <c r="L3" s="1188" t="s">
        <v>944</v>
      </c>
      <c r="M3" s="1192"/>
      <c r="N3" s="1188" t="s">
        <v>945</v>
      </c>
      <c r="O3" s="1189"/>
      <c r="P3" s="1190" t="s">
        <v>946</v>
      </c>
      <c r="Q3" s="1189"/>
      <c r="R3" s="362" t="s">
        <v>871</v>
      </c>
    </row>
    <row r="4" spans="2:18" s="81" customFormat="1">
      <c r="B4" s="363"/>
      <c r="C4" s="360"/>
      <c r="D4" s="360" t="s">
        <v>959</v>
      </c>
      <c r="E4" s="360" t="s">
        <v>960</v>
      </c>
      <c r="F4" s="360" t="s">
        <v>959</v>
      </c>
      <c r="G4" s="360" t="s">
        <v>960</v>
      </c>
      <c r="H4" s="360" t="s">
        <v>959</v>
      </c>
      <c r="I4" s="360" t="s">
        <v>960</v>
      </c>
      <c r="J4" s="360"/>
      <c r="K4" s="360"/>
      <c r="L4" s="360" t="s">
        <v>959</v>
      </c>
      <c r="M4" s="360" t="s">
        <v>960</v>
      </c>
      <c r="N4" s="360" t="s">
        <v>959</v>
      </c>
      <c r="O4" s="360" t="s">
        <v>960</v>
      </c>
      <c r="P4" s="360" t="s">
        <v>959</v>
      </c>
      <c r="Q4" s="360" t="s">
        <v>960</v>
      </c>
      <c r="R4" s="360" t="s">
        <v>991</v>
      </c>
    </row>
    <row r="5" spans="2:18" s="81" customFormat="1" ht="18.75">
      <c r="B5" s="363" t="s">
        <v>947</v>
      </c>
      <c r="C5" s="365">
        <v>45000</v>
      </c>
      <c r="D5" s="358">
        <v>5.15</v>
      </c>
      <c r="E5" s="365">
        <f>C5*D5</f>
        <v>231750.00000000003</v>
      </c>
      <c r="F5" s="418">
        <v>1.3269200000000001</v>
      </c>
      <c r="G5" s="365">
        <f>C5*F5</f>
        <v>59711.4</v>
      </c>
      <c r="H5" s="383">
        <f>0.35238+0.35238*20%</f>
        <v>0.42285600000000001</v>
      </c>
      <c r="I5" s="364">
        <f>6000*H5</f>
        <v>2537.136</v>
      </c>
      <c r="J5" s="365">
        <f>E5+G5+I5</f>
        <v>293998.53600000002</v>
      </c>
      <c r="K5" s="365">
        <v>2500</v>
      </c>
      <c r="L5" s="358">
        <v>5.15</v>
      </c>
      <c r="M5" s="364">
        <f>K5*L5</f>
        <v>12875</v>
      </c>
      <c r="N5" s="418">
        <f>F5</f>
        <v>1.3269200000000001</v>
      </c>
      <c r="O5" s="365">
        <f t="shared" ref="O5:O15" si="0">K5*N5</f>
        <v>3317.3</v>
      </c>
      <c r="P5" s="383">
        <f>H5</f>
        <v>0.42285600000000001</v>
      </c>
      <c r="Q5" s="364">
        <f>500*P5</f>
        <v>211.428</v>
      </c>
      <c r="R5" s="364">
        <f>M5+O5+Q5</f>
        <v>16403.727999999999</v>
      </c>
    </row>
    <row r="6" spans="2:18" s="81" customFormat="1">
      <c r="B6" s="363" t="s">
        <v>948</v>
      </c>
      <c r="C6" s="365">
        <v>35000</v>
      </c>
      <c r="D6" s="364">
        <f>D5</f>
        <v>5.15</v>
      </c>
      <c r="E6" s="365">
        <f t="shared" ref="E6:E16" si="1">C6*D6</f>
        <v>180250</v>
      </c>
      <c r="F6" s="364">
        <f>F5</f>
        <v>1.3269200000000001</v>
      </c>
      <c r="G6" s="365">
        <f t="shared" ref="G6:G15" si="2">C6*F6</f>
        <v>46442.200000000004</v>
      </c>
      <c r="H6" s="383">
        <f>H5</f>
        <v>0.42285600000000001</v>
      </c>
      <c r="I6" s="364">
        <f>I5</f>
        <v>2537.136</v>
      </c>
      <c r="J6" s="365">
        <f t="shared" ref="J6:J16" si="3">E6+G6+I6</f>
        <v>229229.33600000001</v>
      </c>
      <c r="K6" s="365">
        <f>K5</f>
        <v>2500</v>
      </c>
      <c r="L6" s="364">
        <f>L5</f>
        <v>5.15</v>
      </c>
      <c r="M6" s="364">
        <f t="shared" ref="M6:M16" si="4">K6*L6</f>
        <v>12875</v>
      </c>
      <c r="N6" s="364">
        <f>N5</f>
        <v>1.3269200000000001</v>
      </c>
      <c r="O6" s="365">
        <f t="shared" si="0"/>
        <v>3317.3</v>
      </c>
      <c r="P6" s="383">
        <f>P5</f>
        <v>0.42285600000000001</v>
      </c>
      <c r="Q6" s="364">
        <f>Q5</f>
        <v>211.428</v>
      </c>
      <c r="R6" s="364">
        <f t="shared" ref="R6:R16" si="5">M6+O6+Q6</f>
        <v>16403.727999999999</v>
      </c>
    </row>
    <row r="7" spans="2:18" s="81" customFormat="1">
      <c r="B7" s="363" t="s">
        <v>949</v>
      </c>
      <c r="C7" s="365">
        <v>30000</v>
      </c>
      <c r="D7" s="364">
        <f t="shared" ref="D7:D16" si="6">D6</f>
        <v>5.15</v>
      </c>
      <c r="E7" s="365">
        <f t="shared" si="1"/>
        <v>154500</v>
      </c>
      <c r="F7" s="364">
        <f t="shared" ref="F7:F16" si="7">F6</f>
        <v>1.3269200000000001</v>
      </c>
      <c r="G7" s="365">
        <f t="shared" si="2"/>
        <v>39807.600000000006</v>
      </c>
      <c r="H7" s="383">
        <f t="shared" ref="H7:H16" si="8">H6</f>
        <v>0.42285600000000001</v>
      </c>
      <c r="I7" s="364">
        <f t="shared" ref="I7:I16" si="9">I6</f>
        <v>2537.136</v>
      </c>
      <c r="J7" s="365">
        <f t="shared" si="3"/>
        <v>196844.736</v>
      </c>
      <c r="K7" s="365">
        <f t="shared" ref="K7:K16" si="10">K6</f>
        <v>2500</v>
      </c>
      <c r="L7" s="364">
        <f t="shared" ref="L7:L16" si="11">L6</f>
        <v>5.15</v>
      </c>
      <c r="M7" s="364">
        <f t="shared" si="4"/>
        <v>12875</v>
      </c>
      <c r="N7" s="364">
        <f t="shared" ref="N7:N16" si="12">N6</f>
        <v>1.3269200000000001</v>
      </c>
      <c r="O7" s="365">
        <f t="shared" si="0"/>
        <v>3317.3</v>
      </c>
      <c r="P7" s="383">
        <f t="shared" ref="P7:P16" si="13">P6</f>
        <v>0.42285600000000001</v>
      </c>
      <c r="Q7" s="364">
        <f t="shared" ref="Q7:Q16" si="14">Q6</f>
        <v>211.428</v>
      </c>
      <c r="R7" s="364">
        <f t="shared" si="5"/>
        <v>16403.727999999999</v>
      </c>
    </row>
    <row r="8" spans="2:18" s="81" customFormat="1">
      <c r="B8" s="363" t="s">
        <v>950</v>
      </c>
      <c r="C8" s="365">
        <v>20000</v>
      </c>
      <c r="D8" s="364">
        <f t="shared" si="6"/>
        <v>5.15</v>
      </c>
      <c r="E8" s="365">
        <f t="shared" si="1"/>
        <v>103000</v>
      </c>
      <c r="F8" s="364">
        <f t="shared" si="7"/>
        <v>1.3269200000000001</v>
      </c>
      <c r="G8" s="365">
        <f t="shared" si="2"/>
        <v>26538.400000000001</v>
      </c>
      <c r="H8" s="383">
        <f t="shared" si="8"/>
        <v>0.42285600000000001</v>
      </c>
      <c r="I8" s="364">
        <f t="shared" si="9"/>
        <v>2537.136</v>
      </c>
      <c r="J8" s="365">
        <f t="shared" si="3"/>
        <v>132075.53599999999</v>
      </c>
      <c r="K8" s="365">
        <f t="shared" si="10"/>
        <v>2500</v>
      </c>
      <c r="L8" s="364">
        <f t="shared" si="11"/>
        <v>5.15</v>
      </c>
      <c r="M8" s="364">
        <f t="shared" si="4"/>
        <v>12875</v>
      </c>
      <c r="N8" s="364">
        <f t="shared" si="12"/>
        <v>1.3269200000000001</v>
      </c>
      <c r="O8" s="365">
        <f t="shared" si="0"/>
        <v>3317.3</v>
      </c>
      <c r="P8" s="383">
        <f t="shared" si="13"/>
        <v>0.42285600000000001</v>
      </c>
      <c r="Q8" s="364">
        <f t="shared" si="14"/>
        <v>211.428</v>
      </c>
      <c r="R8" s="364">
        <f t="shared" si="5"/>
        <v>16403.727999999999</v>
      </c>
    </row>
    <row r="9" spans="2:18" s="81" customFormat="1">
      <c r="B9" s="363" t="s">
        <v>951</v>
      </c>
      <c r="C9" s="365">
        <v>20000</v>
      </c>
      <c r="D9" s="364">
        <f t="shared" si="6"/>
        <v>5.15</v>
      </c>
      <c r="E9" s="365">
        <f t="shared" si="1"/>
        <v>103000</v>
      </c>
      <c r="F9" s="364">
        <f t="shared" si="7"/>
        <v>1.3269200000000001</v>
      </c>
      <c r="G9" s="365">
        <f t="shared" si="2"/>
        <v>26538.400000000001</v>
      </c>
      <c r="H9" s="383">
        <f t="shared" si="8"/>
        <v>0.42285600000000001</v>
      </c>
      <c r="I9" s="364">
        <f t="shared" si="9"/>
        <v>2537.136</v>
      </c>
      <c r="J9" s="365">
        <f t="shared" si="3"/>
        <v>132075.53599999999</v>
      </c>
      <c r="K9" s="365">
        <f t="shared" si="10"/>
        <v>2500</v>
      </c>
      <c r="L9" s="364">
        <f t="shared" si="11"/>
        <v>5.15</v>
      </c>
      <c r="M9" s="364">
        <f t="shared" si="4"/>
        <v>12875</v>
      </c>
      <c r="N9" s="364">
        <f t="shared" si="12"/>
        <v>1.3269200000000001</v>
      </c>
      <c r="O9" s="365">
        <f t="shared" si="0"/>
        <v>3317.3</v>
      </c>
      <c r="P9" s="383">
        <f t="shared" si="13"/>
        <v>0.42285600000000001</v>
      </c>
      <c r="Q9" s="364">
        <f t="shared" si="14"/>
        <v>211.428</v>
      </c>
      <c r="R9" s="364">
        <f t="shared" si="5"/>
        <v>16403.727999999999</v>
      </c>
    </row>
    <row r="10" spans="2:18" s="81" customFormat="1">
      <c r="B10" s="363" t="s">
        <v>952</v>
      </c>
      <c r="C10" s="365">
        <v>20000</v>
      </c>
      <c r="D10" s="364">
        <f t="shared" si="6"/>
        <v>5.15</v>
      </c>
      <c r="E10" s="365">
        <f t="shared" si="1"/>
        <v>103000</v>
      </c>
      <c r="F10" s="364">
        <f t="shared" si="7"/>
        <v>1.3269200000000001</v>
      </c>
      <c r="G10" s="365">
        <f t="shared" si="2"/>
        <v>26538.400000000001</v>
      </c>
      <c r="H10" s="383">
        <f t="shared" si="8"/>
        <v>0.42285600000000001</v>
      </c>
      <c r="I10" s="364">
        <f t="shared" si="9"/>
        <v>2537.136</v>
      </c>
      <c r="J10" s="365">
        <f t="shared" si="3"/>
        <v>132075.53599999999</v>
      </c>
      <c r="K10" s="365">
        <f t="shared" si="10"/>
        <v>2500</v>
      </c>
      <c r="L10" s="364">
        <f t="shared" si="11"/>
        <v>5.15</v>
      </c>
      <c r="M10" s="364">
        <f t="shared" si="4"/>
        <v>12875</v>
      </c>
      <c r="N10" s="364">
        <f t="shared" si="12"/>
        <v>1.3269200000000001</v>
      </c>
      <c r="O10" s="365">
        <f t="shared" si="0"/>
        <v>3317.3</v>
      </c>
      <c r="P10" s="383">
        <f t="shared" si="13"/>
        <v>0.42285600000000001</v>
      </c>
      <c r="Q10" s="364">
        <f t="shared" si="14"/>
        <v>211.428</v>
      </c>
      <c r="R10" s="364">
        <f t="shared" si="5"/>
        <v>16403.727999999999</v>
      </c>
    </row>
    <row r="11" spans="2:18" s="81" customFormat="1">
      <c r="B11" s="363" t="s">
        <v>953</v>
      </c>
      <c r="C11" s="365">
        <v>17000</v>
      </c>
      <c r="D11" s="364">
        <f t="shared" si="6"/>
        <v>5.15</v>
      </c>
      <c r="E11" s="365">
        <f t="shared" si="1"/>
        <v>87550</v>
      </c>
      <c r="F11" s="364">
        <f t="shared" si="7"/>
        <v>1.3269200000000001</v>
      </c>
      <c r="G11" s="365">
        <f t="shared" si="2"/>
        <v>22557.640000000003</v>
      </c>
      <c r="H11" s="383">
        <f t="shared" si="8"/>
        <v>0.42285600000000001</v>
      </c>
      <c r="I11" s="364">
        <f t="shared" si="9"/>
        <v>2537.136</v>
      </c>
      <c r="J11" s="365">
        <f t="shared" si="3"/>
        <v>112644.776</v>
      </c>
      <c r="K11" s="365">
        <f t="shared" si="10"/>
        <v>2500</v>
      </c>
      <c r="L11" s="364">
        <f t="shared" si="11"/>
        <v>5.15</v>
      </c>
      <c r="M11" s="364">
        <f t="shared" si="4"/>
        <v>12875</v>
      </c>
      <c r="N11" s="364">
        <f t="shared" si="12"/>
        <v>1.3269200000000001</v>
      </c>
      <c r="O11" s="365">
        <f t="shared" si="0"/>
        <v>3317.3</v>
      </c>
      <c r="P11" s="383">
        <f t="shared" si="13"/>
        <v>0.42285600000000001</v>
      </c>
      <c r="Q11" s="364">
        <f t="shared" si="14"/>
        <v>211.428</v>
      </c>
      <c r="R11" s="364">
        <f t="shared" si="5"/>
        <v>16403.727999999999</v>
      </c>
    </row>
    <row r="12" spans="2:18" s="81" customFormat="1">
      <c r="B12" s="363" t="s">
        <v>954</v>
      </c>
      <c r="C12" s="365">
        <v>17000</v>
      </c>
      <c r="D12" s="364">
        <f t="shared" si="6"/>
        <v>5.15</v>
      </c>
      <c r="E12" s="365">
        <f t="shared" si="1"/>
        <v>87550</v>
      </c>
      <c r="F12" s="364">
        <f t="shared" si="7"/>
        <v>1.3269200000000001</v>
      </c>
      <c r="G12" s="365">
        <f t="shared" si="2"/>
        <v>22557.640000000003</v>
      </c>
      <c r="H12" s="383">
        <f t="shared" si="8"/>
        <v>0.42285600000000001</v>
      </c>
      <c r="I12" s="364">
        <f t="shared" si="9"/>
        <v>2537.136</v>
      </c>
      <c r="J12" s="365">
        <f t="shared" si="3"/>
        <v>112644.776</v>
      </c>
      <c r="K12" s="365">
        <f t="shared" si="10"/>
        <v>2500</v>
      </c>
      <c r="L12" s="364">
        <f t="shared" si="11"/>
        <v>5.15</v>
      </c>
      <c r="M12" s="364">
        <f t="shared" si="4"/>
        <v>12875</v>
      </c>
      <c r="N12" s="364">
        <f t="shared" si="12"/>
        <v>1.3269200000000001</v>
      </c>
      <c r="O12" s="365">
        <f t="shared" si="0"/>
        <v>3317.3</v>
      </c>
      <c r="P12" s="383">
        <f t="shared" si="13"/>
        <v>0.42285600000000001</v>
      </c>
      <c r="Q12" s="364">
        <f t="shared" si="14"/>
        <v>211.428</v>
      </c>
      <c r="R12" s="364">
        <f t="shared" si="5"/>
        <v>16403.727999999999</v>
      </c>
    </row>
    <row r="13" spans="2:18" s="81" customFormat="1">
      <c r="B13" s="363" t="s">
        <v>955</v>
      </c>
      <c r="C13" s="365">
        <v>26000</v>
      </c>
      <c r="D13" s="364">
        <f t="shared" si="6"/>
        <v>5.15</v>
      </c>
      <c r="E13" s="365">
        <f t="shared" si="1"/>
        <v>133900</v>
      </c>
      <c r="F13" s="364">
        <f t="shared" si="7"/>
        <v>1.3269200000000001</v>
      </c>
      <c r="G13" s="365">
        <f t="shared" si="2"/>
        <v>34499.920000000006</v>
      </c>
      <c r="H13" s="383">
        <f t="shared" si="8"/>
        <v>0.42285600000000001</v>
      </c>
      <c r="I13" s="364">
        <f t="shared" si="9"/>
        <v>2537.136</v>
      </c>
      <c r="J13" s="365">
        <f t="shared" si="3"/>
        <v>170937.05600000001</v>
      </c>
      <c r="K13" s="365">
        <f t="shared" si="10"/>
        <v>2500</v>
      </c>
      <c r="L13" s="364">
        <f t="shared" si="11"/>
        <v>5.15</v>
      </c>
      <c r="M13" s="364">
        <f t="shared" si="4"/>
        <v>12875</v>
      </c>
      <c r="N13" s="364">
        <f t="shared" si="12"/>
        <v>1.3269200000000001</v>
      </c>
      <c r="O13" s="365">
        <f t="shared" si="0"/>
        <v>3317.3</v>
      </c>
      <c r="P13" s="383">
        <f t="shared" si="13"/>
        <v>0.42285600000000001</v>
      </c>
      <c r="Q13" s="364">
        <f t="shared" si="14"/>
        <v>211.428</v>
      </c>
      <c r="R13" s="364">
        <f t="shared" si="5"/>
        <v>16403.727999999999</v>
      </c>
    </row>
    <row r="14" spans="2:18" s="81" customFormat="1">
      <c r="B14" s="363" t="s">
        <v>956</v>
      </c>
      <c r="C14" s="365">
        <v>40000</v>
      </c>
      <c r="D14" s="364">
        <f t="shared" si="6"/>
        <v>5.15</v>
      </c>
      <c r="E14" s="365">
        <f t="shared" si="1"/>
        <v>206000</v>
      </c>
      <c r="F14" s="364">
        <f t="shared" si="7"/>
        <v>1.3269200000000001</v>
      </c>
      <c r="G14" s="365">
        <f t="shared" si="2"/>
        <v>53076.800000000003</v>
      </c>
      <c r="H14" s="383">
        <f t="shared" si="8"/>
        <v>0.42285600000000001</v>
      </c>
      <c r="I14" s="364">
        <f t="shared" si="9"/>
        <v>2537.136</v>
      </c>
      <c r="J14" s="365">
        <f t="shared" si="3"/>
        <v>261613.93599999999</v>
      </c>
      <c r="K14" s="365">
        <f t="shared" si="10"/>
        <v>2500</v>
      </c>
      <c r="L14" s="364">
        <f t="shared" si="11"/>
        <v>5.15</v>
      </c>
      <c r="M14" s="364">
        <f t="shared" si="4"/>
        <v>12875</v>
      </c>
      <c r="N14" s="364">
        <f t="shared" si="12"/>
        <v>1.3269200000000001</v>
      </c>
      <c r="O14" s="365">
        <f t="shared" si="0"/>
        <v>3317.3</v>
      </c>
      <c r="P14" s="383">
        <f t="shared" si="13"/>
        <v>0.42285600000000001</v>
      </c>
      <c r="Q14" s="364">
        <f t="shared" si="14"/>
        <v>211.428</v>
      </c>
      <c r="R14" s="364">
        <f t="shared" si="5"/>
        <v>16403.727999999999</v>
      </c>
    </row>
    <row r="15" spans="2:18" s="81" customFormat="1">
      <c r="B15" s="363" t="s">
        <v>957</v>
      </c>
      <c r="C15" s="365">
        <v>30000</v>
      </c>
      <c r="D15" s="364">
        <f t="shared" si="6"/>
        <v>5.15</v>
      </c>
      <c r="E15" s="365">
        <f t="shared" si="1"/>
        <v>154500</v>
      </c>
      <c r="F15" s="364">
        <f t="shared" si="7"/>
        <v>1.3269200000000001</v>
      </c>
      <c r="G15" s="365">
        <f t="shared" si="2"/>
        <v>39807.600000000006</v>
      </c>
      <c r="H15" s="383">
        <f t="shared" si="8"/>
        <v>0.42285600000000001</v>
      </c>
      <c r="I15" s="364">
        <f t="shared" si="9"/>
        <v>2537.136</v>
      </c>
      <c r="J15" s="365">
        <f t="shared" si="3"/>
        <v>196844.736</v>
      </c>
      <c r="K15" s="365">
        <f t="shared" si="10"/>
        <v>2500</v>
      </c>
      <c r="L15" s="364">
        <f t="shared" si="11"/>
        <v>5.15</v>
      </c>
      <c r="M15" s="364">
        <f t="shared" si="4"/>
        <v>12875</v>
      </c>
      <c r="N15" s="364">
        <f t="shared" si="12"/>
        <v>1.3269200000000001</v>
      </c>
      <c r="O15" s="365">
        <f t="shared" si="0"/>
        <v>3317.3</v>
      </c>
      <c r="P15" s="383">
        <f t="shared" si="13"/>
        <v>0.42285600000000001</v>
      </c>
      <c r="Q15" s="364">
        <f t="shared" si="14"/>
        <v>211.428</v>
      </c>
      <c r="R15" s="364">
        <f t="shared" si="5"/>
        <v>16403.727999999999</v>
      </c>
    </row>
    <row r="16" spans="2:18" s="81" customFormat="1">
      <c r="B16" s="363" t="s">
        <v>958</v>
      </c>
      <c r="C16" s="365">
        <v>20000</v>
      </c>
      <c r="D16" s="364">
        <f t="shared" si="6"/>
        <v>5.15</v>
      </c>
      <c r="E16" s="365">
        <f t="shared" si="1"/>
        <v>103000</v>
      </c>
      <c r="F16" s="364">
        <f t="shared" si="7"/>
        <v>1.3269200000000001</v>
      </c>
      <c r="G16" s="365">
        <f>C16*F16</f>
        <v>26538.400000000001</v>
      </c>
      <c r="H16" s="383">
        <f t="shared" si="8"/>
        <v>0.42285600000000001</v>
      </c>
      <c r="I16" s="364">
        <f t="shared" si="9"/>
        <v>2537.136</v>
      </c>
      <c r="J16" s="365">
        <f t="shared" si="3"/>
        <v>132075.53599999999</v>
      </c>
      <c r="K16" s="365">
        <f t="shared" si="10"/>
        <v>2500</v>
      </c>
      <c r="L16" s="364">
        <f t="shared" si="11"/>
        <v>5.15</v>
      </c>
      <c r="M16" s="364">
        <f t="shared" si="4"/>
        <v>12875</v>
      </c>
      <c r="N16" s="364">
        <f t="shared" si="12"/>
        <v>1.3269200000000001</v>
      </c>
      <c r="O16" s="365">
        <f>K16*N16</f>
        <v>3317.3</v>
      </c>
      <c r="P16" s="383">
        <f t="shared" si="13"/>
        <v>0.42285600000000001</v>
      </c>
      <c r="Q16" s="364">
        <f t="shared" si="14"/>
        <v>211.428</v>
      </c>
      <c r="R16" s="364">
        <f t="shared" si="5"/>
        <v>16403.727999999999</v>
      </c>
    </row>
    <row r="17" spans="2:21" s="84" customFormat="1" ht="14.25">
      <c r="B17" s="366"/>
      <c r="C17" s="370">
        <f>SUM(C5:C16)</f>
        <v>320000</v>
      </c>
      <c r="D17" s="367">
        <f>E17/C17</f>
        <v>5.15</v>
      </c>
      <c r="E17" s="370">
        <f>SUM(E5:E16)</f>
        <v>1648000</v>
      </c>
      <c r="F17" s="367">
        <f>G17/C17</f>
        <v>1.3269200000000001</v>
      </c>
      <c r="G17" s="370">
        <f>SUM(G5:G16)</f>
        <v>424614.40000000002</v>
      </c>
      <c r="H17" s="384">
        <f>H16</f>
        <v>0.42285600000000001</v>
      </c>
      <c r="I17" s="369">
        <f>SUM(I5:I16)</f>
        <v>30445.631999999994</v>
      </c>
      <c r="J17" s="370">
        <f>SUM(J5:J16)</f>
        <v>2103060.0320000001</v>
      </c>
      <c r="K17" s="370">
        <f>SUM(K5:K16)</f>
        <v>30000</v>
      </c>
      <c r="L17" s="367">
        <f>M17/K17</f>
        <v>5.15</v>
      </c>
      <c r="M17" s="369">
        <f>SUM(M5:M16)</f>
        <v>154500</v>
      </c>
      <c r="N17" s="367">
        <f>O17/K17</f>
        <v>1.3269200000000001</v>
      </c>
      <c r="O17" s="370">
        <f>SUM(O5:O16)</f>
        <v>39807.600000000006</v>
      </c>
      <c r="P17" s="384">
        <f>P16</f>
        <v>0.42285600000000001</v>
      </c>
      <c r="Q17" s="367">
        <f>SUM(Q5:Q16)</f>
        <v>2537.1359999999991</v>
      </c>
      <c r="R17" s="367">
        <f>SUM(R5:R16)</f>
        <v>196844.736</v>
      </c>
    </row>
    <row r="18" spans="2:21">
      <c r="B18" s="331" t="s">
        <v>106</v>
      </c>
      <c r="C18" s="382">
        <f>C5+C6+C7</f>
        <v>110000</v>
      </c>
      <c r="D18" s="382"/>
      <c r="E18" s="382">
        <f>E5+E6+E7</f>
        <v>566500</v>
      </c>
      <c r="F18" s="382"/>
      <c r="G18" s="382">
        <f>G5+G6+G7</f>
        <v>145961.20000000001</v>
      </c>
      <c r="H18" s="382"/>
      <c r="I18" s="382">
        <f>I5+I6+I7</f>
        <v>7611.4079999999994</v>
      </c>
      <c r="J18" s="382">
        <f>J5+J6+J7</f>
        <v>720072.60800000001</v>
      </c>
      <c r="K18" s="382">
        <f>K5+K6+K7</f>
        <v>7500</v>
      </c>
      <c r="L18" s="382"/>
      <c r="M18" s="382">
        <f t="shared" ref="M18:R18" si="15">M5+M6+M7</f>
        <v>38625</v>
      </c>
      <c r="N18" s="382"/>
      <c r="O18" s="382">
        <f t="shared" si="15"/>
        <v>9951.9000000000015</v>
      </c>
      <c r="P18" s="382"/>
      <c r="Q18" s="385">
        <f t="shared" si="15"/>
        <v>634.28399999999999</v>
      </c>
      <c r="R18" s="385">
        <f t="shared" si="15"/>
        <v>49211.183999999994</v>
      </c>
    </row>
    <row r="19" spans="2:21">
      <c r="B19" s="331" t="s">
        <v>107</v>
      </c>
      <c r="C19" s="382">
        <f>C8+C9+C10</f>
        <v>60000</v>
      </c>
      <c r="D19" s="382"/>
      <c r="E19" s="382">
        <f>E8+E9+E10</f>
        <v>309000</v>
      </c>
      <c r="F19" s="382"/>
      <c r="G19" s="382">
        <f>G8+G9+G10</f>
        <v>79615.200000000012</v>
      </c>
      <c r="H19" s="382"/>
      <c r="I19" s="382">
        <f>I8+I9+I10</f>
        <v>7611.4079999999994</v>
      </c>
      <c r="J19" s="382">
        <f>J8+J9+J10</f>
        <v>396226.60800000001</v>
      </c>
      <c r="K19" s="382">
        <f>K8+K9+K10</f>
        <v>7500</v>
      </c>
      <c r="L19" s="382"/>
      <c r="M19" s="382">
        <f t="shared" ref="M19:R19" si="16">M8+M9+M10</f>
        <v>38625</v>
      </c>
      <c r="N19" s="382"/>
      <c r="O19" s="382">
        <f t="shared" si="16"/>
        <v>9951.9000000000015</v>
      </c>
      <c r="P19" s="382"/>
      <c r="Q19" s="385">
        <f t="shared" si="16"/>
        <v>634.28399999999999</v>
      </c>
      <c r="R19" s="385">
        <f t="shared" si="16"/>
        <v>49211.183999999994</v>
      </c>
    </row>
    <row r="20" spans="2:21">
      <c r="B20" s="331" t="s">
        <v>108</v>
      </c>
      <c r="C20" s="382">
        <f>C11+C12+C13</f>
        <v>60000</v>
      </c>
      <c r="D20" s="382"/>
      <c r="E20" s="382">
        <f>E11+E12+E13</f>
        <v>309000</v>
      </c>
      <c r="F20" s="382"/>
      <c r="G20" s="382">
        <f>G11+G12+G13</f>
        <v>79615.200000000012</v>
      </c>
      <c r="H20" s="382"/>
      <c r="I20" s="382">
        <f>I11+I12+I13</f>
        <v>7611.4079999999994</v>
      </c>
      <c r="J20" s="382">
        <f>J11+J12+J13</f>
        <v>396226.60800000001</v>
      </c>
      <c r="K20" s="382">
        <f>K11+K12+K13</f>
        <v>7500</v>
      </c>
      <c r="L20" s="382"/>
      <c r="M20" s="382">
        <f t="shared" ref="M20:R20" si="17">M11+M12+M13</f>
        <v>38625</v>
      </c>
      <c r="N20" s="382"/>
      <c r="O20" s="382">
        <f t="shared" si="17"/>
        <v>9951.9000000000015</v>
      </c>
      <c r="P20" s="382"/>
      <c r="Q20" s="385">
        <f t="shared" si="17"/>
        <v>634.28399999999999</v>
      </c>
      <c r="R20" s="385">
        <f t="shared" si="17"/>
        <v>49211.183999999994</v>
      </c>
    </row>
    <row r="21" spans="2:21">
      <c r="B21" s="331" t="s">
        <v>978</v>
      </c>
      <c r="C21" s="382">
        <f>C14+C15+C16</f>
        <v>90000</v>
      </c>
      <c r="D21" s="382"/>
      <c r="E21" s="382">
        <f>E14+E15+E16</f>
        <v>463500</v>
      </c>
      <c r="F21" s="382"/>
      <c r="G21" s="382">
        <f>G14+G15+G16</f>
        <v>119422.80000000002</v>
      </c>
      <c r="H21" s="382"/>
      <c r="I21" s="382">
        <f>I14+I15+I16</f>
        <v>7611.4079999999994</v>
      </c>
      <c r="J21" s="382">
        <f>J14+J15+J16</f>
        <v>590534.20799999998</v>
      </c>
      <c r="K21" s="382">
        <f>K14+K15+K16</f>
        <v>7500</v>
      </c>
      <c r="L21" s="382"/>
      <c r="M21" s="382">
        <f t="shared" ref="M21:R21" si="18">M14+M15+M16</f>
        <v>38625</v>
      </c>
      <c r="N21" s="382"/>
      <c r="O21" s="382">
        <f t="shared" si="18"/>
        <v>9951.9000000000015</v>
      </c>
      <c r="P21" s="382"/>
      <c r="Q21" s="385">
        <f t="shared" si="18"/>
        <v>634.28399999999999</v>
      </c>
      <c r="R21" s="385">
        <f t="shared" si="18"/>
        <v>49211.183999999994</v>
      </c>
      <c r="S21" s="422" t="s">
        <v>986</v>
      </c>
      <c r="T21" s="422" t="s">
        <v>987</v>
      </c>
      <c r="U21" s="422" t="s">
        <v>988</v>
      </c>
    </row>
    <row r="22" spans="2:21" s="232" customFormat="1" ht="20.25">
      <c r="B22" s="386"/>
      <c r="C22" s="387">
        <f>SUM(C18:C21)</f>
        <v>320000</v>
      </c>
      <c r="D22" s="387"/>
      <c r="E22" s="387">
        <f>SUM(E18:E21)</f>
        <v>1648000</v>
      </c>
      <c r="F22" s="387"/>
      <c r="G22" s="387">
        <f>SUM(G18:G21)</f>
        <v>424614.40000000002</v>
      </c>
      <c r="H22" s="387"/>
      <c r="I22" s="387">
        <f>SUM(I18:I21)</f>
        <v>30445.631999999998</v>
      </c>
      <c r="J22" s="387">
        <f>SUM(J18:J21)</f>
        <v>2103060.0320000001</v>
      </c>
      <c r="K22" s="387">
        <f>SUM(K18:K21)</f>
        <v>30000</v>
      </c>
      <c r="L22" s="387"/>
      <c r="M22" s="387">
        <f t="shared" ref="M22:R22" si="19">SUM(M18:M21)</f>
        <v>154500</v>
      </c>
      <c r="N22" s="387"/>
      <c r="O22" s="387">
        <f t="shared" si="19"/>
        <v>39807.600000000006</v>
      </c>
      <c r="P22" s="387"/>
      <c r="Q22" s="393">
        <f t="shared" si="19"/>
        <v>2537.136</v>
      </c>
      <c r="R22" s="393">
        <f t="shared" si="19"/>
        <v>196844.73599999998</v>
      </c>
      <c r="S22" s="420">
        <f>J22+R22</f>
        <v>2299904.7680000002</v>
      </c>
      <c r="T22" s="420">
        <f>E22+G22+I22</f>
        <v>2103060.0320000001</v>
      </c>
      <c r="U22" s="420">
        <f>M22+O22+Q22</f>
        <v>196844.736</v>
      </c>
    </row>
    <row r="23" spans="2:21">
      <c r="S23" s="423">
        <f ca="1">Видатки!D56</f>
        <v>2299904.7680000002</v>
      </c>
    </row>
    <row r="24" spans="2:21" s="396" customFormat="1" ht="37.5">
      <c r="B24" s="430" t="s">
        <v>967</v>
      </c>
      <c r="C24" s="1186" t="s">
        <v>989</v>
      </c>
      <c r="D24" s="1187"/>
      <c r="E24" s="1187"/>
      <c r="F24" s="1187"/>
      <c r="G24" s="1186" t="s">
        <v>942</v>
      </c>
      <c r="H24" s="1187"/>
      <c r="I24" s="1187"/>
      <c r="J24" s="1187"/>
      <c r="S24" s="424">
        <f>S23-S22</f>
        <v>0</v>
      </c>
    </row>
    <row r="25" spans="2:21" s="398" customFormat="1" ht="14.25">
      <c r="B25" s="397" t="s">
        <v>981</v>
      </c>
      <c r="C25" s="389"/>
      <c r="D25" s="389"/>
      <c r="E25" s="389"/>
      <c r="F25" s="389"/>
      <c r="G25" s="389"/>
      <c r="H25" s="389"/>
      <c r="I25" s="389"/>
      <c r="J25" s="389">
        <v>13429.8</v>
      </c>
    </row>
    <row r="26" spans="2:21" s="398" customFormat="1" ht="14.25">
      <c r="B26" s="397" t="s">
        <v>982</v>
      </c>
      <c r="C26" s="389"/>
      <c r="D26" s="389"/>
      <c r="E26" s="389"/>
      <c r="F26" s="389"/>
      <c r="G26" s="389"/>
      <c r="H26" s="389"/>
      <c r="I26" s="389"/>
      <c r="J26" s="389">
        <v>1258.27</v>
      </c>
      <c r="L26" s="417"/>
    </row>
    <row r="27" spans="2:21" s="83" customFormat="1">
      <c r="B27" s="359"/>
      <c r="C27" s="361" t="s">
        <v>979</v>
      </c>
      <c r="D27" s="361" t="s">
        <v>959</v>
      </c>
      <c r="E27" s="361" t="s">
        <v>960</v>
      </c>
      <c r="F27" s="361" t="s">
        <v>980</v>
      </c>
      <c r="G27" s="361" t="s">
        <v>979</v>
      </c>
      <c r="H27" s="361" t="s">
        <v>959</v>
      </c>
      <c r="I27" s="361" t="s">
        <v>960</v>
      </c>
      <c r="J27" s="361"/>
    </row>
    <row r="28" spans="2:21" s="81" customFormat="1">
      <c r="B28" s="363" t="s">
        <v>947</v>
      </c>
      <c r="C28" s="394">
        <f>3400/181*F28</f>
        <v>582.32044198895028</v>
      </c>
      <c r="D28" s="394">
        <v>700</v>
      </c>
      <c r="E28" s="394">
        <f>C28*D28</f>
        <v>407624.30939226522</v>
      </c>
      <c r="F28" s="394">
        <v>31</v>
      </c>
      <c r="G28" s="394">
        <f>I28/H28</f>
        <v>54.558991387916166</v>
      </c>
      <c r="H28" s="394">
        <f>D28</f>
        <v>700</v>
      </c>
      <c r="I28" s="391">
        <f>E28/13429.8*1258.27</f>
        <v>38191.293971541316</v>
      </c>
      <c r="J28" s="394"/>
    </row>
    <row r="29" spans="2:21" s="81" customFormat="1">
      <c r="B29" s="363" t="s">
        <v>948</v>
      </c>
      <c r="C29" s="394">
        <f t="shared" ref="C29:C39" si="20">3400/181*F29</f>
        <v>525.96685082872932</v>
      </c>
      <c r="D29" s="394">
        <f>D28</f>
        <v>700</v>
      </c>
      <c r="E29" s="394">
        <f t="shared" ref="E29:E39" si="21">C29*D29</f>
        <v>368176.79558011051</v>
      </c>
      <c r="F29" s="394">
        <v>28</v>
      </c>
      <c r="G29" s="394">
        <f t="shared" ref="G29:G39" si="22">I29/H29</f>
        <v>49.27908899553718</v>
      </c>
      <c r="H29" s="394">
        <f t="shared" ref="H29:H39" si="23">D29</f>
        <v>700</v>
      </c>
      <c r="I29" s="391">
        <f t="shared" ref="I29:I38" si="24">E29/13429.8*1258.27</f>
        <v>34495.362296876025</v>
      </c>
      <c r="J29" s="394"/>
    </row>
    <row r="30" spans="2:21" s="81" customFormat="1">
      <c r="B30" s="363" t="s">
        <v>949</v>
      </c>
      <c r="C30" s="394">
        <f t="shared" si="20"/>
        <v>582.32044198895028</v>
      </c>
      <c r="D30" s="394">
        <f>D29</f>
        <v>700</v>
      </c>
      <c r="E30" s="394">
        <f t="shared" si="21"/>
        <v>407624.30939226522</v>
      </c>
      <c r="F30" s="394">
        <v>31</v>
      </c>
      <c r="G30" s="394">
        <f t="shared" si="22"/>
        <v>54.558991387916166</v>
      </c>
      <c r="H30" s="394">
        <f t="shared" si="23"/>
        <v>700</v>
      </c>
      <c r="I30" s="391">
        <f t="shared" si="24"/>
        <v>38191.293971541316</v>
      </c>
      <c r="J30" s="394"/>
    </row>
    <row r="31" spans="2:21" s="81" customFormat="1">
      <c r="B31" s="363" t="s">
        <v>950</v>
      </c>
      <c r="C31" s="394">
        <f t="shared" si="20"/>
        <v>281.76795580110496</v>
      </c>
      <c r="D31" s="394">
        <f>D30</f>
        <v>700</v>
      </c>
      <c r="E31" s="394">
        <f t="shared" si="21"/>
        <v>197237.56906077347</v>
      </c>
      <c r="F31" s="394">
        <v>15</v>
      </c>
      <c r="G31" s="394">
        <f t="shared" si="22"/>
        <v>26.399511961894916</v>
      </c>
      <c r="H31" s="394">
        <f t="shared" si="23"/>
        <v>700</v>
      </c>
      <c r="I31" s="391">
        <f t="shared" si="24"/>
        <v>18479.658373326442</v>
      </c>
      <c r="J31" s="394"/>
    </row>
    <row r="32" spans="2:21" s="81" customFormat="1">
      <c r="B32" s="363" t="s">
        <v>951</v>
      </c>
      <c r="C32" s="394">
        <f t="shared" si="20"/>
        <v>0</v>
      </c>
      <c r="D32" s="394"/>
      <c r="E32" s="394">
        <f t="shared" si="21"/>
        <v>0</v>
      </c>
      <c r="F32" s="394"/>
      <c r="G32" s="394"/>
      <c r="H32" s="394"/>
      <c r="I32" s="391">
        <f t="shared" si="24"/>
        <v>0</v>
      </c>
      <c r="J32" s="394"/>
    </row>
    <row r="33" spans="2:21" s="81" customFormat="1">
      <c r="B33" s="363" t="s">
        <v>952</v>
      </c>
      <c r="C33" s="394">
        <f t="shared" si="20"/>
        <v>0</v>
      </c>
      <c r="D33" s="394"/>
      <c r="E33" s="394">
        <f t="shared" si="21"/>
        <v>0</v>
      </c>
      <c r="F33" s="394"/>
      <c r="G33" s="394"/>
      <c r="H33" s="394"/>
      <c r="I33" s="391">
        <f t="shared" si="24"/>
        <v>0</v>
      </c>
      <c r="J33" s="394"/>
    </row>
    <row r="34" spans="2:21" s="81" customFormat="1">
      <c r="B34" s="363" t="s">
        <v>953</v>
      </c>
      <c r="C34" s="394">
        <f t="shared" si="20"/>
        <v>0</v>
      </c>
      <c r="D34" s="394"/>
      <c r="E34" s="394">
        <f t="shared" si="21"/>
        <v>0</v>
      </c>
      <c r="F34" s="394"/>
      <c r="G34" s="394"/>
      <c r="H34" s="394"/>
      <c r="I34" s="391">
        <f t="shared" si="24"/>
        <v>0</v>
      </c>
      <c r="J34" s="394"/>
    </row>
    <row r="35" spans="2:21" s="81" customFormat="1">
      <c r="B35" s="363" t="s">
        <v>954</v>
      </c>
      <c r="C35" s="394">
        <f t="shared" si="20"/>
        <v>0</v>
      </c>
      <c r="D35" s="394"/>
      <c r="E35" s="394">
        <f t="shared" si="21"/>
        <v>0</v>
      </c>
      <c r="F35" s="394"/>
      <c r="G35" s="394"/>
      <c r="H35" s="394"/>
      <c r="I35" s="391">
        <f t="shared" si="24"/>
        <v>0</v>
      </c>
      <c r="J35" s="394"/>
    </row>
    <row r="36" spans="2:21" s="81" customFormat="1">
      <c r="B36" s="363" t="s">
        <v>955</v>
      </c>
      <c r="C36" s="394">
        <f t="shared" si="20"/>
        <v>0</v>
      </c>
      <c r="D36" s="394"/>
      <c r="E36" s="394">
        <f t="shared" si="21"/>
        <v>0</v>
      </c>
      <c r="F36" s="394"/>
      <c r="G36" s="394"/>
      <c r="H36" s="394"/>
      <c r="I36" s="391">
        <f t="shared" si="24"/>
        <v>0</v>
      </c>
      <c r="J36" s="394"/>
    </row>
    <row r="37" spans="2:21" s="81" customFormat="1">
      <c r="B37" s="363" t="s">
        <v>956</v>
      </c>
      <c r="C37" s="394">
        <f t="shared" si="20"/>
        <v>281.76795580110496</v>
      </c>
      <c r="D37" s="394">
        <f>D31</f>
        <v>700</v>
      </c>
      <c r="E37" s="394">
        <f t="shared" si="21"/>
        <v>197237.56906077347</v>
      </c>
      <c r="F37" s="394">
        <v>15</v>
      </c>
      <c r="G37" s="394">
        <f t="shared" si="22"/>
        <v>26.399511961894916</v>
      </c>
      <c r="H37" s="394">
        <f t="shared" si="23"/>
        <v>700</v>
      </c>
      <c r="I37" s="391">
        <f t="shared" si="24"/>
        <v>18479.658373326442</v>
      </c>
      <c r="J37" s="394"/>
    </row>
    <row r="38" spans="2:21" s="81" customFormat="1">
      <c r="B38" s="363" t="s">
        <v>957</v>
      </c>
      <c r="C38" s="394">
        <f t="shared" si="20"/>
        <v>563.53591160220992</v>
      </c>
      <c r="D38" s="394">
        <f>D37</f>
        <v>700</v>
      </c>
      <c r="E38" s="394">
        <f t="shared" si="21"/>
        <v>394475.13812154694</v>
      </c>
      <c r="F38" s="394">
        <v>30</v>
      </c>
      <c r="G38" s="394">
        <f t="shared" si="22"/>
        <v>52.799023923789832</v>
      </c>
      <c r="H38" s="394">
        <f t="shared" si="23"/>
        <v>700</v>
      </c>
      <c r="I38" s="391">
        <f t="shared" si="24"/>
        <v>36959.316746652883</v>
      </c>
      <c r="J38" s="394"/>
    </row>
    <row r="39" spans="2:21" s="81" customFormat="1">
      <c r="B39" s="363" t="s">
        <v>958</v>
      </c>
      <c r="C39" s="394">
        <f t="shared" si="20"/>
        <v>582.32044198895028</v>
      </c>
      <c r="D39" s="394">
        <f>D38</f>
        <v>700</v>
      </c>
      <c r="E39" s="394">
        <f t="shared" si="21"/>
        <v>407624.30939226522</v>
      </c>
      <c r="F39" s="394">
        <v>31</v>
      </c>
      <c r="G39" s="394">
        <f t="shared" si="22"/>
        <v>56.004877102201881</v>
      </c>
      <c r="H39" s="394">
        <f t="shared" si="23"/>
        <v>700</v>
      </c>
      <c r="I39" s="391">
        <f>E39/13429.8*1258.27+1012.12</f>
        <v>39203.413971541318</v>
      </c>
      <c r="J39" s="394"/>
      <c r="M39" s="419"/>
    </row>
    <row r="40" spans="2:21" s="84" customFormat="1" ht="14.25">
      <c r="B40" s="366"/>
      <c r="C40" s="395"/>
      <c r="D40" s="395"/>
      <c r="E40" s="395"/>
      <c r="F40" s="395"/>
      <c r="G40" s="392"/>
      <c r="H40" s="395"/>
      <c r="I40" s="392"/>
      <c r="J40" s="395"/>
    </row>
    <row r="41" spans="2:21">
      <c r="B41" s="331" t="s">
        <v>106</v>
      </c>
      <c r="C41" s="382">
        <f>C28+C29+C30</f>
        <v>1690.6077348066299</v>
      </c>
      <c r="D41" s="382"/>
      <c r="E41" s="382">
        <f>E28+E29+E30</f>
        <v>1183425.4143646411</v>
      </c>
      <c r="F41" s="382">
        <f>F28+F29+F30</f>
        <v>90</v>
      </c>
      <c r="G41" s="382">
        <f>G28+G29+G30</f>
        <v>158.3970717713695</v>
      </c>
      <c r="H41" s="382"/>
      <c r="I41" s="385">
        <f>I28+I29+I30</f>
        <v>110877.95023995865</v>
      </c>
      <c r="J41" s="382"/>
      <c r="K41"/>
      <c r="L41"/>
      <c r="M41"/>
      <c r="N41"/>
      <c r="O41"/>
      <c r="P41"/>
      <c r="Q41"/>
      <c r="R41"/>
    </row>
    <row r="42" spans="2:21">
      <c r="B42" s="331" t="s">
        <v>107</v>
      </c>
      <c r="C42" s="382">
        <f>C31+C32+C33</f>
        <v>281.76795580110496</v>
      </c>
      <c r="D42" s="382"/>
      <c r="E42" s="382">
        <f>E31+E32+E33</f>
        <v>197237.56906077347</v>
      </c>
      <c r="F42" s="382">
        <f>F31+F32+F33</f>
        <v>15</v>
      </c>
      <c r="G42" s="382">
        <f>G31+G32+G33</f>
        <v>26.399511961894916</v>
      </c>
      <c r="H42" s="382"/>
      <c r="I42" s="385">
        <f>I31+I32+I33</f>
        <v>18479.658373326442</v>
      </c>
      <c r="J42" s="382"/>
      <c r="K42"/>
      <c r="L42"/>
      <c r="M42"/>
      <c r="N42"/>
      <c r="O42"/>
      <c r="P42"/>
      <c r="Q42"/>
      <c r="R42"/>
    </row>
    <row r="43" spans="2:21">
      <c r="B43" s="331" t="s">
        <v>108</v>
      </c>
      <c r="C43" s="382">
        <f>C34+C35+C36</f>
        <v>0</v>
      </c>
      <c r="D43" s="382"/>
      <c r="E43" s="382">
        <f>E34+E35+E36</f>
        <v>0</v>
      </c>
      <c r="F43" s="382">
        <f>F34+F35+F36</f>
        <v>0</v>
      </c>
      <c r="G43" s="382">
        <f>G34+G35+G36</f>
        <v>0</v>
      </c>
      <c r="H43" s="382"/>
      <c r="I43" s="385">
        <f>I34+I35+I36</f>
        <v>0</v>
      </c>
      <c r="J43" s="382"/>
      <c r="K43"/>
      <c r="L43"/>
      <c r="M43"/>
      <c r="N43"/>
      <c r="O43"/>
      <c r="P43"/>
      <c r="Q43"/>
      <c r="R43"/>
    </row>
    <row r="44" spans="2:21">
      <c r="B44" s="331" t="s">
        <v>978</v>
      </c>
      <c r="C44" s="382">
        <f>C37+C38+C39</f>
        <v>1427.6243093922651</v>
      </c>
      <c r="D44" s="382"/>
      <c r="E44" s="382">
        <f>E37+E38+E39</f>
        <v>999337.01657458558</v>
      </c>
      <c r="F44" s="382">
        <f>F37+F38+F39</f>
        <v>76</v>
      </c>
      <c r="G44" s="382">
        <f>G37+G38+G39</f>
        <v>135.20341298788662</v>
      </c>
      <c r="H44" s="382"/>
      <c r="I44" s="385">
        <f>I37+I38+I39</f>
        <v>94642.389091520643</v>
      </c>
      <c r="J44" s="382"/>
      <c r="K44"/>
      <c r="L44"/>
      <c r="M44"/>
      <c r="N44"/>
      <c r="O44"/>
      <c r="P44"/>
      <c r="Q44"/>
      <c r="R44"/>
      <c r="S44" s="422" t="s">
        <v>986</v>
      </c>
      <c r="T44" s="422" t="s">
        <v>987</v>
      </c>
      <c r="U44" s="422" t="s">
        <v>988</v>
      </c>
    </row>
    <row r="45" spans="2:21" s="232" customFormat="1" ht="20.25">
      <c r="B45" s="386"/>
      <c r="C45" s="387">
        <f>SUM(C41:C44)</f>
        <v>3400</v>
      </c>
      <c r="D45" s="387"/>
      <c r="E45" s="387">
        <f>SUM(E41:E44)</f>
        <v>2380000</v>
      </c>
      <c r="F45" s="387">
        <f>SUM(F41:F44)</f>
        <v>181</v>
      </c>
      <c r="G45" s="393">
        <f>SUM(G41:G44)</f>
        <v>319.99999672115104</v>
      </c>
      <c r="H45" s="387"/>
      <c r="I45" s="393">
        <f>SUM(I41:I44)</f>
        <v>223999.99770480575</v>
      </c>
      <c r="J45" s="393">
        <f>320*700</f>
        <v>224000</v>
      </c>
      <c r="K45" s="405">
        <f>J45-I45</f>
        <v>2.2951942519284785E-3</v>
      </c>
      <c r="L45" s="405"/>
      <c r="S45" s="420">
        <f>E45+I45</f>
        <v>2603999.9977048058</v>
      </c>
      <c r="T45" s="420">
        <f>E45</f>
        <v>2380000</v>
      </c>
      <c r="U45" s="420">
        <f>I45</f>
        <v>223999.99770480575</v>
      </c>
    </row>
    <row r="46" spans="2:21"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2:21" s="381" customFormat="1" ht="37.5">
      <c r="B47" s="430" t="s">
        <v>983</v>
      </c>
      <c r="C47" s="1186" t="s">
        <v>989</v>
      </c>
      <c r="D47" s="1187"/>
      <c r="E47" s="1187"/>
      <c r="F47" s="1187"/>
      <c r="G47" s="1186" t="s">
        <v>942</v>
      </c>
      <c r="H47" s="1187"/>
      <c r="I47" s="1187"/>
      <c r="J47" s="1187"/>
    </row>
    <row r="48" spans="2:21" s="83" customFormat="1">
      <c r="B48" s="359"/>
      <c r="C48" s="361" t="s">
        <v>979</v>
      </c>
      <c r="D48" s="361" t="s">
        <v>959</v>
      </c>
      <c r="E48" s="361" t="s">
        <v>960</v>
      </c>
      <c r="F48" s="368"/>
      <c r="G48" s="368"/>
      <c r="H48" s="368"/>
      <c r="I48" s="368"/>
      <c r="J48" s="368"/>
    </row>
    <row r="49" spans="2:18" s="81" customFormat="1">
      <c r="B49" s="363" t="s">
        <v>947</v>
      </c>
      <c r="C49" s="362">
        <v>36</v>
      </c>
      <c r="D49" s="362">
        <f>300</f>
        <v>300</v>
      </c>
      <c r="E49" s="362">
        <f>C49*D49</f>
        <v>10800</v>
      </c>
      <c r="F49" s="394">
        <v>31</v>
      </c>
      <c r="G49" s="362"/>
      <c r="H49" s="362"/>
      <c r="I49" s="362">
        <f>G49*H49</f>
        <v>0</v>
      </c>
      <c r="J49" s="394">
        <v>31</v>
      </c>
    </row>
    <row r="50" spans="2:18" s="81" customFormat="1">
      <c r="B50" s="363" t="s">
        <v>948</v>
      </c>
      <c r="C50" s="362">
        <f>C49</f>
        <v>36</v>
      </c>
      <c r="D50" s="362">
        <f>D49</f>
        <v>300</v>
      </c>
      <c r="E50" s="362">
        <f t="shared" ref="E50:E60" si="25">C50*D50</f>
        <v>10800</v>
      </c>
      <c r="F50" s="394">
        <v>28</v>
      </c>
      <c r="G50" s="362"/>
      <c r="H50" s="362"/>
      <c r="I50" s="362">
        <f t="shared" ref="I50:I60" si="26">G50*H50</f>
        <v>0</v>
      </c>
      <c r="J50" s="394">
        <v>28</v>
      </c>
    </row>
    <row r="51" spans="2:18" s="81" customFormat="1">
      <c r="B51" s="363" t="s">
        <v>949</v>
      </c>
      <c r="C51" s="362">
        <f t="shared" ref="C51:C59" si="27">C50</f>
        <v>36</v>
      </c>
      <c r="D51" s="362">
        <f t="shared" ref="D51:D60" si="28">D50</f>
        <v>300</v>
      </c>
      <c r="E51" s="362">
        <f t="shared" si="25"/>
        <v>10800</v>
      </c>
      <c r="F51" s="394">
        <v>31</v>
      </c>
      <c r="G51" s="362">
        <v>4</v>
      </c>
      <c r="H51" s="362">
        <f>D51</f>
        <v>300</v>
      </c>
      <c r="I51" s="362">
        <f t="shared" si="26"/>
        <v>1200</v>
      </c>
      <c r="J51" s="394">
        <v>31</v>
      </c>
    </row>
    <row r="52" spans="2:18" s="81" customFormat="1">
      <c r="B52" s="363" t="s">
        <v>950</v>
      </c>
      <c r="C52" s="362">
        <f t="shared" si="27"/>
        <v>36</v>
      </c>
      <c r="D52" s="362">
        <f t="shared" si="28"/>
        <v>300</v>
      </c>
      <c r="E52" s="362">
        <f t="shared" si="25"/>
        <v>10800</v>
      </c>
      <c r="F52" s="394">
        <v>30</v>
      </c>
      <c r="G52" s="362"/>
      <c r="H52" s="362"/>
      <c r="I52" s="362">
        <f t="shared" si="26"/>
        <v>0</v>
      </c>
      <c r="J52" s="394">
        <v>30</v>
      </c>
    </row>
    <row r="53" spans="2:18" s="81" customFormat="1">
      <c r="B53" s="363" t="s">
        <v>951</v>
      </c>
      <c r="C53" s="362">
        <f t="shared" si="27"/>
        <v>36</v>
      </c>
      <c r="D53" s="362">
        <f t="shared" si="28"/>
        <v>300</v>
      </c>
      <c r="E53" s="362">
        <f t="shared" si="25"/>
        <v>10800</v>
      </c>
      <c r="F53" s="394">
        <v>31</v>
      </c>
      <c r="G53" s="362"/>
      <c r="H53" s="362"/>
      <c r="I53" s="362">
        <f t="shared" si="26"/>
        <v>0</v>
      </c>
      <c r="J53" s="394">
        <v>31</v>
      </c>
    </row>
    <row r="54" spans="2:18" s="81" customFormat="1">
      <c r="B54" s="363" t="s">
        <v>952</v>
      </c>
      <c r="C54" s="362">
        <f t="shared" si="27"/>
        <v>36</v>
      </c>
      <c r="D54" s="362">
        <f t="shared" si="28"/>
        <v>300</v>
      </c>
      <c r="E54" s="362">
        <f t="shared" si="25"/>
        <v>10800</v>
      </c>
      <c r="F54" s="394">
        <v>30</v>
      </c>
      <c r="G54" s="362">
        <v>4</v>
      </c>
      <c r="H54" s="362">
        <f>D54</f>
        <v>300</v>
      </c>
      <c r="I54" s="362">
        <f t="shared" si="26"/>
        <v>1200</v>
      </c>
      <c r="J54" s="394">
        <v>30</v>
      </c>
    </row>
    <row r="55" spans="2:18" s="81" customFormat="1">
      <c r="B55" s="363" t="s">
        <v>953</v>
      </c>
      <c r="C55" s="362">
        <f t="shared" si="27"/>
        <v>36</v>
      </c>
      <c r="D55" s="362">
        <f t="shared" si="28"/>
        <v>300</v>
      </c>
      <c r="E55" s="362">
        <f t="shared" si="25"/>
        <v>10800</v>
      </c>
      <c r="F55" s="394">
        <v>31</v>
      </c>
      <c r="G55" s="362"/>
      <c r="H55" s="362"/>
      <c r="I55" s="362">
        <f t="shared" si="26"/>
        <v>0</v>
      </c>
      <c r="J55" s="394">
        <v>31</v>
      </c>
    </row>
    <row r="56" spans="2:18" s="81" customFormat="1">
      <c r="B56" s="363" t="s">
        <v>954</v>
      </c>
      <c r="C56" s="362">
        <f t="shared" si="27"/>
        <v>36</v>
      </c>
      <c r="D56" s="362">
        <f t="shared" si="28"/>
        <v>300</v>
      </c>
      <c r="E56" s="362">
        <f t="shared" si="25"/>
        <v>10800</v>
      </c>
      <c r="F56" s="394">
        <v>31</v>
      </c>
      <c r="G56" s="362"/>
      <c r="H56" s="362"/>
      <c r="I56" s="362">
        <f t="shared" si="26"/>
        <v>0</v>
      </c>
      <c r="J56" s="394">
        <v>31</v>
      </c>
    </row>
    <row r="57" spans="2:18" s="81" customFormat="1">
      <c r="B57" s="363" t="s">
        <v>955</v>
      </c>
      <c r="C57" s="362">
        <f t="shared" si="27"/>
        <v>36</v>
      </c>
      <c r="D57" s="362">
        <f t="shared" si="28"/>
        <v>300</v>
      </c>
      <c r="E57" s="362">
        <f t="shared" si="25"/>
        <v>10800</v>
      </c>
      <c r="F57" s="394">
        <v>30</v>
      </c>
      <c r="G57" s="362">
        <v>4</v>
      </c>
      <c r="H57" s="362">
        <f>D57</f>
        <v>300</v>
      </c>
      <c r="I57" s="362">
        <f t="shared" si="26"/>
        <v>1200</v>
      </c>
      <c r="J57" s="394">
        <v>30</v>
      </c>
    </row>
    <row r="58" spans="2:18" s="81" customFormat="1">
      <c r="B58" s="363" t="s">
        <v>956</v>
      </c>
      <c r="C58" s="362">
        <f t="shared" si="27"/>
        <v>36</v>
      </c>
      <c r="D58" s="362">
        <f t="shared" si="28"/>
        <v>300</v>
      </c>
      <c r="E58" s="362">
        <f t="shared" si="25"/>
        <v>10800</v>
      </c>
      <c r="F58" s="394">
        <v>31</v>
      </c>
      <c r="G58" s="362"/>
      <c r="H58" s="362"/>
      <c r="I58" s="362">
        <f t="shared" si="26"/>
        <v>0</v>
      </c>
      <c r="J58" s="394">
        <v>31</v>
      </c>
    </row>
    <row r="59" spans="2:18" s="81" customFormat="1">
      <c r="B59" s="363" t="s">
        <v>957</v>
      </c>
      <c r="C59" s="362">
        <f t="shared" si="27"/>
        <v>36</v>
      </c>
      <c r="D59" s="362">
        <f t="shared" si="28"/>
        <v>300</v>
      </c>
      <c r="E59" s="362">
        <f t="shared" si="25"/>
        <v>10800</v>
      </c>
      <c r="F59" s="394">
        <v>30</v>
      </c>
      <c r="G59" s="362"/>
      <c r="H59" s="362"/>
      <c r="I59" s="362">
        <f t="shared" si="26"/>
        <v>0</v>
      </c>
      <c r="J59" s="394">
        <v>30</v>
      </c>
    </row>
    <row r="60" spans="2:18" s="81" customFormat="1">
      <c r="B60" s="363" t="s">
        <v>958</v>
      </c>
      <c r="C60" s="362"/>
      <c r="D60" s="362">
        <f t="shared" si="28"/>
        <v>300</v>
      </c>
      <c r="E60" s="362">
        <f t="shared" si="25"/>
        <v>0</v>
      </c>
      <c r="F60" s="394">
        <v>31</v>
      </c>
      <c r="G60" s="362">
        <v>40</v>
      </c>
      <c r="H60" s="362">
        <f>D60</f>
        <v>300</v>
      </c>
      <c r="I60" s="362">
        <f t="shared" si="26"/>
        <v>12000</v>
      </c>
      <c r="J60" s="394">
        <v>31</v>
      </c>
    </row>
    <row r="61" spans="2:18" s="84" customFormat="1" ht="14.25">
      <c r="B61" s="366"/>
      <c r="C61" s="388"/>
      <c r="D61" s="388"/>
      <c r="E61" s="388"/>
      <c r="F61" s="388"/>
      <c r="G61" s="388"/>
      <c r="H61" s="388"/>
      <c r="I61" s="388"/>
      <c r="J61" s="388"/>
    </row>
    <row r="62" spans="2:18">
      <c r="B62" s="331" t="s">
        <v>106</v>
      </c>
      <c r="C62" s="382">
        <f>C49+C50+C51</f>
        <v>108</v>
      </c>
      <c r="D62" s="382"/>
      <c r="E62" s="382">
        <f>E49+E50+E51</f>
        <v>32400</v>
      </c>
      <c r="F62" s="382"/>
      <c r="G62" s="382">
        <f>G49+G50+G51</f>
        <v>4</v>
      </c>
      <c r="H62" s="382"/>
      <c r="I62" s="382">
        <f>I49+I50+I51</f>
        <v>1200</v>
      </c>
      <c r="J62" s="382"/>
      <c r="K62"/>
      <c r="L62"/>
      <c r="M62"/>
      <c r="N62"/>
      <c r="O62"/>
      <c r="P62"/>
      <c r="Q62"/>
      <c r="R62"/>
    </row>
    <row r="63" spans="2:18">
      <c r="B63" s="331" t="s">
        <v>107</v>
      </c>
      <c r="C63" s="382">
        <f>C52+C53+C54</f>
        <v>108</v>
      </c>
      <c r="D63" s="382"/>
      <c r="E63" s="382">
        <f>E52+E53+E54</f>
        <v>32400</v>
      </c>
      <c r="F63" s="382"/>
      <c r="G63" s="382">
        <f>G52+G53+G54</f>
        <v>4</v>
      </c>
      <c r="H63" s="382"/>
      <c r="I63" s="382">
        <f>I52+I53+I54</f>
        <v>1200</v>
      </c>
      <c r="J63" s="382"/>
      <c r="K63"/>
      <c r="L63"/>
      <c r="M63"/>
      <c r="N63"/>
      <c r="O63"/>
      <c r="P63"/>
      <c r="Q63"/>
      <c r="R63"/>
    </row>
    <row r="64" spans="2:18">
      <c r="B64" s="331" t="s">
        <v>108</v>
      </c>
      <c r="C64" s="382">
        <f>C55+C56+C57</f>
        <v>108</v>
      </c>
      <c r="D64" s="382"/>
      <c r="E64" s="382">
        <f>E55+E56+E57</f>
        <v>32400</v>
      </c>
      <c r="F64" s="382"/>
      <c r="G64" s="382">
        <f>G55+G56+G57</f>
        <v>4</v>
      </c>
      <c r="H64" s="382"/>
      <c r="I64" s="382">
        <f>I55+I56+I57</f>
        <v>1200</v>
      </c>
      <c r="J64" s="382"/>
      <c r="K64"/>
      <c r="L64"/>
      <c r="M64"/>
      <c r="N64"/>
      <c r="O64"/>
      <c r="P64"/>
      <c r="Q64"/>
      <c r="R64"/>
    </row>
    <row r="65" spans="2:21">
      <c r="B65" s="331" t="s">
        <v>978</v>
      </c>
      <c r="C65" s="382">
        <f>C58+C59+C60</f>
        <v>72</v>
      </c>
      <c r="D65" s="382"/>
      <c r="E65" s="382">
        <f>E58+E59+E60</f>
        <v>21600</v>
      </c>
      <c r="F65" s="382"/>
      <c r="G65" s="382">
        <f>G58+G59+G60</f>
        <v>40</v>
      </c>
      <c r="H65" s="382"/>
      <c r="I65" s="382">
        <f>I58+I59+I60</f>
        <v>12000</v>
      </c>
      <c r="J65" s="382"/>
      <c r="K65"/>
      <c r="L65"/>
      <c r="M65"/>
      <c r="N65"/>
      <c r="O65"/>
      <c r="P65"/>
      <c r="Q65"/>
      <c r="R65"/>
      <c r="S65" s="422" t="s">
        <v>986</v>
      </c>
      <c r="T65" s="422" t="s">
        <v>987</v>
      </c>
      <c r="U65" s="422" t="s">
        <v>988</v>
      </c>
    </row>
    <row r="66" spans="2:21" s="232" customFormat="1" ht="18.75">
      <c r="B66" s="386"/>
      <c r="C66" s="387">
        <f>SUM(C62:C65)</f>
        <v>396</v>
      </c>
      <c r="D66" s="387"/>
      <c r="E66" s="387">
        <f>SUM(E62:E65)</f>
        <v>118800</v>
      </c>
      <c r="F66" s="387"/>
      <c r="G66" s="387">
        <f>SUM(G62:G65)</f>
        <v>52</v>
      </c>
      <c r="H66" s="387"/>
      <c r="I66" s="387">
        <f>SUM(I62:I65)</f>
        <v>15600</v>
      </c>
      <c r="J66" s="387"/>
      <c r="S66" s="421">
        <f>E66+I66</f>
        <v>134400</v>
      </c>
      <c r="T66" s="421">
        <f>E66</f>
        <v>118800</v>
      </c>
      <c r="U66" s="421">
        <f>I66</f>
        <v>15600</v>
      </c>
    </row>
    <row r="67" spans="2:21" s="402" customFormat="1" ht="18.75">
      <c r="B67" s="399"/>
      <c r="C67" s="400"/>
      <c r="D67" s="400"/>
      <c r="E67" s="400"/>
      <c r="F67" s="401"/>
      <c r="G67" s="401"/>
      <c r="H67" s="401"/>
      <c r="I67" s="401"/>
      <c r="J67" s="401"/>
      <c r="S67" s="421">
        <f>S22+S45+S66</f>
        <v>5038304.765704806</v>
      </c>
      <c r="T67" s="421">
        <f>T22+T45+T66</f>
        <v>4601860.0319999997</v>
      </c>
      <c r="U67" s="421">
        <f>U22+U45+U66</f>
        <v>436444.73370480572</v>
      </c>
    </row>
    <row r="68" spans="2:21">
      <c r="B68" s="406" t="s">
        <v>989</v>
      </c>
      <c r="C68" s="333" t="s">
        <v>893</v>
      </c>
      <c r="D68" s="333" t="s">
        <v>1290</v>
      </c>
      <c r="E68" s="333" t="s">
        <v>1291</v>
      </c>
      <c r="F68" s="333" t="s">
        <v>1292</v>
      </c>
      <c r="G68" s="333" t="s">
        <v>1293</v>
      </c>
      <c r="H68" s="333" t="s">
        <v>1294</v>
      </c>
      <c r="I68" s="333" t="s">
        <v>894</v>
      </c>
      <c r="J68" s="333" t="s">
        <v>1296</v>
      </c>
      <c r="K68" s="333" t="s">
        <v>1297</v>
      </c>
      <c r="L68" s="333" t="s">
        <v>1298</v>
      </c>
      <c r="M68" s="333" t="s">
        <v>1299</v>
      </c>
      <c r="N68" s="333" t="s">
        <v>1300</v>
      </c>
      <c r="O68" s="355" t="s">
        <v>106</v>
      </c>
      <c r="P68" s="355" t="s">
        <v>107</v>
      </c>
      <c r="Q68" s="355" t="s">
        <v>108</v>
      </c>
      <c r="R68" s="355" t="s">
        <v>109</v>
      </c>
      <c r="S68" s="356">
        <v>2022</v>
      </c>
    </row>
    <row r="69" spans="2:21" ht="25.5">
      <c r="B69" s="337" t="s">
        <v>907</v>
      </c>
      <c r="C69" s="403">
        <f>C70+C71+C72</f>
        <v>712422.84539226524</v>
      </c>
      <c r="D69" s="403">
        <f t="shared" ref="D69:N69" si="29">D70+D71+D72</f>
        <v>608206.13158011052</v>
      </c>
      <c r="E69" s="403">
        <f t="shared" si="29"/>
        <v>615269.04539226519</v>
      </c>
      <c r="F69" s="403">
        <f t="shared" si="29"/>
        <v>340113.10506077344</v>
      </c>
      <c r="G69" s="403">
        <f t="shared" si="29"/>
        <v>142875.53599999999</v>
      </c>
      <c r="H69" s="403">
        <f t="shared" si="29"/>
        <v>142875.53599999999</v>
      </c>
      <c r="I69" s="403">
        <f t="shared" si="29"/>
        <v>123444.776</v>
      </c>
      <c r="J69" s="403">
        <f t="shared" si="29"/>
        <v>123444.776</v>
      </c>
      <c r="K69" s="403">
        <f t="shared" si="29"/>
        <v>181737.05600000001</v>
      </c>
      <c r="L69" s="403">
        <f t="shared" si="29"/>
        <v>469651.50506077346</v>
      </c>
      <c r="M69" s="403">
        <f t="shared" si="29"/>
        <v>602119.87412154698</v>
      </c>
      <c r="N69" s="403">
        <f t="shared" si="29"/>
        <v>539699.84539226524</v>
      </c>
      <c r="O69" s="404">
        <f>SUM(C69:E69)</f>
        <v>1935898.0223646411</v>
      </c>
      <c r="P69" s="404">
        <f>SUM(F69:H69)</f>
        <v>625864.17706077336</v>
      </c>
      <c r="Q69" s="404">
        <f>SUM(I69:K69)</f>
        <v>428626.60800000001</v>
      </c>
      <c r="R69" s="404">
        <f>SUM(L69:N69)</f>
        <v>1611471.2245745859</v>
      </c>
      <c r="S69" s="409">
        <f>O69+P69+Q69+R69</f>
        <v>4601860.0319999997</v>
      </c>
    </row>
    <row r="70" spans="2:21">
      <c r="B70" s="340" t="str">
        <f>B2</f>
        <v>Оплата електроенергії</v>
      </c>
      <c r="C70" s="403">
        <f>J5</f>
        <v>293998.53600000002</v>
      </c>
      <c r="D70" s="403">
        <f>J6</f>
        <v>229229.33600000001</v>
      </c>
      <c r="E70" s="403">
        <f>J7</f>
        <v>196844.736</v>
      </c>
      <c r="F70" s="403">
        <f>J8</f>
        <v>132075.53599999999</v>
      </c>
      <c r="G70" s="403">
        <f>J9</f>
        <v>132075.53599999999</v>
      </c>
      <c r="H70" s="403">
        <f>J10</f>
        <v>132075.53599999999</v>
      </c>
      <c r="I70" s="403">
        <f>J11</f>
        <v>112644.776</v>
      </c>
      <c r="J70" s="403">
        <f>J12</f>
        <v>112644.776</v>
      </c>
      <c r="K70" s="403">
        <f>J13</f>
        <v>170937.05600000001</v>
      </c>
      <c r="L70" s="403">
        <f>J14</f>
        <v>261613.93599999999</v>
      </c>
      <c r="M70" s="403">
        <f>J15</f>
        <v>196844.736</v>
      </c>
      <c r="N70" s="403">
        <f>J16</f>
        <v>132075.53599999999</v>
      </c>
      <c r="O70" s="404">
        <f>SUM(C70:E70)</f>
        <v>720072.60800000001</v>
      </c>
      <c r="P70" s="404">
        <f>SUM(F70:H70)</f>
        <v>396226.60800000001</v>
      </c>
      <c r="Q70" s="404">
        <f>SUM(I70:K70)</f>
        <v>396226.60800000001</v>
      </c>
      <c r="R70" s="404">
        <f>SUM(L70:N70)</f>
        <v>590534.20799999998</v>
      </c>
      <c r="S70" s="404">
        <f>O70+P70+Q70+R70</f>
        <v>2103060.0320000001</v>
      </c>
    </row>
    <row r="71" spans="2:21">
      <c r="B71" s="340" t="str">
        <f>B24</f>
        <v>Оплата інших енергоносіїв (тріска паливна )</v>
      </c>
      <c r="C71" s="403">
        <f>E28</f>
        <v>407624.30939226522</v>
      </c>
      <c r="D71" s="403">
        <f>E29</f>
        <v>368176.79558011051</v>
      </c>
      <c r="E71" s="403">
        <f>E30</f>
        <v>407624.30939226522</v>
      </c>
      <c r="F71" s="403">
        <f>E31</f>
        <v>197237.56906077347</v>
      </c>
      <c r="G71" s="403"/>
      <c r="H71" s="403"/>
      <c r="I71" s="403"/>
      <c r="J71" s="403"/>
      <c r="K71" s="403"/>
      <c r="L71" s="403">
        <f>E37</f>
        <v>197237.56906077347</v>
      </c>
      <c r="M71" s="403">
        <f>E38</f>
        <v>394475.13812154694</v>
      </c>
      <c r="N71" s="403">
        <f>E39</f>
        <v>407624.30939226522</v>
      </c>
      <c r="O71" s="404">
        <f>SUM(C71:E71)</f>
        <v>1183425.4143646411</v>
      </c>
      <c r="P71" s="404">
        <f>SUM(F71:H71)</f>
        <v>197237.56906077347</v>
      </c>
      <c r="Q71" s="404">
        <f>SUM(I71:K71)</f>
        <v>0</v>
      </c>
      <c r="R71" s="404">
        <f>SUM(L71:N71)</f>
        <v>999337.01657458558</v>
      </c>
      <c r="S71" s="404">
        <f>O71+P71+Q71+R71</f>
        <v>2380000</v>
      </c>
    </row>
    <row r="72" spans="2:21">
      <c r="B72" s="340" t="str">
        <f>B47</f>
        <v>Оплата інших енергоносіїв (утилізація сміття)</v>
      </c>
      <c r="C72" s="338">
        <f>E49</f>
        <v>10800</v>
      </c>
      <c r="D72" s="338">
        <f>E50</f>
        <v>10800</v>
      </c>
      <c r="E72" s="338">
        <f>E51</f>
        <v>10800</v>
      </c>
      <c r="F72" s="338">
        <f>E52</f>
        <v>10800</v>
      </c>
      <c r="G72" s="338">
        <f>E53</f>
        <v>10800</v>
      </c>
      <c r="H72" s="338">
        <f>E54</f>
        <v>10800</v>
      </c>
      <c r="I72" s="338">
        <f>E55</f>
        <v>10800</v>
      </c>
      <c r="J72" s="338">
        <f>E56</f>
        <v>10800</v>
      </c>
      <c r="K72" s="338">
        <f>E57</f>
        <v>10800</v>
      </c>
      <c r="L72" s="338">
        <f>E58</f>
        <v>10800</v>
      </c>
      <c r="M72" s="338">
        <f>E59</f>
        <v>10800</v>
      </c>
      <c r="N72" s="338">
        <f>E60</f>
        <v>0</v>
      </c>
      <c r="O72" s="339">
        <f>SUM(C72:E72)</f>
        <v>32400</v>
      </c>
      <c r="P72" s="339">
        <f>SUM(F72:H72)</f>
        <v>32400</v>
      </c>
      <c r="Q72" s="339">
        <f>SUM(I72:K72)</f>
        <v>32400</v>
      </c>
      <c r="R72" s="339">
        <f>SUM(L72:N72)</f>
        <v>21600</v>
      </c>
      <c r="S72" s="339">
        <f>O72+P72+Q72+R72</f>
        <v>118800</v>
      </c>
    </row>
    <row r="73" spans="2:21">
      <c r="B73" s="406" t="s">
        <v>939</v>
      </c>
      <c r="C73" s="333" t="s">
        <v>893</v>
      </c>
      <c r="D73" s="333" t="s">
        <v>1290</v>
      </c>
      <c r="E73" s="333" t="s">
        <v>1291</v>
      </c>
      <c r="F73" s="333" t="s">
        <v>1292</v>
      </c>
      <c r="G73" s="333" t="s">
        <v>1293</v>
      </c>
      <c r="H73" s="333" t="s">
        <v>1294</v>
      </c>
      <c r="I73" s="333" t="s">
        <v>894</v>
      </c>
      <c r="J73" s="333" t="s">
        <v>1296</v>
      </c>
      <c r="K73" s="333" t="s">
        <v>1297</v>
      </c>
      <c r="L73" s="333" t="s">
        <v>1298</v>
      </c>
      <c r="M73" s="333" t="s">
        <v>1299</v>
      </c>
      <c r="N73" s="333" t="s">
        <v>1300</v>
      </c>
      <c r="O73" s="355" t="s">
        <v>106</v>
      </c>
      <c r="P73" s="355" t="s">
        <v>107</v>
      </c>
      <c r="Q73" s="355" t="s">
        <v>108</v>
      </c>
      <c r="R73" s="355" t="s">
        <v>109</v>
      </c>
      <c r="S73" s="356">
        <v>2022</v>
      </c>
    </row>
    <row r="74" spans="2:21" ht="25.5">
      <c r="B74" s="337" t="s">
        <v>907</v>
      </c>
      <c r="C74" s="408">
        <f t="shared" ref="C74:N74" si="30">C75+C76+C77</f>
        <v>54595.021971541311</v>
      </c>
      <c r="D74" s="408">
        <f t="shared" si="30"/>
        <v>50899.09029687602</v>
      </c>
      <c r="E74" s="408">
        <f t="shared" si="30"/>
        <v>55795.021971541311</v>
      </c>
      <c r="F74" s="408">
        <f t="shared" si="30"/>
        <v>34883.386373326444</v>
      </c>
      <c r="G74" s="408">
        <f t="shared" si="30"/>
        <v>16403.727999999999</v>
      </c>
      <c r="H74" s="408">
        <f t="shared" si="30"/>
        <v>17603.727999999999</v>
      </c>
      <c r="I74" s="408">
        <f t="shared" si="30"/>
        <v>16403.727999999999</v>
      </c>
      <c r="J74" s="408">
        <f t="shared" si="30"/>
        <v>16403.727999999999</v>
      </c>
      <c r="K74" s="408">
        <f t="shared" si="30"/>
        <v>17603.727999999999</v>
      </c>
      <c r="L74" s="408">
        <f t="shared" si="30"/>
        <v>34883.386373326444</v>
      </c>
      <c r="M74" s="408">
        <f t="shared" si="30"/>
        <v>53363.044746652886</v>
      </c>
      <c r="N74" s="408">
        <f t="shared" si="30"/>
        <v>67607.141971541321</v>
      </c>
      <c r="O74" s="404">
        <f>SUM(C74:E74)</f>
        <v>161289.13423995866</v>
      </c>
      <c r="P74" s="404">
        <f>SUM(F74:H74)</f>
        <v>68890.84237332645</v>
      </c>
      <c r="Q74" s="404">
        <f>SUM(I74:K74)</f>
        <v>50411.183999999994</v>
      </c>
      <c r="R74" s="404">
        <f>SUM(L74:N74)</f>
        <v>155853.57309152064</v>
      </c>
      <c r="S74" s="409">
        <f>O74+P74+Q74+R74</f>
        <v>436444.73370480572</v>
      </c>
    </row>
    <row r="75" spans="2:21">
      <c r="B75" s="340" t="str">
        <f>B70</f>
        <v>Оплата електроенергії</v>
      </c>
      <c r="C75" s="403">
        <f>R5</f>
        <v>16403.727999999999</v>
      </c>
      <c r="D75" s="403">
        <f>R6</f>
        <v>16403.727999999999</v>
      </c>
      <c r="E75" s="403">
        <f>R7</f>
        <v>16403.727999999999</v>
      </c>
      <c r="F75" s="403">
        <f>R8</f>
        <v>16403.727999999999</v>
      </c>
      <c r="G75" s="403">
        <f>R9</f>
        <v>16403.727999999999</v>
      </c>
      <c r="H75" s="403">
        <f>R10</f>
        <v>16403.727999999999</v>
      </c>
      <c r="I75" s="403">
        <f>R11</f>
        <v>16403.727999999999</v>
      </c>
      <c r="J75" s="403">
        <f>R12</f>
        <v>16403.727999999999</v>
      </c>
      <c r="K75" s="403">
        <f>R13</f>
        <v>16403.727999999999</v>
      </c>
      <c r="L75" s="403">
        <f>R14</f>
        <v>16403.727999999999</v>
      </c>
      <c r="M75" s="403">
        <f>R15</f>
        <v>16403.727999999999</v>
      </c>
      <c r="N75" s="403">
        <f>R16</f>
        <v>16403.727999999999</v>
      </c>
      <c r="O75" s="404">
        <f>SUM(C75:E75)</f>
        <v>49211.183999999994</v>
      </c>
      <c r="P75" s="404">
        <f>SUM(F75:H75)</f>
        <v>49211.183999999994</v>
      </c>
      <c r="Q75" s="404">
        <f>SUM(I75:K75)</f>
        <v>49211.183999999994</v>
      </c>
      <c r="R75" s="404">
        <f>SUM(L75:N75)</f>
        <v>49211.183999999994</v>
      </c>
      <c r="S75" s="404">
        <f>O75+P75+Q75+R75</f>
        <v>196844.73599999998</v>
      </c>
    </row>
    <row r="76" spans="2:21">
      <c r="B76" s="340" t="str">
        <f>B71</f>
        <v>Оплата інших енергоносіїв (тріска паливна )</v>
      </c>
      <c r="C76" s="403">
        <f>I28</f>
        <v>38191.293971541316</v>
      </c>
      <c r="D76" s="403">
        <f>I29</f>
        <v>34495.362296876025</v>
      </c>
      <c r="E76" s="403">
        <f>I30</f>
        <v>38191.293971541316</v>
      </c>
      <c r="F76" s="403">
        <f>I31</f>
        <v>18479.658373326442</v>
      </c>
      <c r="G76" s="403"/>
      <c r="H76" s="403"/>
      <c r="I76" s="403"/>
      <c r="J76" s="403"/>
      <c r="K76" s="403"/>
      <c r="L76" s="403">
        <f>I37</f>
        <v>18479.658373326442</v>
      </c>
      <c r="M76" s="403">
        <f>I38</f>
        <v>36959.316746652883</v>
      </c>
      <c r="N76" s="403">
        <f>I39</f>
        <v>39203.413971541318</v>
      </c>
      <c r="O76" s="404">
        <f>SUM(C76:E76)</f>
        <v>110877.95023995865</v>
      </c>
      <c r="P76" s="404">
        <f>SUM(F76:H76)</f>
        <v>18479.658373326442</v>
      </c>
      <c r="Q76" s="404">
        <f>SUM(I76:K76)</f>
        <v>0</v>
      </c>
      <c r="R76" s="404">
        <f>SUM(L76:N76)</f>
        <v>94642.389091520643</v>
      </c>
      <c r="S76" s="404">
        <f>O76+P76+Q76+R76</f>
        <v>223999.99770480575</v>
      </c>
    </row>
    <row r="77" spans="2:21">
      <c r="B77" s="340" t="str">
        <f>B72</f>
        <v>Оплата інших енергоносіїв (утилізація сміття)</v>
      </c>
      <c r="C77" s="338"/>
      <c r="D77" s="338"/>
      <c r="E77" s="338">
        <f>I51</f>
        <v>1200</v>
      </c>
      <c r="F77" s="338"/>
      <c r="G77" s="338"/>
      <c r="H77" s="338">
        <f>I54</f>
        <v>1200</v>
      </c>
      <c r="I77" s="338"/>
      <c r="J77" s="338"/>
      <c r="K77" s="338">
        <f>I57</f>
        <v>1200</v>
      </c>
      <c r="L77" s="338"/>
      <c r="M77" s="338"/>
      <c r="N77" s="338">
        <f>I60</f>
        <v>12000</v>
      </c>
      <c r="O77" s="339">
        <f>SUM(C77:E77)</f>
        <v>1200</v>
      </c>
      <c r="P77" s="339">
        <f>SUM(F77:H77)</f>
        <v>1200</v>
      </c>
      <c r="Q77" s="339">
        <f>SUM(I77:K77)</f>
        <v>1200</v>
      </c>
      <c r="R77" s="339">
        <f>SUM(L77:N77)</f>
        <v>12000</v>
      </c>
      <c r="S77" s="339">
        <f>O77+P77+Q77+R77</f>
        <v>15600</v>
      </c>
    </row>
    <row r="78" spans="2:21">
      <c r="B78" s="406" t="s">
        <v>876</v>
      </c>
      <c r="C78" s="333" t="s">
        <v>893</v>
      </c>
      <c r="D78" s="333" t="s">
        <v>1290</v>
      </c>
      <c r="E78" s="333" t="s">
        <v>1291</v>
      </c>
      <c r="F78" s="333" t="s">
        <v>1292</v>
      </c>
      <c r="G78" s="333" t="s">
        <v>1293</v>
      </c>
      <c r="H78" s="333" t="s">
        <v>1294</v>
      </c>
      <c r="I78" s="333" t="s">
        <v>894</v>
      </c>
      <c r="J78" s="333" t="s">
        <v>1296</v>
      </c>
      <c r="K78" s="333" t="s">
        <v>1297</v>
      </c>
      <c r="L78" s="333" t="s">
        <v>1298</v>
      </c>
      <c r="M78" s="333" t="s">
        <v>1299</v>
      </c>
      <c r="N78" s="333" t="s">
        <v>1300</v>
      </c>
      <c r="O78" s="355" t="s">
        <v>106</v>
      </c>
      <c r="P78" s="355" t="s">
        <v>107</v>
      </c>
      <c r="Q78" s="355" t="s">
        <v>108</v>
      </c>
      <c r="R78" s="355" t="s">
        <v>109</v>
      </c>
      <c r="S78" s="356">
        <v>2022</v>
      </c>
    </row>
    <row r="79" spans="2:21" ht="25.5">
      <c r="B79" s="337" t="s">
        <v>907</v>
      </c>
      <c r="C79" s="408">
        <f t="shared" ref="C79:N79" si="31">C80+C81+C82</f>
        <v>767017.86736380658</v>
      </c>
      <c r="D79" s="408">
        <f t="shared" si="31"/>
        <v>659105.22187698656</v>
      </c>
      <c r="E79" s="408">
        <f t="shared" si="31"/>
        <v>671064.06736380653</v>
      </c>
      <c r="F79" s="408">
        <f t="shared" si="31"/>
        <v>374996.49143409991</v>
      </c>
      <c r="G79" s="408">
        <f t="shared" si="31"/>
        <v>159279.264</v>
      </c>
      <c r="H79" s="408">
        <f t="shared" si="31"/>
        <v>160479.264</v>
      </c>
      <c r="I79" s="408">
        <f t="shared" si="31"/>
        <v>139848.50400000002</v>
      </c>
      <c r="J79" s="408">
        <f t="shared" si="31"/>
        <v>139848.50400000002</v>
      </c>
      <c r="K79" s="408">
        <f t="shared" si="31"/>
        <v>199340.78400000001</v>
      </c>
      <c r="L79" s="408">
        <f t="shared" si="31"/>
        <v>504534.89143409987</v>
      </c>
      <c r="M79" s="408">
        <f t="shared" si="31"/>
        <v>655482.91886819981</v>
      </c>
      <c r="N79" s="408">
        <f t="shared" si="31"/>
        <v>607306.98736380658</v>
      </c>
      <c r="O79" s="404">
        <f>SUM(C79:E79)</f>
        <v>2097187.1566045997</v>
      </c>
      <c r="P79" s="404">
        <f>SUM(F79:H79)</f>
        <v>694755.0194340999</v>
      </c>
      <c r="Q79" s="404">
        <f>SUM(I79:K79)</f>
        <v>479037.79200000002</v>
      </c>
      <c r="R79" s="404">
        <f>SUM(L79:N79)</f>
        <v>1767324.7976661064</v>
      </c>
      <c r="S79" s="409">
        <f>O79+P79+Q79+R79</f>
        <v>5038304.765704806</v>
      </c>
    </row>
    <row r="80" spans="2:21" ht="20.25">
      <c r="B80" s="340" t="str">
        <f>B75</f>
        <v>Оплата електроенергії</v>
      </c>
      <c r="C80" s="403">
        <f>C70+C75</f>
        <v>310402.26400000002</v>
      </c>
      <c r="D80" s="403">
        <f t="shared" ref="D80:M80" si="32">D70+D75</f>
        <v>245633.06400000001</v>
      </c>
      <c r="E80" s="403">
        <f t="shared" si="32"/>
        <v>213248.46400000001</v>
      </c>
      <c r="F80" s="403">
        <f t="shared" si="32"/>
        <v>148479.264</v>
      </c>
      <c r="G80" s="403">
        <f t="shared" si="32"/>
        <v>148479.264</v>
      </c>
      <c r="H80" s="403">
        <f t="shared" si="32"/>
        <v>148479.264</v>
      </c>
      <c r="I80" s="403">
        <f t="shared" si="32"/>
        <v>129048.504</v>
      </c>
      <c r="J80" s="403">
        <f t="shared" si="32"/>
        <v>129048.504</v>
      </c>
      <c r="K80" s="403">
        <f t="shared" si="32"/>
        <v>187340.78400000001</v>
      </c>
      <c r="L80" s="403">
        <f t="shared" si="32"/>
        <v>278017.66399999999</v>
      </c>
      <c r="M80" s="403">
        <f t="shared" si="32"/>
        <v>213248.46400000001</v>
      </c>
      <c r="N80" s="403">
        <f>N70+N75</f>
        <v>148479.264</v>
      </c>
      <c r="O80" s="404">
        <f>SUM(C80:E80)</f>
        <v>769283.79200000002</v>
      </c>
      <c r="P80" s="404">
        <f>SUM(F80:H80)</f>
        <v>445437.79200000002</v>
      </c>
      <c r="Q80" s="404">
        <f>SUM(I80:K80)</f>
        <v>445437.79200000002</v>
      </c>
      <c r="R80" s="404">
        <f>SUM(L80:N80)</f>
        <v>639745.39199999999</v>
      </c>
      <c r="S80" s="409">
        <f>O80+P80+Q80+R80</f>
        <v>2299904.7680000002</v>
      </c>
    </row>
    <row r="81" spans="2:19" ht="20.25">
      <c r="B81" s="340" t="str">
        <f>B76</f>
        <v>Оплата інших енергоносіїв (тріска паливна )</v>
      </c>
      <c r="C81" s="403">
        <f t="shared" ref="C81:M82" si="33">C71+C76</f>
        <v>445815.60336380656</v>
      </c>
      <c r="D81" s="403">
        <f t="shared" si="33"/>
        <v>402672.15787698654</v>
      </c>
      <c r="E81" s="403">
        <f t="shared" si="33"/>
        <v>445815.60336380656</v>
      </c>
      <c r="F81" s="403">
        <f t="shared" si="33"/>
        <v>215717.22743409991</v>
      </c>
      <c r="G81" s="403">
        <f t="shared" si="33"/>
        <v>0</v>
      </c>
      <c r="H81" s="403">
        <f t="shared" si="33"/>
        <v>0</v>
      </c>
      <c r="I81" s="403">
        <f t="shared" si="33"/>
        <v>0</v>
      </c>
      <c r="J81" s="403">
        <f t="shared" si="33"/>
        <v>0</v>
      </c>
      <c r="K81" s="403">
        <f t="shared" si="33"/>
        <v>0</v>
      </c>
      <c r="L81" s="403">
        <f t="shared" si="33"/>
        <v>215717.22743409991</v>
      </c>
      <c r="M81" s="403">
        <f t="shared" si="33"/>
        <v>431434.45486819983</v>
      </c>
      <c r="N81" s="403">
        <f>N71+N76</f>
        <v>446827.72336380655</v>
      </c>
      <c r="O81" s="404">
        <f>SUM(C81:E81)</f>
        <v>1294303.3646045998</v>
      </c>
      <c r="P81" s="404">
        <f>SUM(F81:H81)</f>
        <v>215717.22743409991</v>
      </c>
      <c r="Q81" s="404">
        <f>SUM(I81:K81)</f>
        <v>0</v>
      </c>
      <c r="R81" s="404">
        <f>SUM(L81:N81)</f>
        <v>1093979.4056661064</v>
      </c>
      <c r="S81" s="409">
        <f>O81+P81+Q81+R81</f>
        <v>2603999.9977048058</v>
      </c>
    </row>
    <row r="82" spans="2:19" ht="20.25">
      <c r="B82" s="340" t="str">
        <f>B77</f>
        <v>Оплата інших енергоносіїв (утилізація сміття)</v>
      </c>
      <c r="C82" s="403">
        <f t="shared" si="33"/>
        <v>10800</v>
      </c>
      <c r="D82" s="403">
        <f t="shared" si="33"/>
        <v>10800</v>
      </c>
      <c r="E82" s="403">
        <f t="shared" si="33"/>
        <v>12000</v>
      </c>
      <c r="F82" s="403">
        <f t="shared" si="33"/>
        <v>10800</v>
      </c>
      <c r="G82" s="403">
        <f t="shared" si="33"/>
        <v>10800</v>
      </c>
      <c r="H82" s="403">
        <f t="shared" si="33"/>
        <v>12000</v>
      </c>
      <c r="I82" s="403">
        <f t="shared" si="33"/>
        <v>10800</v>
      </c>
      <c r="J82" s="403">
        <f t="shared" si="33"/>
        <v>10800</v>
      </c>
      <c r="K82" s="403">
        <f t="shared" si="33"/>
        <v>12000</v>
      </c>
      <c r="L82" s="403">
        <f t="shared" si="33"/>
        <v>10800</v>
      </c>
      <c r="M82" s="403">
        <f t="shared" si="33"/>
        <v>10800</v>
      </c>
      <c r="N82" s="403">
        <f>N72+N77</f>
        <v>12000</v>
      </c>
      <c r="O82" s="339">
        <f>SUM(C82:E82)</f>
        <v>33600</v>
      </c>
      <c r="P82" s="339">
        <f>SUM(F82:H82)</f>
        <v>33600</v>
      </c>
      <c r="Q82" s="339">
        <f>SUM(I82:K82)</f>
        <v>33600</v>
      </c>
      <c r="R82" s="339">
        <f>SUM(L82:N82)</f>
        <v>33600</v>
      </c>
      <c r="S82" s="433">
        <f>O82+P82+Q82+R82</f>
        <v>134400</v>
      </c>
    </row>
    <row r="83" spans="2:19" ht="20.25">
      <c r="S83" s="433">
        <f>S69+S74</f>
        <v>5038304.765704805</v>
      </c>
    </row>
    <row r="84" spans="2:19" ht="20.25">
      <c r="S84" s="433">
        <f>S83-S67</f>
        <v>0</v>
      </c>
    </row>
  </sheetData>
  <mergeCells count="12">
    <mergeCell ref="K2:R2"/>
    <mergeCell ref="L3:M3"/>
    <mergeCell ref="C2:J2"/>
    <mergeCell ref="D3:E3"/>
    <mergeCell ref="F3:G3"/>
    <mergeCell ref="H3:I3"/>
    <mergeCell ref="C47:F47"/>
    <mergeCell ref="G47:J47"/>
    <mergeCell ref="N3:O3"/>
    <mergeCell ref="P3:Q3"/>
    <mergeCell ref="C24:F24"/>
    <mergeCell ref="G24:J24"/>
  </mergeCells>
  <phoneticPr fontId="73" type="noConversion"/>
  <conditionalFormatting sqref="S83:S84 C69:S82">
    <cfRule type="cellIs" dxfId="2" priority="53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C69:S72 S83:S84 C74:S77 C79:S82">
      <formula1>0</formula1>
    </dataValidation>
  </dataValidations>
  <pageMargins left="0" right="0" top="0" bottom="0" header="0" footer="0"/>
  <pageSetup paperSize="9" scale="53" fitToHeight="2" orientation="landscape" verticalDpi="200" r:id="rId1"/>
  <rowBreaks count="1" manualBreakCount="1">
    <brk id="46" min="1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view="pageBreakPreview" zoomScale="75" zoomScaleNormal="75" workbookViewId="0">
      <selection activeCell="D49" sqref="D49"/>
    </sheetView>
  </sheetViews>
  <sheetFormatPr defaultColWidth="27.5703125" defaultRowHeight="12.75"/>
  <cols>
    <col min="1" max="1" width="8" style="380" bestFit="1" customWidth="1"/>
    <col min="2" max="2" width="46.28515625" style="373" customWidth="1"/>
    <col min="3" max="3" width="126" style="373" customWidth="1"/>
    <col min="4" max="4" width="43.140625" style="373" customWidth="1"/>
    <col min="5" max="5" width="27.5703125" style="373" customWidth="1"/>
    <col min="6" max="6" width="66" style="373" customWidth="1"/>
    <col min="7" max="7" width="15.140625" style="373" bestFit="1" customWidth="1"/>
    <col min="8" max="8" width="13.140625" style="373" bestFit="1" customWidth="1"/>
    <col min="9" max="251" width="9.140625" style="373" customWidth="1"/>
    <col min="252" max="252" width="8" style="373" bestFit="1" customWidth="1"/>
    <col min="253" max="253" width="46.28515625" style="373" customWidth="1"/>
    <col min="254" max="254" width="126" style="373" customWidth="1"/>
    <col min="255" max="255" width="43.140625" style="373" customWidth="1"/>
    <col min="256" max="16384" width="27.5703125" style="373"/>
  </cols>
  <sheetData>
    <row r="2" spans="1:7" ht="36" customHeight="1">
      <c r="A2" s="371"/>
      <c r="B2" s="371"/>
      <c r="C2" s="371"/>
      <c r="D2" s="372" t="s">
        <v>961</v>
      </c>
      <c r="F2" s="372" t="s">
        <v>961</v>
      </c>
    </row>
    <row r="3" spans="1:7" ht="40.5" customHeight="1">
      <c r="A3" s="1195" t="s">
        <v>975</v>
      </c>
      <c r="B3" s="1196"/>
      <c r="C3" s="1196"/>
      <c r="D3" s="1196"/>
    </row>
    <row r="4" spans="1:7" ht="18.75">
      <c r="A4" s="374"/>
      <c r="B4" s="375"/>
      <c r="C4" s="375"/>
      <c r="D4" s="375"/>
      <c r="F4" s="375"/>
    </row>
    <row r="5" spans="1:7" s="371" customFormat="1" ht="24.75" customHeight="1">
      <c r="A5" s="1193" t="s">
        <v>962</v>
      </c>
      <c r="B5" s="1193" t="s">
        <v>963</v>
      </c>
      <c r="C5" s="1193" t="s">
        <v>964</v>
      </c>
      <c r="D5" s="1193" t="s">
        <v>976</v>
      </c>
      <c r="E5" s="1193" t="s">
        <v>977</v>
      </c>
      <c r="F5" s="1193" t="s">
        <v>976</v>
      </c>
    </row>
    <row r="6" spans="1:7" s="371" customFormat="1" ht="24.75" customHeight="1">
      <c r="A6" s="1193"/>
      <c r="B6" s="1193"/>
      <c r="C6" s="1193"/>
      <c r="D6" s="1193"/>
      <c r="E6" s="1193"/>
      <c r="F6" s="1193"/>
    </row>
    <row r="7" spans="1:7" s="371" customFormat="1" ht="21.75">
      <c r="A7" s="1193"/>
      <c r="B7" s="1193"/>
      <c r="C7" s="1193"/>
      <c r="D7" s="766" t="s">
        <v>992</v>
      </c>
      <c r="E7" s="766" t="s">
        <v>36</v>
      </c>
      <c r="F7" s="766" t="s">
        <v>992</v>
      </c>
    </row>
    <row r="8" spans="1:7" s="371" customFormat="1" ht="21.75">
      <c r="A8" s="1194">
        <v>1</v>
      </c>
      <c r="B8" s="1194" t="s">
        <v>258</v>
      </c>
      <c r="C8" s="767" t="s">
        <v>965</v>
      </c>
      <c r="D8" s="432">
        <f>SUM(D9:D11)</f>
        <v>4601860.0319999997</v>
      </c>
      <c r="E8" s="376">
        <f>SUM(E9:E11)</f>
        <v>4601.8600320000005</v>
      </c>
      <c r="F8" s="432">
        <f>SUM(F9:F11)</f>
        <v>4601860.0319999997</v>
      </c>
    </row>
    <row r="9" spans="1:7" s="371" customFormat="1" ht="22.5">
      <c r="A9" s="1194"/>
      <c r="B9" s="1194"/>
      <c r="C9" s="377" t="s">
        <v>966</v>
      </c>
      <c r="D9" s="431">
        <f ca="1">Енергоносії!T22</f>
        <v>2103060.0320000001</v>
      </c>
      <c r="E9" s="378">
        <f>D9/1000</f>
        <v>2103.0600320000003</v>
      </c>
      <c r="F9" s="431">
        <v>2103060.0320000001</v>
      </c>
    </row>
    <row r="10" spans="1:7" s="371" customFormat="1" ht="22.5">
      <c r="A10" s="1194"/>
      <c r="B10" s="1194"/>
      <c r="C10" s="377" t="s">
        <v>967</v>
      </c>
      <c r="D10" s="431">
        <f ca="1">Енергоносії!T45</f>
        <v>2380000</v>
      </c>
      <c r="E10" s="378">
        <f>D10/1000</f>
        <v>2380</v>
      </c>
      <c r="F10" s="431">
        <v>2380000</v>
      </c>
    </row>
    <row r="11" spans="1:7" s="371" customFormat="1" ht="22.5">
      <c r="A11" s="1194"/>
      <c r="B11" s="1194"/>
      <c r="C11" s="377" t="s">
        <v>968</v>
      </c>
      <c r="D11" s="431">
        <f ca="1">Енергоносії!T66</f>
        <v>118800</v>
      </c>
      <c r="E11" s="378">
        <f>D11/1000</f>
        <v>118.8</v>
      </c>
      <c r="F11" s="431">
        <v>118800</v>
      </c>
    </row>
    <row r="12" spans="1:7" customFormat="1" ht="21.75" customHeight="1">
      <c r="A12" s="1193">
        <v>2</v>
      </c>
      <c r="B12" s="1098" t="s">
        <v>969</v>
      </c>
      <c r="C12" s="530" t="s">
        <v>970</v>
      </c>
      <c r="D12" s="534">
        <f>SUM(D13:D19)</f>
        <v>1020250</v>
      </c>
      <c r="E12" s="428">
        <f>SUM(E13:E19)</f>
        <v>7990000</v>
      </c>
      <c r="F12" s="534">
        <f>SUM(F13:F19)</f>
        <v>7990000</v>
      </c>
      <c r="G12" s="531"/>
    </row>
    <row r="13" spans="1:7" customFormat="1" ht="22.5">
      <c r="A13" s="1193"/>
      <c r="B13" s="1098"/>
      <c r="C13" s="532" t="s">
        <v>972</v>
      </c>
      <c r="D13" s="431">
        <f>3500000-3500000</f>
        <v>0</v>
      </c>
      <c r="E13" s="427">
        <f>3500000</f>
        <v>3500000</v>
      </c>
      <c r="F13" s="431">
        <v>3500000</v>
      </c>
      <c r="G13" s="531"/>
    </row>
    <row r="14" spans="1:7" customFormat="1" ht="45">
      <c r="A14" s="1193"/>
      <c r="B14" s="1098"/>
      <c r="C14" s="532" t="s">
        <v>971</v>
      </c>
      <c r="D14" s="431">
        <f>1800000-1800000</f>
        <v>0</v>
      </c>
      <c r="E14" s="427">
        <f>1800000</f>
        <v>1800000</v>
      </c>
      <c r="F14" s="431">
        <v>1800000</v>
      </c>
      <c r="G14" s="531"/>
    </row>
    <row r="15" spans="1:7" customFormat="1" ht="22.5">
      <c r="A15" s="1193"/>
      <c r="B15" s="1098"/>
      <c r="C15" s="379" t="s">
        <v>974</v>
      </c>
      <c r="D15" s="536">
        <f>1100000-1100000</f>
        <v>0</v>
      </c>
      <c r="E15" s="429">
        <f>1100000</f>
        <v>1100000</v>
      </c>
      <c r="F15" s="536">
        <v>1100000</v>
      </c>
      <c r="G15" s="531"/>
    </row>
    <row r="16" spans="1:7" customFormat="1" ht="22.5">
      <c r="A16" s="1193"/>
      <c r="B16" s="1098"/>
      <c r="C16" s="533" t="s">
        <v>973</v>
      </c>
      <c r="D16" s="1030">
        <f>750000+270250</f>
        <v>1020250</v>
      </c>
      <c r="E16" s="427">
        <f>750000</f>
        <v>750000</v>
      </c>
      <c r="F16" s="431">
        <v>750000</v>
      </c>
      <c r="G16" s="531"/>
    </row>
    <row r="17" spans="1:8" customFormat="1" ht="22.5">
      <c r="A17" s="1193"/>
      <c r="B17" s="1098"/>
      <c r="C17" s="532" t="s">
        <v>1081</v>
      </c>
      <c r="D17" s="431"/>
      <c r="E17" s="427">
        <f>470000</f>
        <v>470000</v>
      </c>
      <c r="F17" s="431">
        <v>470000</v>
      </c>
      <c r="G17" s="531"/>
    </row>
    <row r="18" spans="1:8" customFormat="1" ht="22.5">
      <c r="A18" s="1193"/>
      <c r="B18" s="1098"/>
      <c r="C18" s="532" t="s">
        <v>1082</v>
      </c>
      <c r="D18" s="1030">
        <f>200000-200000</f>
        <v>0</v>
      </c>
      <c r="E18" s="427">
        <f>200000</f>
        <v>200000</v>
      </c>
      <c r="F18" s="431">
        <v>200000</v>
      </c>
      <c r="G18" s="531"/>
    </row>
    <row r="19" spans="1:8" customFormat="1" ht="22.5">
      <c r="A19" s="1193"/>
      <c r="B19" s="1098"/>
      <c r="C19" s="379" t="s">
        <v>1083</v>
      </c>
      <c r="D19" s="536"/>
      <c r="E19" s="429">
        <f>170000</f>
        <v>170000</v>
      </c>
      <c r="F19" s="536">
        <v>170000</v>
      </c>
      <c r="G19" s="531"/>
    </row>
    <row r="20" spans="1:8" customFormat="1" ht="22.5">
      <c r="A20" s="377"/>
      <c r="B20" s="767"/>
      <c r="C20" s="767" t="s">
        <v>318</v>
      </c>
      <c r="D20" s="432">
        <f>D8+D12</f>
        <v>5622110.0319999997</v>
      </c>
      <c r="E20" s="426">
        <f>E8+E12</f>
        <v>7994601.8600319996</v>
      </c>
      <c r="F20" s="432">
        <f>F8+F12</f>
        <v>12591860.032</v>
      </c>
      <c r="G20" s="531"/>
    </row>
    <row r="21" spans="1:8" ht="22.5">
      <c r="A21" s="1193">
        <v>1</v>
      </c>
      <c r="B21" s="1098" t="s">
        <v>969</v>
      </c>
      <c r="C21" s="530" t="s">
        <v>970</v>
      </c>
      <c r="D21" s="534">
        <f>SUM(D22:D24)</f>
        <v>1440263.88</v>
      </c>
      <c r="E21" s="807"/>
      <c r="F21" s="807"/>
    </row>
    <row r="22" spans="1:8" ht="22.5">
      <c r="A22" s="1193"/>
      <c r="B22" s="1098"/>
      <c r="C22" s="763" t="s">
        <v>345</v>
      </c>
      <c r="D22" s="431">
        <f>540263.88</f>
        <v>540263.88</v>
      </c>
      <c r="E22" s="807"/>
      <c r="F22" s="807"/>
    </row>
    <row r="23" spans="1:8" ht="22.5">
      <c r="A23" s="1193"/>
      <c r="B23" s="1098"/>
      <c r="C23" s="532" t="s">
        <v>1183</v>
      </c>
      <c r="D23" s="431">
        <v>750000</v>
      </c>
      <c r="E23" s="807"/>
      <c r="F23" s="807"/>
    </row>
    <row r="24" spans="1:8" ht="22.5">
      <c r="A24" s="1193"/>
      <c r="B24" s="1098"/>
      <c r="C24" s="379" t="s">
        <v>1184</v>
      </c>
      <c r="D24" s="536">
        <v>150000</v>
      </c>
      <c r="E24" s="807"/>
      <c r="F24" s="807"/>
    </row>
    <row r="25" spans="1:8" ht="22.5">
      <c r="A25" s="377"/>
      <c r="B25" s="767"/>
      <c r="C25" s="767" t="s">
        <v>318</v>
      </c>
      <c r="D25" s="432"/>
      <c r="E25" s="807"/>
      <c r="F25" s="807"/>
    </row>
    <row r="27" spans="1:8" hidden="1"/>
    <row r="28" spans="1:8" hidden="1"/>
    <row r="29" spans="1:8" hidden="1"/>
    <row r="30" spans="1:8" hidden="1"/>
    <row r="31" spans="1:8" ht="37.5" hidden="1">
      <c r="B31" s="784"/>
      <c r="C31" s="785" t="s">
        <v>1168</v>
      </c>
      <c r="D31" s="785" t="s">
        <v>1169</v>
      </c>
      <c r="E31" s="786" t="s">
        <v>1170</v>
      </c>
      <c r="F31" s="787"/>
      <c r="G31" s="788"/>
      <c r="H31" s="789" t="s">
        <v>1171</v>
      </c>
    </row>
    <row r="32" spans="1:8" ht="66" hidden="1">
      <c r="B32" s="787" t="s">
        <v>1172</v>
      </c>
      <c r="C32" s="790">
        <f>C33+C37+C42</f>
        <v>1258621</v>
      </c>
      <c r="D32" s="790">
        <f>D33+D37+D42</f>
        <v>1600515</v>
      </c>
      <c r="E32" s="791">
        <f>E33+E37+E42</f>
        <v>1596554</v>
      </c>
      <c r="F32" s="787" t="s">
        <v>1173</v>
      </c>
      <c r="G32" s="790">
        <f>G33+G37+G42</f>
        <v>1056290.1200000001</v>
      </c>
      <c r="H32" s="792">
        <f>H33+H37+H42</f>
        <v>540263.87999999989</v>
      </c>
    </row>
    <row r="33" spans="2:8" ht="18.75" hidden="1">
      <c r="B33" s="793" t="s">
        <v>1174</v>
      </c>
      <c r="C33" s="794">
        <f>325.526*1000</f>
        <v>325526</v>
      </c>
      <c r="D33" s="794">
        <f>512.52*1000</f>
        <v>512520</v>
      </c>
      <c r="E33" s="795">
        <f>508.638*1000</f>
        <v>508638</v>
      </c>
      <c r="F33" s="793" t="s">
        <v>1174</v>
      </c>
      <c r="G33" s="794">
        <f>G34+G35+G36</f>
        <v>266112.33</v>
      </c>
      <c r="H33" s="796">
        <f>E33-G33</f>
        <v>242525.66999999998</v>
      </c>
    </row>
    <row r="34" spans="2:8" ht="33.75" hidden="1">
      <c r="B34" s="797"/>
      <c r="C34" s="798"/>
      <c r="D34" s="798"/>
      <c r="E34" s="799"/>
      <c r="F34" s="800" t="s">
        <v>1175</v>
      </c>
      <c r="G34" s="798">
        <f>138029</f>
        <v>138029</v>
      </c>
      <c r="H34" s="801"/>
    </row>
    <row r="35" spans="2:8" ht="33.75" hidden="1">
      <c r="B35" s="797"/>
      <c r="C35" s="798"/>
      <c r="D35" s="798"/>
      <c r="E35" s="799"/>
      <c r="F35" s="800" t="s">
        <v>1176</v>
      </c>
      <c r="G35" s="798">
        <f>128083.33</f>
        <v>128083.33</v>
      </c>
      <c r="H35" s="801"/>
    </row>
    <row r="36" spans="2:8" ht="18.75" hidden="1">
      <c r="B36" s="797"/>
      <c r="C36" s="798"/>
      <c r="D36" s="798"/>
      <c r="E36" s="799"/>
      <c r="F36" s="802"/>
      <c r="G36" s="801"/>
      <c r="H36" s="801"/>
    </row>
    <row r="37" spans="2:8" ht="18.75" hidden="1">
      <c r="B37" s="793" t="s">
        <v>1177</v>
      </c>
      <c r="C37" s="794">
        <f>861.936*1000</f>
        <v>861936</v>
      </c>
      <c r="D37" s="794">
        <f>1011.525*1000</f>
        <v>1011525</v>
      </c>
      <c r="E37" s="795">
        <f>1011.525*1000</f>
        <v>1011525</v>
      </c>
      <c r="F37" s="793" t="s">
        <v>1177</v>
      </c>
      <c r="G37" s="794">
        <f>G38+G39</f>
        <v>736477.79</v>
      </c>
      <c r="H37" s="796">
        <f>E37-G37</f>
        <v>275047.20999999996</v>
      </c>
    </row>
    <row r="38" spans="2:8" ht="33.75" hidden="1">
      <c r="B38" s="797"/>
      <c r="C38" s="798"/>
      <c r="D38" s="798"/>
      <c r="E38" s="799"/>
      <c r="F38" s="803" t="s">
        <v>1178</v>
      </c>
      <c r="G38" s="798">
        <v>381795.4</v>
      </c>
      <c r="H38" s="801"/>
    </row>
    <row r="39" spans="2:8" ht="18.75" hidden="1">
      <c r="B39" s="797"/>
      <c r="C39" s="804"/>
      <c r="D39" s="804"/>
      <c r="E39" s="805"/>
      <c r="F39" s="803" t="s">
        <v>1179</v>
      </c>
      <c r="G39" s="798">
        <v>354682.39</v>
      </c>
      <c r="H39" s="801"/>
    </row>
    <row r="40" spans="2:8" ht="18.75" hidden="1">
      <c r="B40" s="806"/>
      <c r="C40" s="804"/>
      <c r="D40" s="804"/>
      <c r="E40" s="805"/>
      <c r="F40" s="793"/>
      <c r="G40" s="796"/>
      <c r="H40" s="796"/>
    </row>
    <row r="41" spans="2:8" ht="18.75" hidden="1">
      <c r="B41" s="797"/>
      <c r="C41" s="804"/>
      <c r="D41" s="804"/>
      <c r="E41" s="805"/>
      <c r="F41" s="797"/>
      <c r="G41" s="798"/>
      <c r="H41" s="801"/>
    </row>
    <row r="42" spans="2:8" ht="18.75" hidden="1">
      <c r="B42" s="793" t="s">
        <v>89</v>
      </c>
      <c r="C42" s="794">
        <f>71.159*1000</f>
        <v>71159</v>
      </c>
      <c r="D42" s="794">
        <f>76.47*1000</f>
        <v>76470</v>
      </c>
      <c r="E42" s="795">
        <f>76.391*1000</f>
        <v>76391</v>
      </c>
      <c r="F42" s="793" t="s">
        <v>89</v>
      </c>
      <c r="G42" s="794">
        <f>G43+G44+G45</f>
        <v>53700</v>
      </c>
      <c r="H42" s="796">
        <f>E42-G42</f>
        <v>22691</v>
      </c>
    </row>
    <row r="43" spans="2:8" ht="18.75" hidden="1">
      <c r="B43" s="797"/>
      <c r="C43" s="804"/>
      <c r="D43" s="804"/>
      <c r="E43" s="805"/>
      <c r="F43" s="803" t="s">
        <v>1180</v>
      </c>
      <c r="G43" s="798">
        <v>48600</v>
      </c>
      <c r="H43" s="801"/>
    </row>
    <row r="44" spans="2:8" ht="18.75" hidden="1">
      <c r="B44" s="806"/>
      <c r="C44" s="804"/>
      <c r="D44" s="804"/>
      <c r="E44" s="805"/>
      <c r="F44" s="800" t="s">
        <v>1181</v>
      </c>
      <c r="G44" s="798">
        <v>2550</v>
      </c>
      <c r="H44" s="801"/>
    </row>
    <row r="45" spans="2:8" ht="33.75" hidden="1">
      <c r="B45" s="806"/>
      <c r="C45" s="804"/>
      <c r="D45" s="804"/>
      <c r="E45" s="805"/>
      <c r="F45" s="800" t="s">
        <v>1182</v>
      </c>
      <c r="G45" s="798">
        <v>2550</v>
      </c>
      <c r="H45" s="801"/>
    </row>
  </sheetData>
  <mergeCells count="13">
    <mergeCell ref="F5:F6"/>
    <mergeCell ref="A3:D3"/>
    <mergeCell ref="A5:A7"/>
    <mergeCell ref="B5:B7"/>
    <mergeCell ref="C5:C7"/>
    <mergeCell ref="D5:D6"/>
    <mergeCell ref="A21:A24"/>
    <mergeCell ref="B21:B24"/>
    <mergeCell ref="E5:E6"/>
    <mergeCell ref="A12:A19"/>
    <mergeCell ref="B12:B19"/>
    <mergeCell ref="A8:A11"/>
    <mergeCell ref="B8:B11"/>
  </mergeCells>
  <phoneticPr fontId="73" type="noConversion"/>
  <pageMargins left="0.39370078740157483" right="0.39370078740157483" top="0.78740157480314965" bottom="0.59055118110236227" header="0.31496062992125984" footer="0.51181102362204722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workbookViewId="0">
      <selection activeCell="S70" sqref="S70"/>
    </sheetView>
  </sheetViews>
  <sheetFormatPr defaultRowHeight="15"/>
  <cols>
    <col min="1" max="1" width="2.85546875" style="1018" customWidth="1"/>
    <col min="2" max="2" width="85.85546875" customWidth="1"/>
    <col min="3" max="3" width="0" style="1016" hidden="1" customWidth="1"/>
    <col min="4" max="4" width="34.140625" style="1017" hidden="1" customWidth="1"/>
    <col min="5" max="5" width="0" style="422" hidden="1" customWidth="1"/>
    <col min="6" max="6" width="62.5703125" style="943" hidden="1" customWidth="1"/>
    <col min="7" max="15" width="0" style="422" hidden="1" customWidth="1"/>
    <col min="16" max="16" width="8" style="422" hidden="1" customWidth="1"/>
    <col min="17" max="17" width="9.28515625" style="422" hidden="1" customWidth="1"/>
    <col min="18" max="18" width="12.7109375" style="422" bestFit="1" customWidth="1"/>
    <col min="19" max="19" width="20.140625" style="422" customWidth="1"/>
    <col min="20" max="20" width="10" bestFit="1" customWidth="1"/>
  </cols>
  <sheetData>
    <row r="1" spans="2:21">
      <c r="B1" s="939"/>
      <c r="C1" s="940"/>
      <c r="D1" s="941"/>
      <c r="E1" s="942"/>
      <c r="G1" s="944">
        <f>G4+G15-[36]ВИТРАТИ!Q56</f>
        <v>0</v>
      </c>
      <c r="H1" s="944">
        <f>H4+H15-[36]ВИТРАТИ!R56</f>
        <v>0</v>
      </c>
      <c r="I1" s="944">
        <f>I4+I15-[36]ВИТРАТИ!S56</f>
        <v>0</v>
      </c>
      <c r="J1" s="944">
        <f>J4+J15-[36]ВИТРАТИ!T56</f>
        <v>0</v>
      </c>
      <c r="K1" s="944">
        <f>K4+K15-[36]ВИТРАТИ!U56</f>
        <v>0</v>
      </c>
      <c r="L1" s="944">
        <f>L4+L15-[36]ВИТРАТИ!V56</f>
        <v>0</v>
      </c>
      <c r="M1" s="944">
        <f>M4+M15-[36]ВИТРАТИ!W56</f>
        <v>0</v>
      </c>
      <c r="N1" s="944">
        <f>N4+N15-[36]ВИТРАТИ!X56</f>
        <v>0</v>
      </c>
      <c r="O1" s="944">
        <f>O4+O15-[36]ВИТРАТИ!Y56</f>
        <v>0</v>
      </c>
      <c r="P1" s="944">
        <f>P4+P15-[36]ВИТРАТИ!Z56</f>
        <v>0</v>
      </c>
      <c r="Q1" s="944">
        <f>Q4+Q15-[36]ВИТРАТИ!AA56</f>
        <v>0</v>
      </c>
      <c r="R1" s="944"/>
      <c r="S1" s="944">
        <f>S4-S9+S15+S71</f>
        <v>3102366.26</v>
      </c>
      <c r="T1" s="782">
        <f>T2</f>
        <v>4190264</v>
      </c>
      <c r="U1" s="407">
        <f>S1/T1</f>
        <v>0.74037489284684688</v>
      </c>
    </row>
    <row r="2" spans="2:21">
      <c r="B2" s="945" t="s">
        <v>185</v>
      </c>
      <c r="C2" s="946"/>
      <c r="D2" s="947"/>
      <c r="E2" s="948"/>
      <c r="F2" s="949"/>
      <c r="G2" s="950"/>
      <c r="H2" s="950"/>
      <c r="I2" s="950"/>
      <c r="J2" s="950"/>
      <c r="K2" s="950"/>
      <c r="L2" s="950"/>
      <c r="M2" s="950"/>
      <c r="N2" s="950"/>
      <c r="O2" s="951"/>
      <c r="P2" s="950"/>
      <c r="Q2" s="950"/>
      <c r="R2" s="951"/>
      <c r="S2" s="950">
        <f>S4+S15</f>
        <v>3765636.7399999998</v>
      </c>
      <c r="T2" s="782">
        <f ca="1">'!!! ФІНАНСОВИЙ ПЛАН ЗМІНИ !!!'!E91</f>
        <v>4190264</v>
      </c>
      <c r="U2" s="407">
        <f>S2/T2</f>
        <v>0.89866336345394937</v>
      </c>
    </row>
    <row r="3" spans="2:21">
      <c r="B3" s="945" t="s">
        <v>360</v>
      </c>
      <c r="C3" s="946" t="s">
        <v>361</v>
      </c>
      <c r="D3" s="947" t="s">
        <v>362</v>
      </c>
      <c r="E3" s="948"/>
      <c r="F3" s="949" t="s">
        <v>363</v>
      </c>
      <c r="G3" s="948" t="s">
        <v>893</v>
      </c>
      <c r="H3" s="948" t="s">
        <v>1290</v>
      </c>
      <c r="I3" s="948" t="s">
        <v>1291</v>
      </c>
      <c r="J3" s="948" t="s">
        <v>1292</v>
      </c>
      <c r="K3" s="948" t="s">
        <v>1293</v>
      </c>
      <c r="L3" s="948" t="s">
        <v>1294</v>
      </c>
      <c r="M3" s="948" t="s">
        <v>894</v>
      </c>
      <c r="N3" s="948" t="s">
        <v>1296</v>
      </c>
      <c r="O3" s="948" t="s">
        <v>1297</v>
      </c>
      <c r="P3" s="948" t="s">
        <v>1298</v>
      </c>
      <c r="Q3" s="948" t="s">
        <v>1299</v>
      </c>
      <c r="R3" s="952" t="s">
        <v>1300</v>
      </c>
      <c r="S3" s="948" t="s">
        <v>364</v>
      </c>
      <c r="U3" s="407"/>
    </row>
    <row r="4" spans="2:21">
      <c r="B4" s="953"/>
      <c r="C4" s="954"/>
      <c r="D4" s="955"/>
      <c r="E4" s="956"/>
      <c r="F4" s="957"/>
      <c r="G4" s="958">
        <f>SUM(G5:G13)</f>
        <v>0</v>
      </c>
      <c r="H4" s="958">
        <f t="shared" ref="H4:S4" si="0">SUM(H5:H13)</f>
        <v>0</v>
      </c>
      <c r="I4" s="958">
        <f t="shared" si="0"/>
        <v>0</v>
      </c>
      <c r="J4" s="958">
        <f t="shared" si="0"/>
        <v>0</v>
      </c>
      <c r="K4" s="958">
        <f t="shared" si="0"/>
        <v>383413</v>
      </c>
      <c r="L4" s="958">
        <f t="shared" si="0"/>
        <v>0</v>
      </c>
      <c r="M4" s="958">
        <f t="shared" si="0"/>
        <v>0</v>
      </c>
      <c r="N4" s="958">
        <f t="shared" si="0"/>
        <v>238000</v>
      </c>
      <c r="O4" s="958">
        <f t="shared" si="0"/>
        <v>0</v>
      </c>
      <c r="P4" s="958">
        <f t="shared" si="0"/>
        <v>0</v>
      </c>
      <c r="Q4" s="958">
        <f t="shared" si="0"/>
        <v>0</v>
      </c>
      <c r="R4" s="958">
        <f t="shared" si="0"/>
        <v>2947433.6799999997</v>
      </c>
      <c r="S4" s="958">
        <f t="shared" si="0"/>
        <v>3568846.6799999997</v>
      </c>
      <c r="T4" s="782">
        <f ca="1">'!!! ФІНАНСОВИЙ ПЛАН ЗМІНИ !!!'!E74</f>
        <v>3940264</v>
      </c>
      <c r="U4" s="407">
        <f>S4/T4</f>
        <v>0.90573796070517099</v>
      </c>
    </row>
    <row r="5" spans="2:21">
      <c r="B5" s="959" t="s">
        <v>365</v>
      </c>
      <c r="C5" s="960" t="s">
        <v>366</v>
      </c>
      <c r="D5" s="961" t="s">
        <v>367</v>
      </c>
      <c r="E5" s="962">
        <v>44704</v>
      </c>
      <c r="F5" s="963" t="s">
        <v>368</v>
      </c>
      <c r="G5" s="964"/>
      <c r="H5" s="964"/>
      <c r="I5" s="964"/>
      <c r="J5" s="964"/>
      <c r="K5" s="964">
        <v>323423</v>
      </c>
      <c r="L5" s="964"/>
      <c r="M5" s="964"/>
      <c r="N5" s="964"/>
      <c r="O5" s="964"/>
      <c r="P5" s="964"/>
      <c r="Q5" s="964"/>
      <c r="R5" s="965"/>
      <c r="S5" s="964">
        <f t="shared" ref="S5:S12" si="1">SUM(G5:R5)</f>
        <v>323423</v>
      </c>
    </row>
    <row r="6" spans="2:21">
      <c r="B6" s="959" t="s">
        <v>369</v>
      </c>
      <c r="C6" s="960" t="s">
        <v>370</v>
      </c>
      <c r="D6" s="961" t="s">
        <v>371</v>
      </c>
      <c r="E6" s="962">
        <v>44701</v>
      </c>
      <c r="F6" s="963" t="s">
        <v>368</v>
      </c>
      <c r="G6" s="964"/>
      <c r="H6" s="964"/>
      <c r="I6" s="964"/>
      <c r="J6" s="964"/>
      <c r="K6" s="964">
        <v>59990</v>
      </c>
      <c r="L6" s="964"/>
      <c r="M6" s="964"/>
      <c r="N6" s="964"/>
      <c r="O6" s="964"/>
      <c r="P6" s="964"/>
      <c r="Q6" s="964"/>
      <c r="R6" s="965"/>
      <c r="S6" s="964">
        <f t="shared" si="1"/>
        <v>59990</v>
      </c>
    </row>
    <row r="7" spans="2:21">
      <c r="B7" s="966" t="s">
        <v>372</v>
      </c>
      <c r="C7" s="961" t="s">
        <v>373</v>
      </c>
      <c r="D7" s="961" t="s">
        <v>367</v>
      </c>
      <c r="E7" s="962">
        <v>44781</v>
      </c>
      <c r="F7" s="967" t="s">
        <v>374</v>
      </c>
      <c r="G7" s="964"/>
      <c r="H7" s="964"/>
      <c r="I7" s="964"/>
      <c r="J7" s="964"/>
      <c r="K7" s="964"/>
      <c r="L7" s="964"/>
      <c r="M7" s="964"/>
      <c r="N7" s="964">
        <f>189300</f>
        <v>189300</v>
      </c>
      <c r="O7" s="964"/>
      <c r="P7" s="964"/>
      <c r="Q7" s="965"/>
      <c r="R7" s="965"/>
      <c r="S7" s="964">
        <f t="shared" si="1"/>
        <v>189300</v>
      </c>
    </row>
    <row r="8" spans="2:21">
      <c r="B8" s="966" t="s">
        <v>375</v>
      </c>
      <c r="C8" s="968"/>
      <c r="D8" s="969"/>
      <c r="E8" s="970"/>
      <c r="F8" s="967" t="s">
        <v>376</v>
      </c>
      <c r="G8" s="964"/>
      <c r="H8" s="964"/>
      <c r="I8" s="964"/>
      <c r="J8" s="964"/>
      <c r="K8" s="964"/>
      <c r="L8" s="964"/>
      <c r="M8" s="964"/>
      <c r="N8" s="964">
        <f>48700</f>
        <v>48700</v>
      </c>
      <c r="O8" s="964"/>
      <c r="P8" s="964"/>
      <c r="Q8" s="965"/>
      <c r="R8" s="965"/>
      <c r="S8" s="964">
        <f t="shared" si="1"/>
        <v>48700</v>
      </c>
    </row>
    <row r="9" spans="2:21" ht="18.75">
      <c r="B9" s="1019" t="s">
        <v>462</v>
      </c>
      <c r="C9" s="968"/>
      <c r="D9" s="969"/>
      <c r="E9" s="970"/>
      <c r="F9" s="967"/>
      <c r="G9" s="964"/>
      <c r="H9" s="964"/>
      <c r="I9" s="964"/>
      <c r="J9" s="964"/>
      <c r="K9" s="964"/>
      <c r="L9" s="964"/>
      <c r="M9" s="964"/>
      <c r="N9" s="964"/>
      <c r="O9" s="964"/>
      <c r="P9" s="964"/>
      <c r="Q9" s="965"/>
      <c r="R9" s="965">
        <v>1927183.68</v>
      </c>
      <c r="S9" s="964">
        <f t="shared" si="1"/>
        <v>1927183.68</v>
      </c>
    </row>
    <row r="10" spans="2:21" ht="22.5">
      <c r="B10" s="533" t="s">
        <v>973</v>
      </c>
      <c r="C10" s="968"/>
      <c r="D10" s="969"/>
      <c r="E10" s="970"/>
      <c r="F10" s="967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5"/>
      <c r="R10" s="965">
        <v>1020250</v>
      </c>
      <c r="S10" s="964">
        <f t="shared" si="1"/>
        <v>1020250</v>
      </c>
    </row>
    <row r="11" spans="2:21">
      <c r="B11" s="971"/>
      <c r="C11" s="968"/>
      <c r="D11" s="969"/>
      <c r="E11" s="970"/>
      <c r="F11" s="967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5"/>
      <c r="R11" s="965"/>
      <c r="S11" s="964">
        <f t="shared" si="1"/>
        <v>0</v>
      </c>
    </row>
    <row r="12" spans="2:21">
      <c r="B12" s="971"/>
      <c r="C12" s="968"/>
      <c r="D12" s="969"/>
      <c r="E12" s="970"/>
      <c r="F12" s="967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5"/>
      <c r="R12" s="965"/>
      <c r="S12" s="964">
        <f t="shared" si="1"/>
        <v>0</v>
      </c>
    </row>
    <row r="13" spans="2:21">
      <c r="B13" s="945" t="s">
        <v>377</v>
      </c>
      <c r="C13" s="946"/>
      <c r="D13" s="947"/>
      <c r="E13" s="948"/>
      <c r="F13" s="949"/>
      <c r="G13" s="964"/>
      <c r="H13" s="964"/>
      <c r="I13" s="964"/>
      <c r="J13" s="964"/>
      <c r="K13" s="964"/>
      <c r="L13" s="964"/>
      <c r="M13" s="964"/>
      <c r="N13" s="964"/>
      <c r="O13" s="965"/>
      <c r="P13" s="964"/>
      <c r="Q13" s="964"/>
      <c r="R13" s="965"/>
      <c r="S13" s="964"/>
    </row>
    <row r="14" spans="2:21">
      <c r="B14" s="972" t="s">
        <v>360</v>
      </c>
      <c r="C14" s="973" t="s">
        <v>361</v>
      </c>
      <c r="D14" s="974" t="s">
        <v>362</v>
      </c>
      <c r="E14" s="975"/>
      <c r="F14" s="976" t="s">
        <v>363</v>
      </c>
      <c r="G14" s="975" t="s">
        <v>893</v>
      </c>
      <c r="H14" s="975" t="s">
        <v>1290</v>
      </c>
      <c r="I14" s="975" t="s">
        <v>1291</v>
      </c>
      <c r="J14" s="975" t="s">
        <v>1292</v>
      </c>
      <c r="K14" s="975" t="s">
        <v>1293</v>
      </c>
      <c r="L14" s="975" t="s">
        <v>1294</v>
      </c>
      <c r="M14" s="975" t="s">
        <v>894</v>
      </c>
      <c r="N14" s="975" t="s">
        <v>1296</v>
      </c>
      <c r="O14" s="975" t="s">
        <v>1297</v>
      </c>
      <c r="P14" s="975" t="s">
        <v>1298</v>
      </c>
      <c r="Q14" s="975" t="s">
        <v>1299</v>
      </c>
      <c r="R14" s="977" t="s">
        <v>1300</v>
      </c>
      <c r="S14" s="975" t="s">
        <v>364</v>
      </c>
    </row>
    <row r="15" spans="2:21">
      <c r="B15" s="978"/>
      <c r="C15" s="979"/>
      <c r="D15" s="980"/>
      <c r="E15" s="981"/>
      <c r="F15" s="982"/>
      <c r="G15" s="983">
        <f>SUM(G16:G68)</f>
        <v>37350</v>
      </c>
      <c r="H15" s="983">
        <f t="shared" ref="H15:S15" si="2">SUM(H16:H68)</f>
        <v>3150</v>
      </c>
      <c r="I15" s="983">
        <f t="shared" si="2"/>
        <v>3410.02</v>
      </c>
      <c r="J15" s="983">
        <f t="shared" si="2"/>
        <v>7800</v>
      </c>
      <c r="K15" s="983">
        <f t="shared" si="2"/>
        <v>19550</v>
      </c>
      <c r="L15" s="983">
        <f t="shared" si="2"/>
        <v>77843.040000000008</v>
      </c>
      <c r="M15" s="983">
        <f t="shared" si="2"/>
        <v>9399</v>
      </c>
      <c r="N15" s="983">
        <f t="shared" si="2"/>
        <v>6700</v>
      </c>
      <c r="O15" s="983">
        <f t="shared" si="2"/>
        <v>31588</v>
      </c>
      <c r="P15" s="983">
        <f t="shared" si="2"/>
        <v>0</v>
      </c>
      <c r="Q15" s="983">
        <f t="shared" si="2"/>
        <v>0</v>
      </c>
      <c r="R15" s="983">
        <f t="shared" si="2"/>
        <v>0</v>
      </c>
      <c r="S15" s="983">
        <f t="shared" si="2"/>
        <v>196790.06</v>
      </c>
    </row>
    <row r="16" spans="2:21">
      <c r="B16" s="984" t="s">
        <v>378</v>
      </c>
      <c r="C16" s="985" t="s">
        <v>379</v>
      </c>
      <c r="D16" s="986" t="s">
        <v>380</v>
      </c>
      <c r="E16" s="987">
        <v>44582</v>
      </c>
      <c r="F16" s="988" t="s">
        <v>381</v>
      </c>
      <c r="G16" s="965">
        <f>10049.15-2249.15</f>
        <v>7800</v>
      </c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>
        <f t="shared" ref="S16:S22" si="3">SUM(G16:R16)</f>
        <v>7800</v>
      </c>
    </row>
    <row r="17" spans="2:19">
      <c r="B17" s="984" t="s">
        <v>382</v>
      </c>
      <c r="C17" s="985" t="s">
        <v>383</v>
      </c>
      <c r="D17" s="986" t="s">
        <v>384</v>
      </c>
      <c r="E17" s="987">
        <v>44581</v>
      </c>
      <c r="F17" s="988" t="s">
        <v>385</v>
      </c>
      <c r="G17" s="965">
        <f>200*31.5</f>
        <v>6300</v>
      </c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>
        <f t="shared" si="3"/>
        <v>6300</v>
      </c>
    </row>
    <row r="18" spans="2:19">
      <c r="B18" s="984" t="s">
        <v>386</v>
      </c>
      <c r="C18" s="985" t="s">
        <v>383</v>
      </c>
      <c r="D18" s="986" t="s">
        <v>384</v>
      </c>
      <c r="E18" s="987">
        <v>44581</v>
      </c>
      <c r="F18" s="988" t="s">
        <v>385</v>
      </c>
      <c r="G18" s="965">
        <f>12*200</f>
        <v>2400</v>
      </c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>
        <f t="shared" si="3"/>
        <v>2400</v>
      </c>
    </row>
    <row r="19" spans="2:19">
      <c r="B19" s="984" t="s">
        <v>387</v>
      </c>
      <c r="C19" s="985" t="s">
        <v>383</v>
      </c>
      <c r="D19" s="986" t="s">
        <v>384</v>
      </c>
      <c r="E19" s="987">
        <v>44581</v>
      </c>
      <c r="F19" s="988" t="s">
        <v>385</v>
      </c>
      <c r="G19" s="965">
        <f>120*50</f>
        <v>6000</v>
      </c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>
        <f t="shared" si="3"/>
        <v>6000</v>
      </c>
    </row>
    <row r="20" spans="2:19">
      <c r="B20" s="989" t="s">
        <v>388</v>
      </c>
      <c r="C20" s="990" t="s">
        <v>383</v>
      </c>
      <c r="D20" s="991" t="s">
        <v>384</v>
      </c>
      <c r="E20" s="992">
        <v>44581</v>
      </c>
      <c r="F20" s="988" t="s">
        <v>385</v>
      </c>
      <c r="G20" s="993">
        <f>165*90</f>
        <v>14850</v>
      </c>
      <c r="H20" s="993"/>
      <c r="I20" s="993"/>
      <c r="J20" s="993"/>
      <c r="K20" s="993"/>
      <c r="L20" s="993"/>
      <c r="M20" s="993"/>
      <c r="N20" s="993"/>
      <c r="O20" s="993"/>
      <c r="P20" s="993"/>
      <c r="Q20" s="965"/>
      <c r="R20" s="965"/>
      <c r="S20" s="965">
        <f t="shared" si="3"/>
        <v>14850</v>
      </c>
    </row>
    <row r="21" spans="2:19">
      <c r="B21" s="989" t="s">
        <v>389</v>
      </c>
      <c r="C21" s="990" t="s">
        <v>390</v>
      </c>
      <c r="D21" s="991" t="s">
        <v>391</v>
      </c>
      <c r="E21" s="992">
        <v>44607</v>
      </c>
      <c r="F21" s="988" t="s">
        <v>392</v>
      </c>
      <c r="G21" s="993"/>
      <c r="H21" s="993">
        <f>3150</f>
        <v>3150</v>
      </c>
      <c r="I21" s="993"/>
      <c r="J21" s="993"/>
      <c r="K21" s="993"/>
      <c r="L21" s="993"/>
      <c r="M21" s="993"/>
      <c r="N21" s="993"/>
      <c r="O21" s="993"/>
      <c r="P21" s="993"/>
      <c r="Q21" s="965"/>
      <c r="R21" s="965"/>
      <c r="S21" s="965">
        <f t="shared" si="3"/>
        <v>3150</v>
      </c>
    </row>
    <row r="22" spans="2:19">
      <c r="B22" s="989" t="s">
        <v>393</v>
      </c>
      <c r="C22" s="990" t="s">
        <v>394</v>
      </c>
      <c r="D22" s="991" t="s">
        <v>395</v>
      </c>
      <c r="E22" s="992">
        <v>44630</v>
      </c>
      <c r="F22" s="994" t="s">
        <v>396</v>
      </c>
      <c r="G22" s="993"/>
      <c r="H22" s="993"/>
      <c r="I22" s="993">
        <f>2*430</f>
        <v>860</v>
      </c>
      <c r="J22" s="993"/>
      <c r="K22" s="993"/>
      <c r="L22" s="993"/>
      <c r="M22" s="993"/>
      <c r="N22" s="993"/>
      <c r="O22" s="993"/>
      <c r="P22" s="993"/>
      <c r="Q22" s="965"/>
      <c r="R22" s="965"/>
      <c r="S22" s="965">
        <f t="shared" si="3"/>
        <v>860</v>
      </c>
    </row>
    <row r="23" spans="2:19">
      <c r="B23" s="989" t="s">
        <v>397</v>
      </c>
      <c r="C23" s="990" t="s">
        <v>398</v>
      </c>
      <c r="D23" s="991" t="s">
        <v>399</v>
      </c>
      <c r="E23" s="992">
        <v>44644</v>
      </c>
      <c r="F23" s="994" t="s">
        <v>376</v>
      </c>
      <c r="G23" s="993"/>
      <c r="H23" s="993"/>
      <c r="I23" s="995">
        <f>2550.02</f>
        <v>2550.02</v>
      </c>
      <c r="J23" s="993"/>
      <c r="K23" s="993"/>
      <c r="L23" s="993"/>
      <c r="M23" s="993"/>
      <c r="N23" s="993"/>
      <c r="O23" s="993"/>
      <c r="P23" s="993"/>
      <c r="Q23" s="965"/>
      <c r="R23" s="965"/>
      <c r="S23" s="965">
        <f t="shared" ref="S23:S31" si="4">SUM(G23:R23)</f>
        <v>2550.02</v>
      </c>
    </row>
    <row r="24" spans="2:19">
      <c r="B24" s="989" t="s">
        <v>400</v>
      </c>
      <c r="C24" s="990" t="s">
        <v>383</v>
      </c>
      <c r="D24" s="991" t="s">
        <v>401</v>
      </c>
      <c r="E24" s="992">
        <v>44670</v>
      </c>
      <c r="F24" s="994" t="s">
        <v>376</v>
      </c>
      <c r="G24" s="993"/>
      <c r="H24" s="993"/>
      <c r="I24" s="995"/>
      <c r="J24" s="993">
        <v>1900</v>
      </c>
      <c r="K24" s="993"/>
      <c r="L24" s="993"/>
      <c r="M24" s="993"/>
      <c r="N24" s="993"/>
      <c r="O24" s="993"/>
      <c r="P24" s="993"/>
      <c r="Q24" s="965"/>
      <c r="R24" s="965"/>
      <c r="S24" s="965">
        <f t="shared" si="4"/>
        <v>1900</v>
      </c>
    </row>
    <row r="25" spans="2:19">
      <c r="B25" s="989" t="s">
        <v>402</v>
      </c>
      <c r="C25" s="990" t="s">
        <v>383</v>
      </c>
      <c r="D25" s="991" t="s">
        <v>401</v>
      </c>
      <c r="E25" s="992">
        <v>44670</v>
      </c>
      <c r="F25" s="994" t="s">
        <v>376</v>
      </c>
      <c r="G25" s="993"/>
      <c r="H25" s="993"/>
      <c r="I25" s="995"/>
      <c r="J25" s="993">
        <v>1650</v>
      </c>
      <c r="K25" s="993"/>
      <c r="L25" s="993"/>
      <c r="M25" s="993"/>
      <c r="N25" s="993"/>
      <c r="O25" s="993"/>
      <c r="P25" s="993"/>
      <c r="Q25" s="965"/>
      <c r="R25" s="965"/>
      <c r="S25" s="965">
        <f t="shared" si="4"/>
        <v>1650</v>
      </c>
    </row>
    <row r="26" spans="2:19">
      <c r="B26" s="989" t="s">
        <v>403</v>
      </c>
      <c r="C26" s="990" t="s">
        <v>383</v>
      </c>
      <c r="D26" s="991" t="s">
        <v>401</v>
      </c>
      <c r="E26" s="992">
        <v>44670</v>
      </c>
      <c r="F26" s="994" t="s">
        <v>376</v>
      </c>
      <c r="G26" s="993"/>
      <c r="H26" s="993"/>
      <c r="I26" s="995"/>
      <c r="J26" s="993">
        <v>1850</v>
      </c>
      <c r="K26" s="993"/>
      <c r="L26" s="993"/>
      <c r="M26" s="993"/>
      <c r="N26" s="993"/>
      <c r="O26" s="993"/>
      <c r="P26" s="993"/>
      <c r="Q26" s="965"/>
      <c r="R26" s="965"/>
      <c r="S26" s="965">
        <f t="shared" si="4"/>
        <v>1850</v>
      </c>
    </row>
    <row r="27" spans="2:19">
      <c r="B27" s="989" t="s">
        <v>404</v>
      </c>
      <c r="C27" s="990" t="s">
        <v>405</v>
      </c>
      <c r="D27" s="996" t="s">
        <v>406</v>
      </c>
      <c r="E27" s="992">
        <v>44671</v>
      </c>
      <c r="F27" s="988" t="s">
        <v>407</v>
      </c>
      <c r="G27" s="993"/>
      <c r="H27" s="993"/>
      <c r="I27" s="993"/>
      <c r="J27" s="993">
        <f>2400</f>
        <v>2400</v>
      </c>
      <c r="K27" s="997"/>
      <c r="L27" s="993"/>
      <c r="M27" s="993"/>
      <c r="N27" s="993"/>
      <c r="O27" s="993"/>
      <c r="P27" s="993"/>
      <c r="Q27" s="965"/>
      <c r="R27" s="965"/>
      <c r="S27" s="965">
        <f t="shared" si="4"/>
        <v>2400</v>
      </c>
    </row>
    <row r="28" spans="2:19">
      <c r="B28" s="989" t="s">
        <v>408</v>
      </c>
      <c r="C28" s="990" t="s">
        <v>409</v>
      </c>
      <c r="D28" s="991" t="s">
        <v>410</v>
      </c>
      <c r="E28" s="992">
        <v>44708</v>
      </c>
      <c r="F28" s="988" t="s">
        <v>411</v>
      </c>
      <c r="G28" s="993"/>
      <c r="H28" s="993"/>
      <c r="I28" s="993"/>
      <c r="J28" s="993"/>
      <c r="K28" s="993">
        <v>4850</v>
      </c>
      <c r="L28" s="993"/>
      <c r="M28" s="993"/>
      <c r="N28" s="993"/>
      <c r="O28" s="993"/>
      <c r="P28" s="993"/>
      <c r="Q28" s="965"/>
      <c r="R28" s="965"/>
      <c r="S28" s="965">
        <f t="shared" si="4"/>
        <v>4850</v>
      </c>
    </row>
    <row r="29" spans="2:19">
      <c r="B29" s="989" t="s">
        <v>412</v>
      </c>
      <c r="C29" s="990" t="s">
        <v>413</v>
      </c>
      <c r="D29" s="991" t="s">
        <v>367</v>
      </c>
      <c r="E29" s="992">
        <v>44701</v>
      </c>
      <c r="F29" s="988" t="s">
        <v>414</v>
      </c>
      <c r="G29" s="993"/>
      <c r="H29" s="993"/>
      <c r="I29" s="993"/>
      <c r="J29" s="993"/>
      <c r="K29" s="993">
        <v>14700</v>
      </c>
      <c r="L29" s="993"/>
      <c r="M29" s="993"/>
      <c r="N29" s="993"/>
      <c r="O29" s="993"/>
      <c r="P29" s="993"/>
      <c r="Q29" s="965"/>
      <c r="R29" s="965"/>
      <c r="S29" s="965">
        <f t="shared" si="4"/>
        <v>14700</v>
      </c>
    </row>
    <row r="30" spans="2:19">
      <c r="B30" s="989" t="s">
        <v>415</v>
      </c>
      <c r="C30" s="990" t="s">
        <v>416</v>
      </c>
      <c r="D30" s="991" t="s">
        <v>417</v>
      </c>
      <c r="E30" s="992">
        <v>44719</v>
      </c>
      <c r="F30" s="988" t="s">
        <v>392</v>
      </c>
      <c r="G30" s="993"/>
      <c r="H30" s="993"/>
      <c r="I30" s="993"/>
      <c r="J30" s="993"/>
      <c r="K30" s="993"/>
      <c r="L30" s="993">
        <f>11999*2</f>
        <v>23998</v>
      </c>
      <c r="M30" s="993"/>
      <c r="N30" s="993"/>
      <c r="O30" s="993"/>
      <c r="P30" s="993"/>
      <c r="Q30" s="965"/>
      <c r="R30" s="965"/>
      <c r="S30" s="965">
        <f t="shared" si="4"/>
        <v>23998</v>
      </c>
    </row>
    <row r="31" spans="2:19">
      <c r="B31" s="989" t="s">
        <v>418</v>
      </c>
      <c r="C31" s="990" t="s">
        <v>419</v>
      </c>
      <c r="D31" s="991" t="s">
        <v>391</v>
      </c>
      <c r="E31" s="992">
        <v>44719</v>
      </c>
      <c r="F31" s="988" t="s">
        <v>392</v>
      </c>
      <c r="G31" s="993"/>
      <c r="H31" s="993"/>
      <c r="I31" s="993"/>
      <c r="J31" s="993"/>
      <c r="K31" s="993"/>
      <c r="L31" s="993">
        <f>8899</f>
        <v>8899</v>
      </c>
      <c r="M31" s="993"/>
      <c r="N31" s="993"/>
      <c r="O31" s="993"/>
      <c r="P31" s="993"/>
      <c r="Q31" s="965"/>
      <c r="R31" s="965"/>
      <c r="S31" s="965">
        <f t="shared" si="4"/>
        <v>8899</v>
      </c>
    </row>
    <row r="32" spans="2:19">
      <c r="B32" s="989" t="s">
        <v>420</v>
      </c>
      <c r="C32" s="990" t="s">
        <v>421</v>
      </c>
      <c r="D32" s="991" t="s">
        <v>422</v>
      </c>
      <c r="E32" s="992">
        <v>44719</v>
      </c>
      <c r="F32" s="988" t="s">
        <v>423</v>
      </c>
      <c r="G32" s="993"/>
      <c r="H32" s="993"/>
      <c r="I32" s="993"/>
      <c r="J32" s="993"/>
      <c r="K32" s="993"/>
      <c r="L32" s="993">
        <v>3558</v>
      </c>
      <c r="M32" s="993"/>
      <c r="N32" s="993"/>
      <c r="O32" s="993"/>
      <c r="P32" s="993"/>
      <c r="Q32" s="965"/>
      <c r="R32" s="965"/>
      <c r="S32" s="965">
        <f>SUM(G32:R32)</f>
        <v>3558</v>
      </c>
    </row>
    <row r="33" spans="2:19">
      <c r="B33" s="989" t="s">
        <v>424</v>
      </c>
      <c r="C33" s="990" t="s">
        <v>425</v>
      </c>
      <c r="D33" s="991" t="s">
        <v>391</v>
      </c>
      <c r="E33" s="992">
        <v>44721</v>
      </c>
      <c r="F33" s="988" t="s">
        <v>426</v>
      </c>
      <c r="G33" s="993"/>
      <c r="H33" s="993"/>
      <c r="I33" s="993"/>
      <c r="J33" s="993"/>
      <c r="K33" s="993"/>
      <c r="L33" s="993">
        <f>11899</f>
        <v>11899</v>
      </c>
      <c r="M33" s="993"/>
      <c r="N33" s="993"/>
      <c r="O33" s="993"/>
      <c r="P33" s="993"/>
      <c r="Q33" s="965"/>
      <c r="R33" s="965"/>
      <c r="S33" s="965">
        <f>SUM(G33:R33)</f>
        <v>11899</v>
      </c>
    </row>
    <row r="34" spans="2:19">
      <c r="B34" s="991" t="s">
        <v>427</v>
      </c>
      <c r="C34" s="990" t="s">
        <v>428</v>
      </c>
      <c r="D34" s="991" t="s">
        <v>429</v>
      </c>
      <c r="E34" s="992">
        <v>44727</v>
      </c>
      <c r="F34" s="988" t="s">
        <v>430</v>
      </c>
      <c r="G34" s="993"/>
      <c r="H34" s="993"/>
      <c r="I34" s="993"/>
      <c r="J34" s="993"/>
      <c r="K34" s="993"/>
      <c r="L34" s="993">
        <f>2250</f>
        <v>2250</v>
      </c>
      <c r="M34" s="993"/>
      <c r="N34" s="993"/>
      <c r="O34" s="993"/>
      <c r="P34" s="993"/>
      <c r="Q34" s="965"/>
      <c r="R34" s="965"/>
      <c r="S34" s="965">
        <f t="shared" ref="S34:S68" si="5">SUM(G34:R34)</f>
        <v>2250</v>
      </c>
    </row>
    <row r="35" spans="2:19">
      <c r="B35" s="991" t="s">
        <v>431</v>
      </c>
      <c r="C35" s="990" t="s">
        <v>432</v>
      </c>
      <c r="D35" s="991" t="s">
        <v>410</v>
      </c>
      <c r="E35" s="992">
        <v>44726</v>
      </c>
      <c r="F35" s="988" t="s">
        <v>433</v>
      </c>
      <c r="G35" s="993"/>
      <c r="H35" s="993"/>
      <c r="I35" s="993"/>
      <c r="J35" s="993"/>
      <c r="K35" s="993"/>
      <c r="L35" s="993">
        <f>2850</f>
        <v>2850</v>
      </c>
      <c r="M35" s="993"/>
      <c r="N35" s="993"/>
      <c r="O35" s="993"/>
      <c r="P35" s="993"/>
      <c r="Q35" s="965"/>
      <c r="R35" s="965"/>
      <c r="S35" s="965">
        <f t="shared" si="5"/>
        <v>2850</v>
      </c>
    </row>
    <row r="36" spans="2:19">
      <c r="B36" s="991" t="s">
        <v>434</v>
      </c>
      <c r="C36" s="998" t="s">
        <v>435</v>
      </c>
      <c r="D36" s="999" t="s">
        <v>436</v>
      </c>
      <c r="E36" s="1000">
        <v>44728</v>
      </c>
      <c r="F36" s="988" t="s">
        <v>437</v>
      </c>
      <c r="G36" s="993"/>
      <c r="H36" s="993"/>
      <c r="I36" s="993"/>
      <c r="J36" s="993"/>
      <c r="K36" s="993"/>
      <c r="L36" s="993">
        <v>4289.04</v>
      </c>
      <c r="M36" s="993"/>
      <c r="N36" s="993"/>
      <c r="O36" s="993"/>
      <c r="P36" s="993"/>
      <c r="Q36" s="965"/>
      <c r="R36" s="965"/>
      <c r="S36" s="965">
        <f t="shared" si="5"/>
        <v>4289.04</v>
      </c>
    </row>
    <row r="37" spans="2:19">
      <c r="B37" s="991" t="s">
        <v>438</v>
      </c>
      <c r="C37" s="990" t="s">
        <v>439</v>
      </c>
      <c r="D37" s="991" t="s">
        <v>440</v>
      </c>
      <c r="E37" s="992">
        <v>44734</v>
      </c>
      <c r="F37" s="988" t="s">
        <v>441</v>
      </c>
      <c r="G37" s="993"/>
      <c r="H37" s="993"/>
      <c r="I37" s="993"/>
      <c r="J37" s="993"/>
      <c r="K37" s="993"/>
      <c r="L37" s="993">
        <v>7350</v>
      </c>
      <c r="M37" s="993"/>
      <c r="N37" s="993"/>
      <c r="O37" s="993"/>
      <c r="P37" s="993"/>
      <c r="Q37" s="965"/>
      <c r="R37" s="965"/>
      <c r="S37" s="965">
        <f t="shared" si="5"/>
        <v>7350</v>
      </c>
    </row>
    <row r="38" spans="2:19">
      <c r="B38" s="1001" t="s">
        <v>442</v>
      </c>
      <c r="C38" s="1002" t="s">
        <v>443</v>
      </c>
      <c r="D38" s="1003" t="s">
        <v>429</v>
      </c>
      <c r="E38" s="1004">
        <v>44727</v>
      </c>
      <c r="F38" s="963" t="s">
        <v>444</v>
      </c>
      <c r="G38" s="1005"/>
      <c r="H38" s="1005"/>
      <c r="I38" s="1005"/>
      <c r="J38" s="1005"/>
      <c r="K38" s="1005"/>
      <c r="L38" s="1005">
        <f>12750</f>
        <v>12750</v>
      </c>
      <c r="M38" s="993"/>
      <c r="N38" s="993"/>
      <c r="O38" s="993"/>
      <c r="P38" s="993"/>
      <c r="Q38" s="965"/>
      <c r="R38" s="965"/>
      <c r="S38" s="965">
        <f t="shared" si="5"/>
        <v>12750</v>
      </c>
    </row>
    <row r="39" spans="2:19">
      <c r="B39" s="989" t="s">
        <v>445</v>
      </c>
      <c r="C39" s="998" t="s">
        <v>446</v>
      </c>
      <c r="D39" s="999" t="s">
        <v>447</v>
      </c>
      <c r="E39" s="1000">
        <v>44748</v>
      </c>
      <c r="F39" s="967" t="s">
        <v>448</v>
      </c>
      <c r="G39" s="993"/>
      <c r="H39" s="993"/>
      <c r="I39" s="993"/>
      <c r="J39" s="993"/>
      <c r="K39" s="993"/>
      <c r="L39" s="993"/>
      <c r="M39" s="993">
        <f>9399</f>
        <v>9399</v>
      </c>
      <c r="N39" s="993"/>
      <c r="O39" s="993"/>
      <c r="P39" s="993"/>
      <c r="Q39" s="965"/>
      <c r="R39" s="965"/>
      <c r="S39" s="965">
        <f t="shared" si="5"/>
        <v>9399</v>
      </c>
    </row>
    <row r="40" spans="2:19">
      <c r="B40" s="949" t="s">
        <v>449</v>
      </c>
      <c r="C40" s="999" t="s">
        <v>450</v>
      </c>
      <c r="D40" s="999" t="s">
        <v>429</v>
      </c>
      <c r="E40" s="1000">
        <v>44775</v>
      </c>
      <c r="F40" s="967" t="s">
        <v>451</v>
      </c>
      <c r="G40" s="1006"/>
      <c r="H40" s="1006"/>
      <c r="I40" s="1006"/>
      <c r="J40" s="1006"/>
      <c r="K40" s="1006"/>
      <c r="L40" s="1007"/>
      <c r="M40" s="1006"/>
      <c r="N40" s="1006">
        <f>6700</f>
        <v>6700</v>
      </c>
      <c r="O40" s="1006"/>
      <c r="P40" s="1006"/>
      <c r="Q40" s="948"/>
      <c r="R40" s="948"/>
      <c r="S40" s="965">
        <f t="shared" si="5"/>
        <v>6700</v>
      </c>
    </row>
    <row r="41" spans="2:19" ht="26.25">
      <c r="B41" s="1008" t="s">
        <v>452</v>
      </c>
      <c r="C41" s="1009"/>
      <c r="D41" s="949"/>
      <c r="E41" s="1006"/>
      <c r="F41" s="1010" t="s">
        <v>453</v>
      </c>
      <c r="G41" s="1006"/>
      <c r="H41" s="1006"/>
      <c r="I41" s="1006"/>
      <c r="J41" s="1006"/>
      <c r="K41" s="1006"/>
      <c r="L41" s="1006"/>
      <c r="M41" s="1005"/>
      <c r="N41" s="1006"/>
      <c r="O41" s="1006">
        <f>14296</f>
        <v>14296</v>
      </c>
      <c r="P41" s="1006"/>
      <c r="Q41" s="948"/>
      <c r="R41" s="948"/>
      <c r="S41" s="965">
        <f t="shared" si="5"/>
        <v>14296</v>
      </c>
    </row>
    <row r="42" spans="2:19" ht="26.25">
      <c r="B42" s="1008" t="s">
        <v>454</v>
      </c>
      <c r="C42" s="1009"/>
      <c r="D42" s="949"/>
      <c r="E42" s="1006"/>
      <c r="F42" s="1010" t="s">
        <v>455</v>
      </c>
      <c r="G42" s="1006"/>
      <c r="H42" s="1006"/>
      <c r="I42" s="1006"/>
      <c r="J42" s="1006"/>
      <c r="K42" s="1006"/>
      <c r="L42" s="1006"/>
      <c r="M42" s="1006"/>
      <c r="N42" s="1006"/>
      <c r="O42" s="1006">
        <f>6392</f>
        <v>6392</v>
      </c>
      <c r="P42" s="1006"/>
      <c r="Q42" s="948"/>
      <c r="R42" s="948"/>
      <c r="S42" s="965">
        <f t="shared" si="5"/>
        <v>6392</v>
      </c>
    </row>
    <row r="43" spans="2:19" ht="26.25">
      <c r="B43" s="1008" t="s">
        <v>456</v>
      </c>
      <c r="C43" s="1009"/>
      <c r="D43" s="949"/>
      <c r="E43" s="1006"/>
      <c r="F43" s="1008" t="s">
        <v>457</v>
      </c>
      <c r="G43" s="1006"/>
      <c r="H43" s="1006"/>
      <c r="I43" s="1006"/>
      <c r="J43" s="1006"/>
      <c r="K43" s="1006"/>
      <c r="L43" s="1006"/>
      <c r="M43" s="1006"/>
      <c r="N43" s="1006"/>
      <c r="O43" s="1006">
        <f>4100</f>
        <v>4100</v>
      </c>
      <c r="P43" s="1006"/>
      <c r="Q43" s="948"/>
      <c r="R43" s="948"/>
      <c r="S43" s="965">
        <f t="shared" si="5"/>
        <v>4100</v>
      </c>
    </row>
    <row r="44" spans="2:19">
      <c r="B44" s="1008" t="s">
        <v>458</v>
      </c>
      <c r="C44" s="1009"/>
      <c r="D44" s="949"/>
      <c r="E44" s="1006"/>
      <c r="F44" s="1008" t="s">
        <v>459</v>
      </c>
      <c r="G44" s="1006"/>
      <c r="H44" s="1006"/>
      <c r="I44" s="1006"/>
      <c r="J44" s="1006"/>
      <c r="K44" s="1006"/>
      <c r="L44" s="1006"/>
      <c r="M44" s="1006"/>
      <c r="N44" s="1006"/>
      <c r="O44" s="1006">
        <v>1000</v>
      </c>
      <c r="P44" s="1006"/>
      <c r="Q44" s="1011"/>
      <c r="R44" s="1011"/>
      <c r="S44" s="965">
        <f t="shared" si="5"/>
        <v>1000</v>
      </c>
    </row>
    <row r="45" spans="2:19">
      <c r="B45" s="1008" t="s">
        <v>460</v>
      </c>
      <c r="C45" s="1009"/>
      <c r="D45" s="949"/>
      <c r="E45" s="1006"/>
      <c r="F45" s="1008" t="s">
        <v>461</v>
      </c>
      <c r="G45" s="1006"/>
      <c r="H45" s="1006"/>
      <c r="I45" s="1006"/>
      <c r="J45" s="1006"/>
      <c r="K45" s="1006"/>
      <c r="L45" s="1006"/>
      <c r="M45" s="1006"/>
      <c r="N45" s="1006"/>
      <c r="O45" s="1006">
        <v>5800</v>
      </c>
      <c r="P45" s="1006"/>
      <c r="Q45" s="1011"/>
      <c r="R45" s="1011"/>
      <c r="S45" s="965">
        <f t="shared" si="5"/>
        <v>5800</v>
      </c>
    </row>
    <row r="46" spans="2:19" hidden="1">
      <c r="B46" s="1012"/>
      <c r="C46" s="1013"/>
      <c r="D46" s="1014"/>
      <c r="E46" s="1011"/>
      <c r="F46" s="949"/>
      <c r="G46" s="1011"/>
      <c r="H46" s="1011"/>
      <c r="I46" s="1011"/>
      <c r="J46" s="1011"/>
      <c r="K46" s="1011"/>
      <c r="L46" s="1015"/>
      <c r="M46" s="1011"/>
      <c r="N46" s="1011"/>
      <c r="O46" s="1011"/>
      <c r="P46" s="1011"/>
      <c r="Q46" s="1011"/>
      <c r="R46" s="1011"/>
      <c r="S46" s="965">
        <f t="shared" si="5"/>
        <v>0</v>
      </c>
    </row>
    <row r="47" spans="2:19" hidden="1">
      <c r="B47" s="1012"/>
      <c r="C47" s="1013"/>
      <c r="D47" s="1014"/>
      <c r="E47" s="1011"/>
      <c r="F47" s="949"/>
      <c r="G47" s="1011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965">
        <f t="shared" si="5"/>
        <v>0</v>
      </c>
    </row>
    <row r="48" spans="2:19" hidden="1">
      <c r="B48" s="1012"/>
      <c r="C48" s="1013"/>
      <c r="D48" s="1014"/>
      <c r="E48" s="1011"/>
      <c r="F48" s="949"/>
      <c r="G48" s="1011"/>
      <c r="H48" s="1011"/>
      <c r="I48" s="1011"/>
      <c r="J48" s="1011"/>
      <c r="K48" s="1011"/>
      <c r="L48" s="1011"/>
      <c r="M48" s="1011"/>
      <c r="N48" s="1011"/>
      <c r="O48" s="1011"/>
      <c r="P48" s="1011"/>
      <c r="Q48" s="1011"/>
      <c r="R48" s="1011"/>
      <c r="S48" s="965">
        <f t="shared" si="5"/>
        <v>0</v>
      </c>
    </row>
    <row r="49" spans="2:19" hidden="1">
      <c r="B49" s="1012"/>
      <c r="C49" s="1013"/>
      <c r="D49" s="1014"/>
      <c r="E49" s="1011"/>
      <c r="F49" s="949"/>
      <c r="G49" s="1011"/>
      <c r="H49" s="1011"/>
      <c r="I49" s="1011"/>
      <c r="J49" s="1011"/>
      <c r="K49" s="1011"/>
      <c r="L49" s="1011"/>
      <c r="M49" s="1011"/>
      <c r="N49" s="1011"/>
      <c r="O49" s="1011"/>
      <c r="P49" s="1011"/>
      <c r="Q49" s="1011"/>
      <c r="R49" s="1011"/>
      <c r="S49" s="965">
        <f t="shared" si="5"/>
        <v>0</v>
      </c>
    </row>
    <row r="50" spans="2:19" hidden="1">
      <c r="B50" s="1012"/>
      <c r="C50" s="1013"/>
      <c r="D50" s="1014"/>
      <c r="E50" s="1011"/>
      <c r="F50" s="949"/>
      <c r="G50" s="1011"/>
      <c r="H50" s="1011"/>
      <c r="I50" s="1011"/>
      <c r="J50" s="1011"/>
      <c r="K50" s="1011"/>
      <c r="L50" s="1011"/>
      <c r="M50" s="1011"/>
      <c r="N50" s="1011"/>
      <c r="O50" s="1011"/>
      <c r="P50" s="1011"/>
      <c r="Q50" s="1011"/>
      <c r="R50" s="1011"/>
      <c r="S50" s="965">
        <f t="shared" si="5"/>
        <v>0</v>
      </c>
    </row>
    <row r="51" spans="2:19" hidden="1">
      <c r="B51" s="1012"/>
      <c r="C51" s="1013"/>
      <c r="D51" s="1014"/>
      <c r="E51" s="1011"/>
      <c r="F51" s="949"/>
      <c r="G51" s="1011"/>
      <c r="H51" s="1011"/>
      <c r="I51" s="1011"/>
      <c r="J51" s="1011"/>
      <c r="K51" s="1011"/>
      <c r="L51" s="1011"/>
      <c r="M51" s="1011"/>
      <c r="N51" s="1011"/>
      <c r="O51" s="1011"/>
      <c r="P51" s="1011"/>
      <c r="Q51" s="1011"/>
      <c r="R51" s="1011"/>
      <c r="S51" s="965">
        <f t="shared" si="5"/>
        <v>0</v>
      </c>
    </row>
    <row r="52" spans="2:19" hidden="1">
      <c r="B52" s="1012"/>
      <c r="C52" s="1013"/>
      <c r="D52" s="1014"/>
      <c r="E52" s="1011"/>
      <c r="F52" s="949"/>
      <c r="G52" s="1011"/>
      <c r="H52" s="1011"/>
      <c r="I52" s="1011"/>
      <c r="J52" s="1011"/>
      <c r="K52" s="1011"/>
      <c r="L52" s="1011"/>
      <c r="M52" s="1011"/>
      <c r="N52" s="1011"/>
      <c r="O52" s="1011"/>
      <c r="P52" s="1011"/>
      <c r="Q52" s="1011"/>
      <c r="R52" s="1011"/>
      <c r="S52" s="965">
        <f t="shared" si="5"/>
        <v>0</v>
      </c>
    </row>
    <row r="53" spans="2:19" hidden="1">
      <c r="B53" s="1012"/>
      <c r="C53" s="1013"/>
      <c r="D53" s="1014"/>
      <c r="E53" s="1011"/>
      <c r="F53" s="949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965">
        <f t="shared" si="5"/>
        <v>0</v>
      </c>
    </row>
    <row r="54" spans="2:19" hidden="1">
      <c r="B54" s="1012"/>
      <c r="C54" s="1013"/>
      <c r="D54" s="1014"/>
      <c r="E54" s="1011"/>
      <c r="F54" s="949"/>
      <c r="G54" s="1011"/>
      <c r="H54" s="1011"/>
      <c r="I54" s="1011"/>
      <c r="J54" s="1011"/>
      <c r="K54" s="1011"/>
      <c r="L54" s="1011"/>
      <c r="M54" s="1011"/>
      <c r="N54" s="1011"/>
      <c r="O54" s="1011"/>
      <c r="P54" s="1011"/>
      <c r="Q54" s="1011"/>
      <c r="R54" s="1011"/>
      <c r="S54" s="965">
        <f t="shared" si="5"/>
        <v>0</v>
      </c>
    </row>
    <row r="55" spans="2:19" hidden="1">
      <c r="B55" s="1012"/>
      <c r="C55" s="1013"/>
      <c r="D55" s="1014"/>
      <c r="E55" s="1011"/>
      <c r="F55" s="949"/>
      <c r="G55" s="1011"/>
      <c r="H55" s="1011"/>
      <c r="I55" s="1011"/>
      <c r="J55" s="1011"/>
      <c r="K55" s="1011"/>
      <c r="L55" s="1011"/>
      <c r="M55" s="1011"/>
      <c r="N55" s="1011"/>
      <c r="O55" s="1011"/>
      <c r="P55" s="1011"/>
      <c r="Q55" s="1011"/>
      <c r="R55" s="1011"/>
      <c r="S55" s="965">
        <f t="shared" si="5"/>
        <v>0</v>
      </c>
    </row>
    <row r="56" spans="2:19" hidden="1">
      <c r="B56" s="1012"/>
      <c r="C56" s="1013"/>
      <c r="D56" s="1014"/>
      <c r="E56" s="1011"/>
      <c r="F56" s="949"/>
      <c r="G56" s="1011"/>
      <c r="H56" s="1011"/>
      <c r="I56" s="1011"/>
      <c r="J56" s="1011"/>
      <c r="K56" s="1011"/>
      <c r="L56" s="1011"/>
      <c r="M56" s="1011"/>
      <c r="N56" s="1011"/>
      <c r="O56" s="1011"/>
      <c r="P56" s="1011"/>
      <c r="Q56" s="1011"/>
      <c r="R56" s="1011"/>
      <c r="S56" s="965">
        <f t="shared" si="5"/>
        <v>0</v>
      </c>
    </row>
    <row r="57" spans="2:19" hidden="1">
      <c r="B57" s="1012"/>
      <c r="C57" s="1013"/>
      <c r="D57" s="1014"/>
      <c r="E57" s="1011"/>
      <c r="F57" s="949"/>
      <c r="G57" s="1011"/>
      <c r="H57" s="1011"/>
      <c r="I57" s="1011"/>
      <c r="J57" s="1011"/>
      <c r="K57" s="1011"/>
      <c r="L57" s="1011"/>
      <c r="M57" s="1011"/>
      <c r="N57" s="1011"/>
      <c r="O57" s="1011"/>
      <c r="P57" s="1011"/>
      <c r="Q57" s="1011"/>
      <c r="R57" s="1011"/>
      <c r="S57" s="965">
        <f t="shared" si="5"/>
        <v>0</v>
      </c>
    </row>
    <row r="58" spans="2:19" hidden="1">
      <c r="B58" s="1012"/>
      <c r="C58" s="1013"/>
      <c r="D58" s="1014"/>
      <c r="E58" s="1011"/>
      <c r="F58" s="949"/>
      <c r="G58" s="1011"/>
      <c r="H58" s="1011"/>
      <c r="I58" s="1011"/>
      <c r="J58" s="1011"/>
      <c r="K58" s="1011"/>
      <c r="L58" s="1011"/>
      <c r="M58" s="1011"/>
      <c r="N58" s="1011"/>
      <c r="O58" s="1011"/>
      <c r="P58" s="1011"/>
      <c r="Q58" s="1011"/>
      <c r="R58" s="1011"/>
      <c r="S58" s="965">
        <f t="shared" si="5"/>
        <v>0</v>
      </c>
    </row>
    <row r="59" spans="2:19" hidden="1">
      <c r="B59" s="1012"/>
      <c r="C59" s="1013"/>
      <c r="D59" s="1014"/>
      <c r="E59" s="1011"/>
      <c r="F59" s="949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965">
        <f t="shared" si="5"/>
        <v>0</v>
      </c>
    </row>
    <row r="60" spans="2:19" hidden="1">
      <c r="B60" s="1012"/>
      <c r="C60" s="1013"/>
      <c r="D60" s="1014"/>
      <c r="E60" s="1011"/>
      <c r="F60" s="949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965">
        <f t="shared" si="5"/>
        <v>0</v>
      </c>
    </row>
    <row r="61" spans="2:19" hidden="1">
      <c r="B61" s="1012"/>
      <c r="C61" s="1013"/>
      <c r="D61" s="1014"/>
      <c r="E61" s="1011"/>
      <c r="F61" s="949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965">
        <f t="shared" si="5"/>
        <v>0</v>
      </c>
    </row>
    <row r="62" spans="2:19" hidden="1">
      <c r="B62" s="1012"/>
      <c r="C62" s="1013"/>
      <c r="D62" s="1014"/>
      <c r="E62" s="1011"/>
      <c r="F62" s="949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965">
        <f t="shared" si="5"/>
        <v>0</v>
      </c>
    </row>
    <row r="63" spans="2:19" hidden="1">
      <c r="B63" s="1012"/>
      <c r="C63" s="1013"/>
      <c r="D63" s="1014"/>
      <c r="E63" s="1011"/>
      <c r="F63" s="949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965">
        <f t="shared" si="5"/>
        <v>0</v>
      </c>
    </row>
    <row r="64" spans="2:19" hidden="1">
      <c r="B64" s="1012"/>
      <c r="C64" s="1013"/>
      <c r="D64" s="1014"/>
      <c r="E64" s="1011"/>
      <c r="F64" s="949"/>
      <c r="G64" s="1011"/>
      <c r="H64" s="1011"/>
      <c r="I64" s="1011"/>
      <c r="J64" s="1011"/>
      <c r="K64" s="1011"/>
      <c r="L64" s="1011"/>
      <c r="M64" s="1011"/>
      <c r="N64" s="1011"/>
      <c r="O64" s="1011"/>
      <c r="P64" s="1011"/>
      <c r="Q64" s="1011"/>
      <c r="R64" s="1011"/>
      <c r="S64" s="965">
        <f t="shared" si="5"/>
        <v>0</v>
      </c>
    </row>
    <row r="65" spans="2:21" hidden="1">
      <c r="B65" s="1012"/>
      <c r="C65" s="1013"/>
      <c r="D65" s="1014"/>
      <c r="E65" s="1011"/>
      <c r="F65" s="949"/>
      <c r="G65" s="1011"/>
      <c r="H65" s="1011"/>
      <c r="I65" s="1011"/>
      <c r="J65" s="1011"/>
      <c r="K65" s="1011"/>
      <c r="L65" s="1011"/>
      <c r="M65" s="1011"/>
      <c r="N65" s="1011"/>
      <c r="O65" s="1011"/>
      <c r="P65" s="1011"/>
      <c r="Q65" s="1011"/>
      <c r="R65" s="1011"/>
      <c r="S65" s="965">
        <f t="shared" si="5"/>
        <v>0</v>
      </c>
    </row>
    <row r="66" spans="2:21" hidden="1">
      <c r="B66" s="1012"/>
      <c r="C66" s="1013"/>
      <c r="D66" s="1014"/>
      <c r="E66" s="1011"/>
      <c r="F66" s="949"/>
      <c r="G66" s="1011"/>
      <c r="H66" s="1011"/>
      <c r="I66" s="1011"/>
      <c r="J66" s="1011"/>
      <c r="K66" s="1011"/>
      <c r="L66" s="1011"/>
      <c r="M66" s="1011"/>
      <c r="N66" s="1011"/>
      <c r="O66" s="1011"/>
      <c r="P66" s="1011"/>
      <c r="Q66" s="1011"/>
      <c r="R66" s="1011"/>
      <c r="S66" s="965">
        <f t="shared" si="5"/>
        <v>0</v>
      </c>
    </row>
    <row r="67" spans="2:21" hidden="1">
      <c r="B67" s="1012"/>
      <c r="C67" s="1013"/>
      <c r="D67" s="1014"/>
      <c r="E67" s="1011"/>
      <c r="F67" s="949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965">
        <f t="shared" si="5"/>
        <v>0</v>
      </c>
    </row>
    <row r="68" spans="2:21">
      <c r="B68" s="1012"/>
      <c r="C68" s="1013"/>
      <c r="D68" s="1014"/>
      <c r="E68" s="1011"/>
      <c r="F68" s="949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965">
        <f t="shared" si="5"/>
        <v>0</v>
      </c>
    </row>
    <row r="70" spans="2:21">
      <c r="R70" s="422" t="s">
        <v>469</v>
      </c>
      <c r="T70" t="s">
        <v>468</v>
      </c>
    </row>
    <row r="71" spans="2:21" ht="23.25">
      <c r="B71" s="1019" t="s">
        <v>462</v>
      </c>
      <c r="C71" s="1020">
        <v>1263913.2</v>
      </c>
      <c r="D71" s="363"/>
      <c r="E71" s="362"/>
      <c r="F71" s="947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>
        <v>1927183.68</v>
      </c>
      <c r="S71" s="1021">
        <v>1263913.2</v>
      </c>
      <c r="T71">
        <f>R71-S71</f>
        <v>663270.48</v>
      </c>
      <c r="U71" s="1022" t="s">
        <v>465</v>
      </c>
    </row>
    <row r="72" spans="2:21" ht="23.25">
      <c r="B72" s="1019" t="s">
        <v>463</v>
      </c>
      <c r="C72" s="1020">
        <v>757345</v>
      </c>
      <c r="D72" s="363"/>
      <c r="E72" s="362"/>
      <c r="F72" s="947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1011">
        <v>906093.1</v>
      </c>
      <c r="S72" s="1021">
        <v>757345</v>
      </c>
      <c r="T72">
        <f>R72-S72</f>
        <v>148748.09999999998</v>
      </c>
      <c r="U72" s="1022" t="s">
        <v>464</v>
      </c>
    </row>
  </sheetData>
  <phoneticPr fontId="73" type="noConversion"/>
  <hyperlinks>
    <hyperlink ref="F28" r:id="rId1" display="https://prozorro.gov.ua/tender/UA-2022-05-27-002362-a"/>
    <hyperlink ref="F21" r:id="rId2" display="https://prozorro.gov.ua/tender/UA-2022-02-15-004370-b"/>
    <hyperlink ref="F22" r:id="rId3" display="https://prozorro.gov.ua/tender/UA-2022-03-14-000331-a"/>
    <hyperlink ref="F16" r:id="rId4" display="https://prozorro.gov.ua/tender/UA-2022-01-26-008402-b"/>
    <hyperlink ref="F27" r:id="rId5" display="https://prozorro.gov.ua/tender/UA-2022-04-20-000925-a"/>
    <hyperlink ref="F34" r:id="rId6" display="https://prozorro.gov.ua/tender/UA-2022-06-15-004172-a"/>
    <hyperlink ref="F35" r:id="rId7" display="https://prozorro.gov.ua/tender/UA-2022-06-14-003890-a"/>
    <hyperlink ref="F23" r:id="rId8" display="https://prozorro.gov.ua/tender/UA-2022-03-24-003253-b"/>
    <hyperlink ref="F25" r:id="rId9" display="https://prozorro.gov.ua/tender/UA-2022-03-24-003253-b"/>
    <hyperlink ref="F26" r:id="rId10" display="https://prozorro.gov.ua/tender/UA-2022-03-24-003253-b"/>
    <hyperlink ref="F17" r:id="rId11" display="https://prozorro.gov.ua/tender/UA-2022-01-24-008182-b"/>
    <hyperlink ref="F18" r:id="rId12" display="https://prozorro.gov.ua/tender/UA-2022-01-24-008182-b"/>
    <hyperlink ref="F19" r:id="rId13" display="https://prozorro.gov.ua/tender/UA-2022-01-24-008182-b"/>
    <hyperlink ref="F20" r:id="rId14" display="https://prozorro.gov.ua/tender/UA-2022-01-24-008182-b"/>
    <hyperlink ref="F29" r:id="rId15" display="https://prozorro.gov.ua/tender/UA-2022-05-20-003869-a"/>
    <hyperlink ref="F30" r:id="rId16" display="https://prozorro.gov.ua/tender/UA-2022-06-07-005589-a"/>
    <hyperlink ref="F31" r:id="rId17" display="https://prozorro.gov.ua/tender/UA-2022-06-07-005922-a"/>
    <hyperlink ref="F32" r:id="rId18" display="https://prozorro.gov.ua/tender/UA-2022-06-07-006394-a"/>
    <hyperlink ref="F33" r:id="rId19" display="https://prozorro.gov.ua/tender/UA-2022-06-09-002320-a"/>
    <hyperlink ref="F5" r:id="rId20" display="https://prozorro.gov.ua/tender/UA-2022-05-23-004244-a"/>
    <hyperlink ref="F6" r:id="rId21" display="https://prozorro.gov.ua/tender/UA-2022-05-20-004091-a"/>
    <hyperlink ref="F24" r:id="rId22" display="https://prozorro.gov.ua/tender/UA-2022-03-24-003253-b"/>
    <hyperlink ref="F37" r:id="rId23" display="https://prozorro.gov.ua/tender/UA-2022-06-23-002141-a"/>
    <hyperlink ref="F36" r:id="rId24" display="https://prozorro.gov.ua/tender/UA-2022-06-16-005707-a"/>
    <hyperlink ref="F39" r:id="rId25" display="https://prozorro.gov.ua/tender/UA-2022-07-06-007086-a"/>
    <hyperlink ref="F38" r:id="rId26" display="https://prozorro.gov.ua/tender/UA-2022-06-15-003675-a"/>
    <hyperlink ref="F40" r:id="rId27" display="https://prozorro.gov.ua/tender/UA-2022-08-02-007330-a"/>
    <hyperlink ref="F7" r:id="rId28" display="https://prozorro.gov.ua/tender/UA-2022-07-19-007714-a"/>
    <hyperlink ref="B7" r:id="rId29" display="https://prozorro.gov.ua/tender/UA-2022-07-19-007714-a"/>
    <hyperlink ref="B8" r:id="rId30" display="https://prozorro.gov.ua/tender/UA-2022-08-09-003416-a"/>
    <hyperlink ref="F8" r:id="rId31" display="https://prozorro.gov.ua/tender/UA-2022-08-09-003416-a"/>
    <hyperlink ref="F43" r:id="rId32" display="https://prozorro.gov.ua/tender/UA-2022-09-06-009534-a"/>
    <hyperlink ref="B41" r:id="rId33" display="https://prozorro.gov.ua/tender/UA-2022-09-05-004174-a"/>
    <hyperlink ref="B42" r:id="rId34" display="https://prozorro.gov.ua/tender/UA-2022-09-09-002128-a"/>
    <hyperlink ref="B43" r:id="rId35" display="https://prozorro.gov.ua/tender/UA-2022-09-06-009534-a"/>
    <hyperlink ref="F44" r:id="rId36" display="https://prozorro.gov.ua/tender/UA-2022-09-14-004822-a"/>
    <hyperlink ref="B44" r:id="rId37" display="https://prozorro.gov.ua/tender/UA-2022-09-14-004822-a"/>
    <hyperlink ref="F45" r:id="rId38" display="https://prozorro.gov.ua/tender/UA-2022-09-14-006362-a"/>
    <hyperlink ref="B45" r:id="rId39" display="https://prozorro.gov.ua/tender/UA-2022-09-14-006362-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65"/>
  <sheetViews>
    <sheetView showGridLines="0" zoomScale="50" zoomScaleNormal="50" workbookViewId="0">
      <selection activeCell="C154" sqref="C154"/>
    </sheetView>
  </sheetViews>
  <sheetFormatPr defaultColWidth="10.7109375" defaultRowHeight="15.75"/>
  <cols>
    <col min="1" max="1" width="3.85546875" style="47" customWidth="1"/>
    <col min="2" max="2" width="61.7109375" style="46" customWidth="1"/>
    <col min="3" max="3" width="40.140625" style="46" customWidth="1"/>
    <col min="4" max="4" width="28.140625" style="46" customWidth="1"/>
    <col min="5" max="5" width="26.42578125" style="46" customWidth="1"/>
    <col min="6" max="6" width="40.140625" style="46" customWidth="1"/>
    <col min="7" max="11" width="10.7109375" style="46"/>
    <col min="12" max="12" width="12.28515625" style="46" bestFit="1" customWidth="1"/>
    <col min="13" max="16384" width="10.7109375" style="46"/>
  </cols>
  <sheetData>
    <row r="1" spans="1:256" s="38" customFormat="1" ht="16.5">
      <c r="A1" s="69"/>
      <c r="K1" s="39"/>
      <c r="P1" s="39"/>
      <c r="U1" s="39"/>
      <c r="Z1" s="39"/>
      <c r="AE1" s="39"/>
      <c r="AJ1" s="39"/>
      <c r="AO1" s="39"/>
    </row>
    <row r="2" spans="1:256" s="41" customFormat="1" ht="27.75" thickBot="1">
      <c r="A2" s="1215" t="s">
        <v>13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40"/>
      <c r="AH2" s="40"/>
      <c r="AI2" s="40"/>
      <c r="AJ2" s="40"/>
      <c r="AK2" s="40"/>
      <c r="AL2" s="40"/>
      <c r="AM2" s="40"/>
      <c r="AN2" s="40"/>
      <c r="AO2" s="40"/>
    </row>
    <row r="3" spans="1:256" s="42" customFormat="1" ht="57.6" customHeight="1" thickTop="1" thickBot="1">
      <c r="A3" s="44"/>
      <c r="B3" s="1225" t="s">
        <v>12</v>
      </c>
      <c r="C3" s="1226"/>
      <c r="D3" s="1226"/>
      <c r="E3" s="1227"/>
    </row>
    <row r="4" spans="1:256" s="113" customFormat="1" ht="21" customHeight="1" thickTop="1">
      <c r="A4" s="112"/>
      <c r="B4" s="114"/>
      <c r="C4" s="114"/>
      <c r="D4" s="114"/>
      <c r="E4" s="114"/>
    </row>
    <row r="5" spans="1:256" s="113" customFormat="1" ht="50.45" customHeight="1">
      <c r="A5" s="112"/>
      <c r="B5" s="1231" t="s">
        <v>1311</v>
      </c>
      <c r="C5" s="1231"/>
      <c r="D5" s="1231"/>
      <c r="E5" s="1231"/>
    </row>
    <row r="6" spans="1:256" s="42" customFormat="1" ht="18" customHeight="1" thickBot="1">
      <c r="A6" s="44"/>
      <c r="G6" s="44"/>
    </row>
    <row r="7" spans="1:256" s="42" customFormat="1" ht="27.6" customHeight="1">
      <c r="A7" s="44"/>
      <c r="B7" s="1209"/>
      <c r="C7" s="1210"/>
      <c r="D7" s="1211"/>
      <c r="E7" s="1228"/>
      <c r="F7" s="1229"/>
      <c r="G7" s="1230"/>
    </row>
    <row r="8" spans="1:256" s="42" customFormat="1" ht="27.6" customHeight="1">
      <c r="A8" s="44"/>
      <c r="B8" s="1212"/>
      <c r="C8" s="1213"/>
      <c r="D8" s="1214"/>
      <c r="E8" s="1216"/>
      <c r="F8" s="1217"/>
      <c r="G8" s="1218"/>
    </row>
    <row r="9" spans="1:256" s="42" customFormat="1" ht="27.6" customHeight="1" thickBot="1">
      <c r="A9" s="44"/>
      <c r="B9" s="1219" t="s">
        <v>1259</v>
      </c>
      <c r="C9" s="1220"/>
      <c r="D9" s="1221"/>
      <c r="E9" s="1222"/>
      <c r="F9" s="1223"/>
      <c r="G9" s="1224"/>
    </row>
    <row r="10" spans="1:256" s="42" customFormat="1" ht="26.45" customHeight="1" thickBot="1">
      <c r="A10" s="44"/>
      <c r="B10" s="43"/>
      <c r="C10" s="43"/>
      <c r="D10" s="43"/>
      <c r="E10" s="43"/>
      <c r="G10" s="44"/>
    </row>
    <row r="11" spans="1:256" s="42" customFormat="1" ht="37.15" customHeight="1">
      <c r="A11" s="44"/>
      <c r="B11" s="1203" t="s">
        <v>1253</v>
      </c>
      <c r="C11" s="1204"/>
      <c r="D11" s="1205"/>
      <c r="E11" s="43"/>
      <c r="G11" s="44"/>
    </row>
    <row r="12" spans="1:256" s="42" customFormat="1" ht="51.6" customHeight="1">
      <c r="A12" s="44"/>
      <c r="B12" s="1206" t="s">
        <v>1310</v>
      </c>
      <c r="C12" s="1207"/>
      <c r="D12" s="1208"/>
      <c r="E12" s="43"/>
      <c r="G12" s="44"/>
    </row>
    <row r="13" spans="1:256" s="42" customFormat="1" ht="35.450000000000003" customHeight="1">
      <c r="A13" s="44"/>
      <c r="B13" s="1200" t="s">
        <v>1283</v>
      </c>
      <c r="C13" s="1201"/>
      <c r="D13" s="1202"/>
      <c r="E13" s="105"/>
      <c r="F13" s="104"/>
      <c r="G13" s="104"/>
      <c r="H13" s="104"/>
    </row>
    <row r="14" spans="1:256" s="45" customFormat="1" ht="37.9" customHeight="1">
      <c r="A14" s="70"/>
      <c r="B14" s="1197" t="s">
        <v>11</v>
      </c>
      <c r="C14" s="1198"/>
      <c r="D14" s="1199"/>
      <c r="E14" s="104"/>
      <c r="G14" s="104"/>
      <c r="H14" s="104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45" customFormat="1" ht="43.9" customHeight="1">
      <c r="A15" s="70"/>
      <c r="B15" s="1197" t="s">
        <v>10</v>
      </c>
      <c r="C15" s="1198"/>
      <c r="D15" s="1199"/>
      <c r="E15" s="104"/>
      <c r="F15" s="44" t="s">
        <v>184</v>
      </c>
      <c r="G15" s="104"/>
      <c r="H15" s="104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42" customFormat="1" ht="28.15" customHeight="1">
      <c r="A16" s="44"/>
      <c r="B16" s="1236" t="s">
        <v>1257</v>
      </c>
      <c r="C16" s="1237"/>
      <c r="D16" s="1238"/>
      <c r="E16" s="105"/>
      <c r="F16" s="47" t="s">
        <v>188</v>
      </c>
      <c r="G16" s="104"/>
      <c r="H16" s="104"/>
    </row>
    <row r="17" spans="1:256" ht="27" customHeight="1" thickBot="1">
      <c r="B17" s="1233" t="s">
        <v>1258</v>
      </c>
      <c r="C17" s="1234"/>
      <c r="D17" s="1235"/>
      <c r="E17" s="66"/>
      <c r="F17" s="66"/>
      <c r="H17" s="66"/>
    </row>
    <row r="18" spans="1:256" ht="16.5">
      <c r="B18" s="24"/>
      <c r="C18" s="24"/>
      <c r="D18" s="24"/>
      <c r="E18" s="66"/>
      <c r="F18" s="66"/>
      <c r="G18" s="66"/>
      <c r="H18" s="66"/>
    </row>
    <row r="19" spans="1:256" ht="100.15" customHeight="1">
      <c r="B19" s="48" t="s">
        <v>130</v>
      </c>
      <c r="C19" s="49" t="s">
        <v>131</v>
      </c>
      <c r="D19" s="49" t="s">
        <v>132</v>
      </c>
      <c r="E19" s="49" t="s">
        <v>133</v>
      </c>
      <c r="F19" s="49" t="s">
        <v>202</v>
      </c>
    </row>
    <row r="20" spans="1:256" s="71" customFormat="1">
      <c r="B20" s="60">
        <v>0</v>
      </c>
      <c r="C20" s="61">
        <v>0.1</v>
      </c>
      <c r="D20" s="60">
        <v>0.2</v>
      </c>
      <c r="E20" s="61">
        <v>0.3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R20" s="46"/>
      <c r="S20" s="46"/>
      <c r="T20" s="46"/>
      <c r="U20" s="46"/>
      <c r="W20" s="46"/>
      <c r="X20" s="46"/>
      <c r="Y20" s="46"/>
      <c r="Z20" s="46"/>
      <c r="AB20" s="46"/>
      <c r="AC20" s="46"/>
      <c r="AD20" s="46"/>
      <c r="AE20" s="46"/>
      <c r="AG20" s="46"/>
      <c r="AH20" s="46"/>
      <c r="AI20" s="46"/>
      <c r="AJ20" s="46"/>
      <c r="AL20" s="46"/>
      <c r="AM20" s="46"/>
      <c r="AN20" s="46"/>
      <c r="AO20" s="46"/>
      <c r="AQ20" s="46"/>
      <c r="AR20" s="46"/>
      <c r="AS20" s="46"/>
      <c r="AT20" s="46"/>
      <c r="AV20" s="46"/>
      <c r="AW20" s="46"/>
      <c r="AX20" s="46"/>
      <c r="AY20" s="46"/>
      <c r="BA20" s="46"/>
      <c r="BB20" s="46"/>
      <c r="BC20" s="46"/>
      <c r="BD20" s="46"/>
      <c r="BF20" s="46"/>
      <c r="BG20" s="46"/>
      <c r="BH20" s="46"/>
      <c r="BI20" s="46"/>
      <c r="BK20" s="46"/>
      <c r="BL20" s="46"/>
      <c r="BM20" s="46"/>
      <c r="BN20" s="46"/>
      <c r="BP20" s="46"/>
      <c r="BQ20" s="46"/>
      <c r="BR20" s="46"/>
      <c r="BS20" s="46"/>
      <c r="BU20" s="46"/>
      <c r="BV20" s="46"/>
      <c r="BW20" s="46"/>
      <c r="BX20" s="46"/>
      <c r="BZ20" s="46"/>
      <c r="CA20" s="46"/>
      <c r="CB20" s="46"/>
      <c r="CC20" s="46"/>
      <c r="CE20" s="46"/>
      <c r="CF20" s="46"/>
      <c r="CG20" s="46"/>
      <c r="CH20" s="46"/>
      <c r="CJ20" s="46"/>
      <c r="CK20" s="46"/>
      <c r="CL20" s="46"/>
      <c r="CM20" s="46"/>
      <c r="CO20" s="46"/>
      <c r="CP20" s="46"/>
      <c r="CQ20" s="46"/>
      <c r="CR20" s="46"/>
      <c r="CT20" s="46"/>
      <c r="CU20" s="46"/>
      <c r="CV20" s="46"/>
      <c r="CW20" s="46"/>
      <c r="CY20" s="46"/>
      <c r="CZ20" s="46"/>
      <c r="DA20" s="46"/>
      <c r="DB20" s="46"/>
      <c r="DD20" s="46"/>
      <c r="DE20" s="46"/>
      <c r="DF20" s="46"/>
      <c r="DG20" s="46"/>
      <c r="DI20" s="46"/>
      <c r="DJ20" s="46"/>
      <c r="DK20" s="46"/>
      <c r="DL20" s="46"/>
      <c r="DN20" s="46"/>
      <c r="DO20" s="46"/>
      <c r="DP20" s="46"/>
      <c r="DQ20" s="46"/>
      <c r="DS20" s="46"/>
      <c r="DT20" s="46"/>
      <c r="DU20" s="46"/>
      <c r="DV20" s="46"/>
      <c r="DX20" s="46"/>
      <c r="DY20" s="46"/>
      <c r="DZ20" s="46"/>
      <c r="EA20" s="46"/>
      <c r="EC20" s="46"/>
      <c r="ED20" s="46"/>
      <c r="EE20" s="46"/>
      <c r="EF20" s="46"/>
      <c r="EH20" s="46"/>
      <c r="EI20" s="46"/>
      <c r="EJ20" s="46"/>
      <c r="EK20" s="46"/>
      <c r="EM20" s="46"/>
      <c r="EN20" s="46"/>
      <c r="EO20" s="46"/>
      <c r="EP20" s="46"/>
      <c r="ER20" s="46"/>
      <c r="ES20" s="46"/>
      <c r="ET20" s="46"/>
      <c r="EU20" s="46"/>
      <c r="EW20" s="46"/>
      <c r="EX20" s="46"/>
      <c r="EY20" s="46"/>
      <c r="EZ20" s="46"/>
      <c r="FB20" s="46"/>
      <c r="FC20" s="46"/>
      <c r="FD20" s="46"/>
      <c r="FE20" s="46"/>
      <c r="FG20" s="46"/>
      <c r="FH20" s="46"/>
      <c r="FI20" s="46"/>
      <c r="FJ20" s="46"/>
      <c r="FL20" s="46"/>
      <c r="FM20" s="46"/>
      <c r="FN20" s="46"/>
      <c r="FO20" s="46"/>
      <c r="FQ20" s="46"/>
      <c r="FR20" s="46"/>
      <c r="FS20" s="46"/>
      <c r="FT20" s="46"/>
      <c r="FV20" s="46"/>
      <c r="FW20" s="46"/>
      <c r="FX20" s="46"/>
      <c r="FY20" s="46"/>
      <c r="GA20" s="46"/>
      <c r="GB20" s="46"/>
      <c r="GC20" s="46"/>
      <c r="GD20" s="46"/>
      <c r="GF20" s="46"/>
      <c r="GG20" s="46"/>
      <c r="GH20" s="46"/>
      <c r="GI20" s="46"/>
      <c r="GK20" s="46"/>
      <c r="GL20" s="46"/>
      <c r="GM20" s="46"/>
      <c r="GN20" s="46"/>
      <c r="GP20" s="46"/>
      <c r="GQ20" s="46"/>
      <c r="GR20" s="46"/>
      <c r="GS20" s="46"/>
      <c r="GU20" s="46"/>
      <c r="GV20" s="46"/>
      <c r="GW20" s="46"/>
      <c r="GX20" s="46"/>
      <c r="GZ20" s="46"/>
      <c r="HA20" s="46"/>
      <c r="HB20" s="46"/>
      <c r="HC20" s="46"/>
      <c r="HE20" s="46"/>
      <c r="HF20" s="46"/>
      <c r="HG20" s="46"/>
      <c r="HH20" s="46"/>
      <c r="HJ20" s="46"/>
      <c r="HK20" s="46"/>
      <c r="HL20" s="46"/>
      <c r="HM20" s="46"/>
      <c r="HO20" s="46"/>
      <c r="HP20" s="46"/>
      <c r="HQ20" s="46"/>
      <c r="HR20" s="46"/>
      <c r="HT20" s="46"/>
      <c r="HU20" s="46"/>
      <c r="HV20" s="46"/>
      <c r="HW20" s="46"/>
      <c r="HY20" s="46"/>
      <c r="HZ20" s="46"/>
      <c r="IA20" s="46"/>
      <c r="IB20" s="46"/>
      <c r="ID20" s="46"/>
      <c r="IE20" s="46"/>
      <c r="IF20" s="46"/>
      <c r="IG20" s="46"/>
      <c r="II20" s="46"/>
      <c r="IJ20" s="46"/>
      <c r="IK20" s="46"/>
      <c r="IL20" s="46"/>
      <c r="IN20" s="46"/>
      <c r="IO20" s="46"/>
      <c r="IP20" s="46"/>
      <c r="IQ20" s="46"/>
      <c r="IS20" s="46"/>
      <c r="IT20" s="46"/>
      <c r="IU20" s="46"/>
      <c r="IV20" s="46"/>
    </row>
    <row r="21" spans="1:256" s="66" customFormat="1">
      <c r="A21" s="47"/>
      <c r="B21" s="67" t="s">
        <v>134</v>
      </c>
      <c r="C21" s="72"/>
      <c r="D21" s="73"/>
      <c r="E21" s="101">
        <f>SUM($E$22:$E$104)</f>
        <v>0</v>
      </c>
      <c r="F21" s="68"/>
      <c r="G21" s="46"/>
      <c r="H21" s="46"/>
      <c r="I21" s="46"/>
      <c r="J21" s="46"/>
      <c r="K21" s="46"/>
      <c r="L21" s="46"/>
      <c r="M21" s="46"/>
      <c r="N21" s="46"/>
      <c r="O21" s="46"/>
      <c r="P21" s="46"/>
      <c r="R21" s="46"/>
      <c r="S21" s="46"/>
      <c r="T21" s="46"/>
      <c r="U21" s="46"/>
      <c r="W21" s="46"/>
      <c r="X21" s="46"/>
      <c r="Y21" s="46"/>
      <c r="Z21" s="46"/>
      <c r="AB21" s="46"/>
      <c r="AC21" s="46"/>
      <c r="AD21" s="46"/>
      <c r="AE21" s="46"/>
      <c r="AG21" s="46"/>
      <c r="AH21" s="46"/>
      <c r="AI21" s="46"/>
      <c r="AJ21" s="46"/>
      <c r="AL21" s="46"/>
      <c r="AM21" s="46"/>
      <c r="AN21" s="46"/>
      <c r="AO21" s="46"/>
      <c r="AQ21" s="46"/>
      <c r="AR21" s="46"/>
      <c r="AS21" s="46"/>
      <c r="AT21" s="46"/>
      <c r="AV21" s="46"/>
      <c r="AW21" s="46"/>
      <c r="AX21" s="46"/>
      <c r="AY21" s="46"/>
      <c r="BA21" s="46"/>
      <c r="BB21" s="46"/>
      <c r="BC21" s="46"/>
      <c r="BD21" s="46"/>
      <c r="BF21" s="46"/>
      <c r="BG21" s="46"/>
      <c r="BH21" s="46"/>
      <c r="BI21" s="46"/>
      <c r="BK21" s="46"/>
      <c r="BL21" s="46"/>
      <c r="BM21" s="46"/>
      <c r="BN21" s="46"/>
      <c r="BP21" s="46"/>
      <c r="BQ21" s="46"/>
      <c r="BR21" s="46"/>
      <c r="BS21" s="46"/>
      <c r="BU21" s="46"/>
      <c r="BV21" s="46"/>
      <c r="BW21" s="46"/>
      <c r="BX21" s="46"/>
      <c r="BZ21" s="46"/>
      <c r="CA21" s="46"/>
      <c r="CB21" s="46"/>
      <c r="CC21" s="46"/>
      <c r="CE21" s="46"/>
      <c r="CF21" s="46"/>
      <c r="CG21" s="46"/>
      <c r="CH21" s="46"/>
      <c r="CJ21" s="46"/>
      <c r="CK21" s="46"/>
      <c r="CL21" s="46"/>
      <c r="CM21" s="46"/>
      <c r="CO21" s="46"/>
      <c r="CP21" s="46"/>
      <c r="CQ21" s="46"/>
      <c r="CR21" s="46"/>
      <c r="CT21" s="46"/>
      <c r="CU21" s="46"/>
      <c r="CV21" s="46"/>
      <c r="CW21" s="46"/>
      <c r="CY21" s="46"/>
      <c r="CZ21" s="46"/>
      <c r="DA21" s="46"/>
      <c r="DB21" s="46"/>
      <c r="DD21" s="46"/>
      <c r="DE21" s="46"/>
      <c r="DF21" s="46"/>
      <c r="DG21" s="46"/>
      <c r="DI21" s="46"/>
      <c r="DJ21" s="46"/>
      <c r="DK21" s="46"/>
      <c r="DL21" s="46"/>
      <c r="DN21" s="46"/>
      <c r="DO21" s="46"/>
      <c r="DP21" s="46"/>
      <c r="DQ21" s="46"/>
      <c r="DS21" s="46"/>
      <c r="DT21" s="46"/>
      <c r="DU21" s="46"/>
      <c r="DV21" s="46"/>
      <c r="DX21" s="46"/>
      <c r="DY21" s="46"/>
      <c r="DZ21" s="46"/>
      <c r="EA21" s="46"/>
      <c r="EC21" s="46"/>
      <c r="ED21" s="46"/>
      <c r="EE21" s="46"/>
      <c r="EF21" s="46"/>
      <c r="EH21" s="46"/>
      <c r="EI21" s="46"/>
      <c r="EJ21" s="46"/>
      <c r="EK21" s="46"/>
      <c r="EM21" s="46"/>
      <c r="EN21" s="46"/>
      <c r="EO21" s="46"/>
      <c r="EP21" s="46"/>
      <c r="ER21" s="46"/>
      <c r="ES21" s="46"/>
      <c r="ET21" s="46"/>
      <c r="EU21" s="46"/>
      <c r="EW21" s="46"/>
      <c r="EX21" s="46"/>
      <c r="EY21" s="46"/>
      <c r="EZ21" s="46"/>
      <c r="FB21" s="46"/>
      <c r="FC21" s="46"/>
      <c r="FD21" s="46"/>
      <c r="FE21" s="46"/>
      <c r="FG21" s="46"/>
      <c r="FH21" s="46"/>
      <c r="FI21" s="46"/>
      <c r="FJ21" s="46"/>
      <c r="FL21" s="46"/>
      <c r="FM21" s="46"/>
      <c r="FN21" s="46"/>
      <c r="FO21" s="46"/>
      <c r="FQ21" s="46"/>
      <c r="FR21" s="46"/>
      <c r="FS21" s="46"/>
      <c r="FT21" s="46"/>
      <c r="FV21" s="46"/>
      <c r="FW21" s="46"/>
      <c r="FX21" s="46"/>
      <c r="FY21" s="46"/>
      <c r="GA21" s="46"/>
      <c r="GB21" s="46"/>
      <c r="GC21" s="46"/>
      <c r="GD21" s="46"/>
      <c r="GF21" s="46"/>
      <c r="GG21" s="46"/>
      <c r="GH21" s="46"/>
      <c r="GI21" s="46"/>
      <c r="GK21" s="46"/>
      <c r="GL21" s="46"/>
      <c r="GM21" s="46"/>
      <c r="GN21" s="46"/>
      <c r="GP21" s="46"/>
      <c r="GQ21" s="46"/>
      <c r="GR21" s="46"/>
      <c r="GS21" s="46"/>
      <c r="GU21" s="46"/>
      <c r="GV21" s="46"/>
      <c r="GW21" s="46"/>
      <c r="GX21" s="46"/>
      <c r="GZ21" s="46"/>
      <c r="HA21" s="46"/>
      <c r="HB21" s="46"/>
      <c r="HC21" s="46"/>
      <c r="HE21" s="46"/>
      <c r="HF21" s="46"/>
      <c r="HG21" s="46"/>
      <c r="HH21" s="46"/>
      <c r="HJ21" s="46"/>
      <c r="HK21" s="46"/>
      <c r="HL21" s="46"/>
      <c r="HM21" s="46"/>
      <c r="HO21" s="46"/>
      <c r="HP21" s="46"/>
      <c r="HQ21" s="46"/>
      <c r="HR21" s="46"/>
      <c r="HT21" s="46"/>
      <c r="HU21" s="46"/>
      <c r="HV21" s="46"/>
      <c r="HW21" s="46"/>
      <c r="HY21" s="46"/>
      <c r="HZ21" s="46"/>
      <c r="IA21" s="46"/>
      <c r="IB21" s="46"/>
      <c r="ID21" s="46"/>
      <c r="IE21" s="46"/>
      <c r="IF21" s="46"/>
      <c r="IG21" s="46"/>
      <c r="II21" s="46"/>
      <c r="IJ21" s="46"/>
      <c r="IK21" s="46"/>
      <c r="IL21" s="46"/>
      <c r="IN21" s="46"/>
      <c r="IO21" s="46"/>
      <c r="IP21" s="46"/>
      <c r="IQ21" s="46"/>
      <c r="IS21" s="46"/>
      <c r="IT21" s="46"/>
      <c r="IU21" s="46"/>
      <c r="IV21" s="46"/>
    </row>
    <row r="22" spans="1:256">
      <c r="A22" s="27">
        <v>1</v>
      </c>
      <c r="B22" s="125" t="s">
        <v>204</v>
      </c>
      <c r="C22" s="64"/>
      <c r="D22" s="65"/>
      <c r="E22" s="102">
        <f>IFERROR(C22*D22,)</f>
        <v>0</v>
      </c>
      <c r="F22" s="50"/>
    </row>
    <row r="23" spans="1:256">
      <c r="A23" s="27">
        <v>2</v>
      </c>
      <c r="B23" s="125" t="s">
        <v>205</v>
      </c>
      <c r="C23" s="64"/>
      <c r="D23" s="65"/>
      <c r="E23" s="102">
        <f t="shared" ref="E23:E37" si="0">IFERROR(C23*D23,)</f>
        <v>0</v>
      </c>
      <c r="F23" s="50"/>
    </row>
    <row r="24" spans="1:256">
      <c r="A24" s="27">
        <v>3</v>
      </c>
      <c r="B24" s="125" t="s">
        <v>206</v>
      </c>
      <c r="C24" s="64"/>
      <c r="D24" s="65"/>
      <c r="E24" s="102">
        <f t="shared" si="0"/>
        <v>0</v>
      </c>
      <c r="F24" s="50"/>
    </row>
    <row r="25" spans="1:256">
      <c r="A25" s="27">
        <v>4</v>
      </c>
      <c r="B25" s="125" t="s">
        <v>207</v>
      </c>
      <c r="C25" s="64"/>
      <c r="D25" s="65"/>
      <c r="E25" s="102">
        <f t="shared" si="0"/>
        <v>0</v>
      </c>
      <c r="F25" s="50"/>
    </row>
    <row r="26" spans="1:256">
      <c r="A26" s="27">
        <v>5</v>
      </c>
      <c r="B26" s="125" t="s">
        <v>208</v>
      </c>
      <c r="C26" s="64"/>
      <c r="D26" s="65"/>
      <c r="E26" s="102">
        <f t="shared" si="0"/>
        <v>0</v>
      </c>
      <c r="F26" s="50"/>
    </row>
    <row r="27" spans="1:256" ht="31.5">
      <c r="A27" s="27">
        <v>6</v>
      </c>
      <c r="B27" s="125" t="s">
        <v>209</v>
      </c>
      <c r="C27" s="64"/>
      <c r="D27" s="65"/>
      <c r="E27" s="102">
        <f t="shared" si="0"/>
        <v>0</v>
      </c>
      <c r="F27" s="50"/>
    </row>
    <row r="28" spans="1:256">
      <c r="A28" s="27">
        <v>7</v>
      </c>
      <c r="B28" s="125" t="s">
        <v>210</v>
      </c>
      <c r="C28" s="64"/>
      <c r="D28" s="65"/>
      <c r="E28" s="102">
        <f t="shared" si="0"/>
        <v>0</v>
      </c>
      <c r="F28" s="50"/>
    </row>
    <row r="29" spans="1:256">
      <c r="A29" s="27">
        <v>8</v>
      </c>
      <c r="B29" s="125" t="s">
        <v>211</v>
      </c>
      <c r="C29" s="64"/>
      <c r="D29" s="65"/>
      <c r="E29" s="102">
        <f t="shared" si="0"/>
        <v>0</v>
      </c>
      <c r="F29" s="50"/>
    </row>
    <row r="30" spans="1:256">
      <c r="A30" s="27">
        <v>9</v>
      </c>
      <c r="B30" s="125" t="s">
        <v>212</v>
      </c>
      <c r="C30" s="64"/>
      <c r="D30" s="65"/>
      <c r="E30" s="102">
        <f t="shared" si="0"/>
        <v>0</v>
      </c>
      <c r="F30" s="50"/>
    </row>
    <row r="31" spans="1:256">
      <c r="A31" s="27">
        <v>10</v>
      </c>
      <c r="B31" s="125" t="s">
        <v>213</v>
      </c>
      <c r="C31" s="64"/>
      <c r="D31" s="65"/>
      <c r="E31" s="102">
        <f t="shared" si="0"/>
        <v>0</v>
      </c>
      <c r="F31" s="50"/>
    </row>
    <row r="32" spans="1:256">
      <c r="A32" s="27">
        <v>11</v>
      </c>
      <c r="B32" s="125" t="s">
        <v>214</v>
      </c>
      <c r="C32" s="64"/>
      <c r="D32" s="65"/>
      <c r="E32" s="102">
        <f t="shared" si="0"/>
        <v>0</v>
      </c>
      <c r="F32" s="50"/>
    </row>
    <row r="33" spans="1:6">
      <c r="A33" s="27">
        <v>12</v>
      </c>
      <c r="B33" s="125" t="s">
        <v>215</v>
      </c>
      <c r="C33" s="64"/>
      <c r="D33" s="65"/>
      <c r="E33" s="102">
        <f t="shared" si="0"/>
        <v>0</v>
      </c>
      <c r="F33" s="50"/>
    </row>
    <row r="34" spans="1:6" ht="21" customHeight="1">
      <c r="A34" s="27">
        <v>13</v>
      </c>
      <c r="B34" s="125" t="s">
        <v>216</v>
      </c>
      <c r="C34" s="64"/>
      <c r="D34" s="65"/>
      <c r="E34" s="102">
        <f t="shared" si="0"/>
        <v>0</v>
      </c>
      <c r="F34" s="50"/>
    </row>
    <row r="35" spans="1:6">
      <c r="A35" s="27">
        <v>14</v>
      </c>
      <c r="B35" s="125" t="s">
        <v>217</v>
      </c>
      <c r="C35" s="64"/>
      <c r="D35" s="65"/>
      <c r="E35" s="102">
        <f t="shared" si="0"/>
        <v>0</v>
      </c>
      <c r="F35" s="50"/>
    </row>
    <row r="36" spans="1:6" ht="39" customHeight="1">
      <c r="A36" s="27">
        <v>15</v>
      </c>
      <c r="B36" s="125" t="s">
        <v>218</v>
      </c>
      <c r="C36" s="64"/>
      <c r="D36" s="65"/>
      <c r="E36" s="102">
        <f t="shared" si="0"/>
        <v>0</v>
      </c>
      <c r="F36" s="50"/>
    </row>
    <row r="37" spans="1:6">
      <c r="A37" s="27">
        <v>16</v>
      </c>
      <c r="B37" s="125" t="s">
        <v>219</v>
      </c>
      <c r="C37" s="64"/>
      <c r="D37" s="65"/>
      <c r="E37" s="102">
        <f t="shared" si="0"/>
        <v>0</v>
      </c>
      <c r="F37" s="50"/>
    </row>
    <row r="38" spans="1:6" ht="49.9" customHeight="1">
      <c r="A38" s="27"/>
      <c r="B38" s="125" t="s">
        <v>1312</v>
      </c>
      <c r="C38" s="64"/>
      <c r="D38" s="65"/>
      <c r="E38" s="102">
        <f>IFERROR(C38*D38,)</f>
        <v>0</v>
      </c>
      <c r="F38" s="50"/>
    </row>
    <row r="39" spans="1:6" ht="88.15" customHeight="1">
      <c r="A39" s="27">
        <v>19</v>
      </c>
      <c r="B39" s="125" t="s">
        <v>1313</v>
      </c>
      <c r="C39" s="115"/>
      <c r="D39" s="115"/>
      <c r="E39" s="103"/>
      <c r="F39" s="28"/>
    </row>
    <row r="40" spans="1:6">
      <c r="A40" s="27">
        <v>19.100000000000001</v>
      </c>
      <c r="B40" s="124" t="s">
        <v>220</v>
      </c>
      <c r="C40" s="64"/>
      <c r="D40" s="65"/>
      <c r="E40" s="102">
        <f t="shared" ref="E40:E49" si="1">IFERROR(C40*D40,)</f>
        <v>0</v>
      </c>
      <c r="F40" s="50"/>
    </row>
    <row r="41" spans="1:6">
      <c r="A41" s="27">
        <v>19.2</v>
      </c>
      <c r="B41" s="124" t="s">
        <v>221</v>
      </c>
      <c r="C41" s="64"/>
      <c r="D41" s="65"/>
      <c r="E41" s="102">
        <f t="shared" si="1"/>
        <v>0</v>
      </c>
      <c r="F41" s="50"/>
    </row>
    <row r="42" spans="1:6">
      <c r="A42" s="27">
        <v>19.3</v>
      </c>
      <c r="B42" s="124" t="s">
        <v>222</v>
      </c>
      <c r="C42" s="64"/>
      <c r="D42" s="65"/>
      <c r="E42" s="102">
        <f t="shared" si="1"/>
        <v>0</v>
      </c>
      <c r="F42" s="50"/>
    </row>
    <row r="43" spans="1:6">
      <c r="A43" s="27">
        <v>19.399999999999999</v>
      </c>
      <c r="B43" s="124" t="s">
        <v>223</v>
      </c>
      <c r="C43" s="64"/>
      <c r="D43" s="65"/>
      <c r="E43" s="102">
        <f t="shared" si="1"/>
        <v>0</v>
      </c>
      <c r="F43" s="50"/>
    </row>
    <row r="44" spans="1:6">
      <c r="A44" s="27">
        <v>19.5</v>
      </c>
      <c r="B44" s="124" t="s">
        <v>224</v>
      </c>
      <c r="C44" s="64"/>
      <c r="D44" s="65"/>
      <c r="E44" s="102">
        <f t="shared" si="1"/>
        <v>0</v>
      </c>
      <c r="F44" s="50"/>
    </row>
    <row r="45" spans="1:6">
      <c r="A45" s="27">
        <v>19.600000000000001</v>
      </c>
      <c r="B45" s="124" t="s">
        <v>225</v>
      </c>
      <c r="C45" s="64"/>
      <c r="D45" s="65"/>
      <c r="E45" s="102">
        <f t="shared" si="1"/>
        <v>0</v>
      </c>
      <c r="F45" s="50"/>
    </row>
    <row r="46" spans="1:6">
      <c r="A46" s="27"/>
      <c r="B46" s="124" t="s">
        <v>1314</v>
      </c>
      <c r="C46" s="64"/>
      <c r="D46" s="65"/>
      <c r="E46" s="102">
        <f t="shared" si="1"/>
        <v>0</v>
      </c>
      <c r="F46" s="50"/>
    </row>
    <row r="47" spans="1:6">
      <c r="A47" s="27">
        <v>19.7</v>
      </c>
      <c r="B47" s="124" t="s">
        <v>226</v>
      </c>
      <c r="C47" s="64"/>
      <c r="D47" s="65"/>
      <c r="E47" s="102">
        <f t="shared" si="1"/>
        <v>0</v>
      </c>
      <c r="F47" s="50"/>
    </row>
    <row r="48" spans="1:6">
      <c r="A48" s="27">
        <v>19.8</v>
      </c>
      <c r="B48" s="124" t="s">
        <v>227</v>
      </c>
      <c r="C48" s="64"/>
      <c r="D48" s="65"/>
      <c r="E48" s="102">
        <f t="shared" si="1"/>
        <v>0</v>
      </c>
      <c r="F48" s="50"/>
    </row>
    <row r="49" spans="1:6">
      <c r="A49" s="27">
        <v>19.899999999999999</v>
      </c>
      <c r="B49" s="124" t="s">
        <v>228</v>
      </c>
      <c r="C49" s="64"/>
      <c r="D49" s="65"/>
      <c r="E49" s="102">
        <f t="shared" si="1"/>
        <v>0</v>
      </c>
      <c r="F49" s="50"/>
    </row>
    <row r="50" spans="1:6" ht="31.5">
      <c r="A50" s="27"/>
      <c r="B50" s="125" t="s">
        <v>1315</v>
      </c>
      <c r="C50" s="120"/>
      <c r="D50" s="121"/>
      <c r="E50" s="122"/>
      <c r="F50" s="28"/>
    </row>
    <row r="51" spans="1:6">
      <c r="A51" s="27"/>
      <c r="B51" s="124" t="s">
        <v>1318</v>
      </c>
      <c r="C51" s="64"/>
      <c r="D51" s="65"/>
      <c r="E51" s="102">
        <f t="shared" ref="E51:E81" si="2">IFERROR(C51*D51,)</f>
        <v>0</v>
      </c>
      <c r="F51" s="50"/>
    </row>
    <row r="52" spans="1:6">
      <c r="A52" s="27"/>
      <c r="B52" s="124" t="s">
        <v>1319</v>
      </c>
      <c r="C52" s="64"/>
      <c r="D52" s="65"/>
      <c r="E52" s="102">
        <f t="shared" si="2"/>
        <v>0</v>
      </c>
      <c r="F52" s="50"/>
    </row>
    <row r="53" spans="1:6">
      <c r="A53" s="27"/>
      <c r="B53" s="124" t="s">
        <v>1320</v>
      </c>
      <c r="C53" s="64"/>
      <c r="D53" s="65"/>
      <c r="E53" s="102">
        <f t="shared" si="2"/>
        <v>0</v>
      </c>
      <c r="F53" s="50"/>
    </row>
    <row r="54" spans="1:6">
      <c r="A54" s="27"/>
      <c r="B54" s="124" t="s">
        <v>1321</v>
      </c>
      <c r="C54" s="64"/>
      <c r="D54" s="65"/>
      <c r="E54" s="102">
        <f t="shared" si="2"/>
        <v>0</v>
      </c>
      <c r="F54" s="50"/>
    </row>
    <row r="55" spans="1:6">
      <c r="A55" s="27"/>
      <c r="B55" s="124" t="s">
        <v>1322</v>
      </c>
      <c r="C55" s="64"/>
      <c r="D55" s="65"/>
      <c r="E55" s="102">
        <f t="shared" si="2"/>
        <v>0</v>
      </c>
      <c r="F55" s="50"/>
    </row>
    <row r="56" spans="1:6">
      <c r="A56" s="27"/>
      <c r="B56" s="124" t="s">
        <v>1323</v>
      </c>
      <c r="C56" s="64"/>
      <c r="D56" s="65"/>
      <c r="E56" s="102">
        <f t="shared" si="2"/>
        <v>0</v>
      </c>
      <c r="F56" s="50"/>
    </row>
    <row r="57" spans="1:6">
      <c r="A57" s="27"/>
      <c r="B57" s="124" t="s">
        <v>1324</v>
      </c>
      <c r="C57" s="64"/>
      <c r="D57" s="65"/>
      <c r="E57" s="102">
        <f t="shared" si="2"/>
        <v>0</v>
      </c>
      <c r="F57" s="50"/>
    </row>
    <row r="58" spans="1:6">
      <c r="A58" s="27"/>
      <c r="B58" s="124" t="s">
        <v>1325</v>
      </c>
      <c r="C58" s="64"/>
      <c r="D58" s="65"/>
      <c r="E58" s="102">
        <f t="shared" si="2"/>
        <v>0</v>
      </c>
      <c r="F58" s="50"/>
    </row>
    <row r="59" spans="1:6">
      <c r="A59" s="27"/>
      <c r="B59" s="124" t="s">
        <v>1326</v>
      </c>
      <c r="C59" s="64"/>
      <c r="D59" s="65"/>
      <c r="E59" s="102">
        <f t="shared" si="2"/>
        <v>0</v>
      </c>
      <c r="F59" s="50"/>
    </row>
    <row r="60" spans="1:6">
      <c r="A60" s="27"/>
      <c r="B60" s="124" t="s">
        <v>1336</v>
      </c>
      <c r="C60" s="64"/>
      <c r="D60" s="65"/>
      <c r="E60" s="102">
        <f t="shared" si="2"/>
        <v>0</v>
      </c>
      <c r="F60" s="50"/>
    </row>
    <row r="61" spans="1:6">
      <c r="A61" s="27"/>
      <c r="B61" s="124" t="s">
        <v>1327</v>
      </c>
      <c r="C61" s="64"/>
      <c r="D61" s="65"/>
      <c r="E61" s="102">
        <f t="shared" si="2"/>
        <v>0</v>
      </c>
      <c r="F61" s="50"/>
    </row>
    <row r="62" spans="1:6">
      <c r="A62" s="27"/>
      <c r="B62" s="124" t="s">
        <v>1328</v>
      </c>
      <c r="C62" s="64"/>
      <c r="D62" s="65"/>
      <c r="E62" s="102">
        <f t="shared" si="2"/>
        <v>0</v>
      </c>
      <c r="F62" s="50"/>
    </row>
    <row r="63" spans="1:6">
      <c r="A63" s="27"/>
      <c r="B63" s="124" t="s">
        <v>1329</v>
      </c>
      <c r="C63" s="64"/>
      <c r="D63" s="65"/>
      <c r="E63" s="102">
        <f t="shared" si="2"/>
        <v>0</v>
      </c>
      <c r="F63" s="50"/>
    </row>
    <row r="64" spans="1:6">
      <c r="A64" s="27"/>
      <c r="B64" s="124" t="s">
        <v>1330</v>
      </c>
      <c r="C64" s="64"/>
      <c r="D64" s="65"/>
      <c r="E64" s="102">
        <f>IFERROR(C64*D64,)</f>
        <v>0</v>
      </c>
      <c r="F64" s="50"/>
    </row>
    <row r="65" spans="1:6">
      <c r="A65" s="27"/>
      <c r="B65" s="124" t="s">
        <v>1331</v>
      </c>
      <c r="C65" s="64"/>
      <c r="D65" s="65"/>
      <c r="E65" s="102">
        <f t="shared" si="2"/>
        <v>0</v>
      </c>
      <c r="F65" s="50"/>
    </row>
    <row r="66" spans="1:6">
      <c r="A66" s="27"/>
      <c r="B66" s="124" t="s">
        <v>1332</v>
      </c>
      <c r="C66" s="64"/>
      <c r="D66" s="65"/>
      <c r="E66" s="102">
        <f t="shared" si="2"/>
        <v>0</v>
      </c>
      <c r="F66" s="50"/>
    </row>
    <row r="67" spans="1:6">
      <c r="A67" s="27"/>
      <c r="B67" s="124" t="s">
        <v>1333</v>
      </c>
      <c r="C67" s="64"/>
      <c r="D67" s="65"/>
      <c r="E67" s="102">
        <f t="shared" si="2"/>
        <v>0</v>
      </c>
      <c r="F67" s="50"/>
    </row>
    <row r="68" spans="1:6">
      <c r="A68" s="27"/>
      <c r="B68" s="124" t="s">
        <v>1334</v>
      </c>
      <c r="C68" s="64"/>
      <c r="D68" s="65"/>
      <c r="E68" s="102">
        <f t="shared" si="2"/>
        <v>0</v>
      </c>
      <c r="F68" s="50"/>
    </row>
    <row r="69" spans="1:6">
      <c r="A69" s="27"/>
      <c r="B69" s="124" t="s">
        <v>1335</v>
      </c>
      <c r="C69" s="64"/>
      <c r="D69" s="65"/>
      <c r="E69" s="102">
        <f t="shared" si="2"/>
        <v>0</v>
      </c>
      <c r="F69" s="50"/>
    </row>
    <row r="70" spans="1:6" ht="31.15" customHeight="1">
      <c r="A70" s="27"/>
      <c r="B70" s="125" t="s">
        <v>1317</v>
      </c>
      <c r="C70" s="120"/>
      <c r="D70" s="121"/>
      <c r="E70" s="122"/>
      <c r="F70" s="28"/>
    </row>
    <row r="71" spans="1:6">
      <c r="A71" s="27"/>
      <c r="B71" s="124" t="s">
        <v>1337</v>
      </c>
      <c r="C71" s="64"/>
      <c r="D71" s="65"/>
      <c r="E71" s="102">
        <f t="shared" si="2"/>
        <v>0</v>
      </c>
      <c r="F71" s="50"/>
    </row>
    <row r="72" spans="1:6">
      <c r="A72" s="27"/>
      <c r="B72" s="124" t="s">
        <v>0</v>
      </c>
      <c r="C72" s="64"/>
      <c r="D72" s="65"/>
      <c r="E72" s="102">
        <f t="shared" si="2"/>
        <v>0</v>
      </c>
      <c r="F72" s="50"/>
    </row>
    <row r="73" spans="1:6">
      <c r="A73" s="27"/>
      <c r="B73" s="124" t="s">
        <v>1</v>
      </c>
      <c r="C73" s="64"/>
      <c r="D73" s="65"/>
      <c r="E73" s="102">
        <f t="shared" si="2"/>
        <v>0</v>
      </c>
      <c r="F73" s="50"/>
    </row>
    <row r="74" spans="1:6">
      <c r="A74" s="27"/>
      <c r="B74" s="124" t="s">
        <v>2</v>
      </c>
      <c r="C74" s="64"/>
      <c r="D74" s="65"/>
      <c r="E74" s="102">
        <f t="shared" si="2"/>
        <v>0</v>
      </c>
      <c r="F74" s="50"/>
    </row>
    <row r="75" spans="1:6">
      <c r="A75" s="27"/>
      <c r="B75" s="124" t="s">
        <v>3</v>
      </c>
      <c r="C75" s="64"/>
      <c r="D75" s="65"/>
      <c r="E75" s="102">
        <f t="shared" si="2"/>
        <v>0</v>
      </c>
      <c r="F75" s="50"/>
    </row>
    <row r="76" spans="1:6">
      <c r="A76" s="27"/>
      <c r="B76" s="124" t="s">
        <v>4</v>
      </c>
      <c r="C76" s="64"/>
      <c r="D76" s="65"/>
      <c r="E76" s="102">
        <f>IFERROR(C76*D76,)</f>
        <v>0</v>
      </c>
      <c r="F76" s="50"/>
    </row>
    <row r="77" spans="1:6">
      <c r="A77" s="27"/>
      <c r="B77" s="124" t="s">
        <v>5</v>
      </c>
      <c r="C77" s="64"/>
      <c r="D77" s="65"/>
      <c r="E77" s="102">
        <f t="shared" si="2"/>
        <v>0</v>
      </c>
      <c r="F77" s="50"/>
    </row>
    <row r="78" spans="1:6">
      <c r="A78" s="27"/>
      <c r="B78" s="124" t="s">
        <v>6</v>
      </c>
      <c r="C78" s="64"/>
      <c r="D78" s="65"/>
      <c r="E78" s="102">
        <f t="shared" si="2"/>
        <v>0</v>
      </c>
      <c r="F78" s="50"/>
    </row>
    <row r="79" spans="1:6">
      <c r="A79" s="27"/>
      <c r="B79" s="124" t="s">
        <v>7</v>
      </c>
      <c r="C79" s="64"/>
      <c r="D79" s="65"/>
      <c r="E79" s="102">
        <f t="shared" si="2"/>
        <v>0</v>
      </c>
      <c r="F79" s="50"/>
    </row>
    <row r="80" spans="1:6" ht="31.5">
      <c r="A80" s="27"/>
      <c r="B80" s="124" t="s">
        <v>8</v>
      </c>
      <c r="C80" s="64"/>
      <c r="D80" s="65"/>
      <c r="E80" s="102">
        <f t="shared" si="2"/>
        <v>0</v>
      </c>
      <c r="F80" s="50"/>
    </row>
    <row r="81" spans="1:6">
      <c r="A81" s="27"/>
      <c r="B81" s="124" t="s">
        <v>9</v>
      </c>
      <c r="C81" s="64"/>
      <c r="D81" s="65"/>
      <c r="E81" s="102">
        <f t="shared" si="2"/>
        <v>0</v>
      </c>
      <c r="F81" s="50"/>
    </row>
    <row r="82" spans="1:6" ht="22.15" customHeight="1">
      <c r="A82" s="27"/>
      <c r="B82" s="125" t="s">
        <v>1316</v>
      </c>
      <c r="C82" s="64"/>
      <c r="D82" s="65"/>
      <c r="E82" s="102">
        <f t="shared" ref="E82:E90" si="3">IFERROR(C82*D82,)</f>
        <v>0</v>
      </c>
      <c r="F82" s="50"/>
    </row>
    <row r="83" spans="1:6" ht="22.15" customHeight="1">
      <c r="A83" s="27">
        <v>20</v>
      </c>
      <c r="B83" s="125" t="s">
        <v>1276</v>
      </c>
      <c r="C83" s="64"/>
      <c r="D83" s="65"/>
      <c r="E83" s="102">
        <f t="shared" si="3"/>
        <v>0</v>
      </c>
      <c r="F83" s="50"/>
    </row>
    <row r="84" spans="1:6" ht="21" customHeight="1">
      <c r="A84" s="27">
        <v>21</v>
      </c>
      <c r="B84" s="125" t="s">
        <v>1277</v>
      </c>
      <c r="C84" s="64"/>
      <c r="D84" s="65"/>
      <c r="E84" s="102">
        <f t="shared" si="3"/>
        <v>0</v>
      </c>
      <c r="F84" s="50"/>
    </row>
    <row r="85" spans="1:6">
      <c r="A85" s="27">
        <v>22</v>
      </c>
      <c r="B85" s="125" t="s">
        <v>229</v>
      </c>
      <c r="C85" s="64"/>
      <c r="D85" s="65"/>
      <c r="E85" s="102">
        <f t="shared" si="3"/>
        <v>0</v>
      </c>
      <c r="F85" s="50"/>
    </row>
    <row r="86" spans="1:6">
      <c r="A86" s="27">
        <v>23</v>
      </c>
      <c r="B86" s="125" t="s">
        <v>230</v>
      </c>
      <c r="C86" s="64"/>
      <c r="D86" s="65"/>
      <c r="E86" s="102">
        <f t="shared" si="3"/>
        <v>0</v>
      </c>
      <c r="F86" s="50"/>
    </row>
    <row r="87" spans="1:6">
      <c r="A87" s="27">
        <v>24</v>
      </c>
      <c r="B87" s="125" t="s">
        <v>231</v>
      </c>
      <c r="C87" s="64"/>
      <c r="D87" s="65"/>
      <c r="E87" s="102">
        <f t="shared" si="3"/>
        <v>0</v>
      </c>
      <c r="F87" s="50"/>
    </row>
    <row r="88" spans="1:6" ht="31.5">
      <c r="A88" s="27">
        <v>25</v>
      </c>
      <c r="B88" s="125" t="s">
        <v>232</v>
      </c>
      <c r="C88" s="64"/>
      <c r="D88" s="65"/>
      <c r="E88" s="102">
        <f t="shared" si="3"/>
        <v>0</v>
      </c>
      <c r="F88" s="50"/>
    </row>
    <row r="89" spans="1:6">
      <c r="A89" s="27">
        <v>26</v>
      </c>
      <c r="B89" s="125" t="s">
        <v>233</v>
      </c>
      <c r="C89" s="64"/>
      <c r="D89" s="65"/>
      <c r="E89" s="102">
        <f t="shared" si="3"/>
        <v>0</v>
      </c>
      <c r="F89" s="50"/>
    </row>
    <row r="90" spans="1:6">
      <c r="A90" s="27">
        <v>27</v>
      </c>
      <c r="B90" s="125" t="s">
        <v>234</v>
      </c>
      <c r="C90" s="64"/>
      <c r="D90" s="65"/>
      <c r="E90" s="102">
        <f t="shared" si="3"/>
        <v>0</v>
      </c>
      <c r="F90" s="50"/>
    </row>
    <row r="91" spans="1:6" ht="47.25">
      <c r="A91" s="27">
        <v>28</v>
      </c>
      <c r="B91" s="125" t="s">
        <v>1278</v>
      </c>
      <c r="C91" s="115"/>
      <c r="D91" s="115">
        <v>0</v>
      </c>
      <c r="E91" s="103"/>
      <c r="F91" s="28"/>
    </row>
    <row r="92" spans="1:6">
      <c r="A92" s="27">
        <v>28.1</v>
      </c>
      <c r="B92" s="124" t="s">
        <v>235</v>
      </c>
      <c r="C92" s="64"/>
      <c r="D92" s="65"/>
      <c r="E92" s="102">
        <f t="shared" ref="E92:E97" si="4">IFERROR(C92*D92,)</f>
        <v>0</v>
      </c>
      <c r="F92" s="50"/>
    </row>
    <row r="93" spans="1:6">
      <c r="A93" s="27">
        <v>28.2</v>
      </c>
      <c r="B93" s="124" t="s">
        <v>236</v>
      </c>
      <c r="C93" s="64"/>
      <c r="D93" s="65"/>
      <c r="E93" s="102">
        <f t="shared" si="4"/>
        <v>0</v>
      </c>
      <c r="F93" s="50"/>
    </row>
    <row r="94" spans="1:6">
      <c r="A94" s="27">
        <v>28.3</v>
      </c>
      <c r="B94" s="124" t="s">
        <v>237</v>
      </c>
      <c r="C94" s="64"/>
      <c r="D94" s="65"/>
      <c r="E94" s="102">
        <f t="shared" si="4"/>
        <v>0</v>
      </c>
      <c r="F94" s="50"/>
    </row>
    <row r="95" spans="1:6">
      <c r="A95" s="27">
        <v>28.4</v>
      </c>
      <c r="B95" s="124" t="s">
        <v>238</v>
      </c>
      <c r="C95" s="64"/>
      <c r="D95" s="65"/>
      <c r="E95" s="102">
        <f t="shared" si="4"/>
        <v>0</v>
      </c>
      <c r="F95" s="50"/>
    </row>
    <row r="96" spans="1:6">
      <c r="A96" s="27">
        <v>28.5</v>
      </c>
      <c r="B96" s="124" t="s">
        <v>239</v>
      </c>
      <c r="C96" s="64"/>
      <c r="D96" s="65"/>
      <c r="E96" s="102">
        <f t="shared" si="4"/>
        <v>0</v>
      </c>
      <c r="F96" s="50"/>
    </row>
    <row r="97" spans="1:6">
      <c r="A97" s="27">
        <v>28.6</v>
      </c>
      <c r="B97" s="124" t="s">
        <v>240</v>
      </c>
      <c r="C97" s="64"/>
      <c r="D97" s="65"/>
      <c r="E97" s="102">
        <f t="shared" si="4"/>
        <v>0</v>
      </c>
      <c r="F97" s="50"/>
    </row>
    <row r="98" spans="1:6" ht="47.25">
      <c r="A98" s="27">
        <v>29</v>
      </c>
      <c r="B98" s="125" t="s">
        <v>1279</v>
      </c>
      <c r="C98" s="115"/>
      <c r="D98" s="115"/>
      <c r="E98" s="103"/>
      <c r="F98" s="28"/>
    </row>
    <row r="99" spans="1:6">
      <c r="A99" s="27">
        <v>29.1</v>
      </c>
      <c r="B99" s="124" t="s">
        <v>1280</v>
      </c>
      <c r="C99" s="64"/>
      <c r="D99" s="65"/>
      <c r="E99" s="102">
        <f t="shared" ref="E99:E104" si="5">IFERROR(C99*D99,)</f>
        <v>0</v>
      </c>
      <c r="F99" s="50"/>
    </row>
    <row r="100" spans="1:6">
      <c r="A100" s="27">
        <v>29.2</v>
      </c>
      <c r="B100" s="124" t="s">
        <v>241</v>
      </c>
      <c r="C100" s="64"/>
      <c r="D100" s="65"/>
      <c r="E100" s="102">
        <f t="shared" si="5"/>
        <v>0</v>
      </c>
      <c r="F100" s="50"/>
    </row>
    <row r="101" spans="1:6">
      <c r="A101" s="27">
        <v>30</v>
      </c>
      <c r="B101" s="125" t="s">
        <v>242</v>
      </c>
      <c r="C101" s="64"/>
      <c r="D101" s="65"/>
      <c r="E101" s="102">
        <f t="shared" si="5"/>
        <v>0</v>
      </c>
      <c r="F101" s="50"/>
    </row>
    <row r="102" spans="1:6" ht="31.5">
      <c r="A102" s="27">
        <v>31</v>
      </c>
      <c r="B102" s="125" t="s">
        <v>243</v>
      </c>
      <c r="C102" s="64"/>
      <c r="D102" s="65"/>
      <c r="E102" s="102">
        <f t="shared" si="5"/>
        <v>0</v>
      </c>
      <c r="F102" s="50"/>
    </row>
    <row r="103" spans="1:6" ht="31.5">
      <c r="A103" s="27">
        <v>32</v>
      </c>
      <c r="B103" s="125" t="s">
        <v>244</v>
      </c>
      <c r="C103" s="64"/>
      <c r="D103" s="65"/>
      <c r="E103" s="102">
        <f t="shared" si="5"/>
        <v>0</v>
      </c>
      <c r="F103" s="50"/>
    </row>
    <row r="104" spans="1:6" ht="31.5">
      <c r="A104" s="27">
        <v>33</v>
      </c>
      <c r="B104" s="125" t="s">
        <v>1231</v>
      </c>
      <c r="C104" s="64"/>
      <c r="D104" s="65"/>
      <c r="E104" s="102">
        <f t="shared" si="5"/>
        <v>0</v>
      </c>
      <c r="F104" s="50"/>
    </row>
    <row r="105" spans="1:6" s="66" customFormat="1" ht="47.25">
      <c r="A105" s="27">
        <v>0</v>
      </c>
      <c r="B105" s="126" t="s">
        <v>1248</v>
      </c>
      <c r="C105" s="74"/>
      <c r="D105" s="75"/>
      <c r="E105" s="101">
        <f>SUM($E$106:$E$118)</f>
        <v>0</v>
      </c>
      <c r="F105" s="68"/>
    </row>
    <row r="106" spans="1:6">
      <c r="A106" s="27">
        <v>34</v>
      </c>
      <c r="B106" s="125" t="s">
        <v>1245</v>
      </c>
      <c r="C106" s="64"/>
      <c r="D106" s="65"/>
      <c r="E106" s="102">
        <f t="shared" ref="E106:E118" si="6">IFERROR(C106*D106,)</f>
        <v>0</v>
      </c>
      <c r="F106" s="50"/>
    </row>
    <row r="107" spans="1:6">
      <c r="A107" s="27">
        <v>35</v>
      </c>
      <c r="B107" s="125" t="s">
        <v>1232</v>
      </c>
      <c r="C107" s="64"/>
      <c r="D107" s="65"/>
      <c r="E107" s="102">
        <f t="shared" si="6"/>
        <v>0</v>
      </c>
      <c r="F107" s="50"/>
    </row>
    <row r="108" spans="1:6">
      <c r="A108" s="27">
        <v>36</v>
      </c>
      <c r="B108" s="125" t="s">
        <v>1233</v>
      </c>
      <c r="C108" s="64"/>
      <c r="D108" s="65"/>
      <c r="E108" s="102">
        <f t="shared" si="6"/>
        <v>0</v>
      </c>
      <c r="F108" s="50"/>
    </row>
    <row r="109" spans="1:6">
      <c r="A109" s="27">
        <v>37</v>
      </c>
      <c r="B109" s="125" t="s">
        <v>1234</v>
      </c>
      <c r="C109" s="64"/>
      <c r="D109" s="65"/>
      <c r="E109" s="102">
        <f t="shared" si="6"/>
        <v>0</v>
      </c>
      <c r="F109" s="50"/>
    </row>
    <row r="110" spans="1:6">
      <c r="A110" s="27">
        <v>38</v>
      </c>
      <c r="B110" s="125" t="s">
        <v>1235</v>
      </c>
      <c r="C110" s="64"/>
      <c r="D110" s="65"/>
      <c r="E110" s="102">
        <f t="shared" si="6"/>
        <v>0</v>
      </c>
      <c r="F110" s="50"/>
    </row>
    <row r="111" spans="1:6">
      <c r="A111" s="27">
        <v>39</v>
      </c>
      <c r="B111" s="125" t="s">
        <v>1236</v>
      </c>
      <c r="C111" s="64"/>
      <c r="D111" s="65"/>
      <c r="E111" s="102">
        <f t="shared" si="6"/>
        <v>0</v>
      </c>
      <c r="F111" s="50"/>
    </row>
    <row r="112" spans="1:6">
      <c r="A112" s="27">
        <v>40</v>
      </c>
      <c r="B112" s="125" t="s">
        <v>1237</v>
      </c>
      <c r="C112" s="64"/>
      <c r="D112" s="65"/>
      <c r="E112" s="102">
        <f t="shared" si="6"/>
        <v>0</v>
      </c>
      <c r="F112" s="50"/>
    </row>
    <row r="113" spans="1:6">
      <c r="A113" s="27">
        <v>41</v>
      </c>
      <c r="B113" s="125" t="s">
        <v>1238</v>
      </c>
      <c r="C113" s="64"/>
      <c r="D113" s="65"/>
      <c r="E113" s="102">
        <f t="shared" si="6"/>
        <v>0</v>
      </c>
      <c r="F113" s="50"/>
    </row>
    <row r="114" spans="1:6">
      <c r="A114" s="27">
        <v>42</v>
      </c>
      <c r="B114" s="125" t="s">
        <v>1239</v>
      </c>
      <c r="C114" s="64"/>
      <c r="D114" s="65"/>
      <c r="E114" s="102">
        <f t="shared" si="6"/>
        <v>0</v>
      </c>
      <c r="F114" s="50"/>
    </row>
    <row r="115" spans="1:6">
      <c r="A115" s="27">
        <v>43</v>
      </c>
      <c r="B115" s="125" t="s">
        <v>1240</v>
      </c>
      <c r="C115" s="64"/>
      <c r="D115" s="65"/>
      <c r="E115" s="102">
        <f t="shared" si="6"/>
        <v>0</v>
      </c>
      <c r="F115" s="50"/>
    </row>
    <row r="116" spans="1:6">
      <c r="A116" s="27">
        <v>44</v>
      </c>
      <c r="B116" s="125" t="s">
        <v>1241</v>
      </c>
      <c r="C116" s="64"/>
      <c r="D116" s="65"/>
      <c r="E116" s="102">
        <f t="shared" si="6"/>
        <v>0</v>
      </c>
      <c r="F116" s="50"/>
    </row>
    <row r="117" spans="1:6">
      <c r="A117" s="27">
        <v>45</v>
      </c>
      <c r="B117" s="125" t="s">
        <v>1242</v>
      </c>
      <c r="C117" s="64"/>
      <c r="D117" s="65"/>
      <c r="E117" s="102">
        <f t="shared" si="6"/>
        <v>0</v>
      </c>
      <c r="F117" s="50"/>
    </row>
    <row r="118" spans="1:6">
      <c r="A118" s="27">
        <v>46</v>
      </c>
      <c r="B118" s="125" t="s">
        <v>1243</v>
      </c>
      <c r="C118" s="64"/>
      <c r="D118" s="65"/>
      <c r="E118" s="102">
        <f t="shared" si="6"/>
        <v>0</v>
      </c>
      <c r="F118" s="50"/>
    </row>
    <row r="119" spans="1:6" ht="39.6" customHeight="1">
      <c r="A119" s="27">
        <v>0</v>
      </c>
      <c r="B119" s="126" t="s">
        <v>1249</v>
      </c>
      <c r="C119" s="62"/>
      <c r="D119" s="63"/>
      <c r="E119" s="101">
        <f>SUM($E$120:$E$124)</f>
        <v>1000</v>
      </c>
      <c r="F119" s="28"/>
    </row>
    <row r="120" spans="1:6" ht="31.5">
      <c r="A120" s="27">
        <v>47</v>
      </c>
      <c r="B120" s="125" t="s">
        <v>1244</v>
      </c>
      <c r="C120" s="64"/>
      <c r="D120" s="65"/>
      <c r="E120" s="102">
        <f>IFERROR(C120*D120,)</f>
        <v>0</v>
      </c>
      <c r="F120" s="50"/>
    </row>
    <row r="121" spans="1:6" ht="47.25">
      <c r="A121" s="27">
        <v>48</v>
      </c>
      <c r="B121" s="125" t="s">
        <v>1281</v>
      </c>
      <c r="C121" s="64"/>
      <c r="D121" s="65"/>
      <c r="E121" s="102">
        <f>IFERROR(C121*D121,)</f>
        <v>0</v>
      </c>
      <c r="F121" s="50"/>
    </row>
    <row r="122" spans="1:6">
      <c r="A122" s="27">
        <v>49</v>
      </c>
      <c r="B122" s="125" t="s">
        <v>1282</v>
      </c>
      <c r="C122" s="64"/>
      <c r="D122" s="65"/>
      <c r="E122" s="102">
        <f>IFERROR(C122*D122,)</f>
        <v>0</v>
      </c>
      <c r="F122" s="50"/>
    </row>
    <row r="123" spans="1:6" ht="31.5">
      <c r="A123" s="27">
        <v>50</v>
      </c>
      <c r="B123" s="119" t="s">
        <v>1246</v>
      </c>
      <c r="C123" s="64"/>
      <c r="D123" s="65"/>
      <c r="E123" s="102">
        <f>IFERROR(C123*D123,)</f>
        <v>0</v>
      </c>
      <c r="F123" s="50"/>
    </row>
    <row r="124" spans="1:6">
      <c r="A124" s="27">
        <v>51</v>
      </c>
      <c r="B124" s="119" t="s">
        <v>1247</v>
      </c>
      <c r="C124" s="64">
        <v>1</v>
      </c>
      <c r="D124" s="65">
        <v>1000</v>
      </c>
      <c r="E124" s="102">
        <f>IFERROR(C124*D124,)</f>
        <v>1000</v>
      </c>
      <c r="F124" s="50"/>
    </row>
    <row r="125" spans="1:6">
      <c r="A125" s="27"/>
      <c r="B125" s="67" t="s">
        <v>135</v>
      </c>
      <c r="C125" s="62"/>
      <c r="D125" s="63"/>
      <c r="E125" s="101">
        <f>SUM($E$126:$E$136)</f>
        <v>0</v>
      </c>
      <c r="F125" s="28"/>
    </row>
    <row r="126" spans="1:6">
      <c r="A126" s="27"/>
      <c r="B126" s="51"/>
      <c r="C126" s="64"/>
      <c r="D126" s="65"/>
      <c r="E126" s="102">
        <f t="shared" ref="E126:E136" si="7">IFERROR(C126*D126,)</f>
        <v>0</v>
      </c>
      <c r="F126" s="50"/>
    </row>
    <row r="127" spans="1:6">
      <c r="A127" s="27"/>
      <c r="B127" s="51"/>
      <c r="C127" s="64"/>
      <c r="D127" s="65"/>
      <c r="E127" s="102">
        <f t="shared" si="7"/>
        <v>0</v>
      </c>
      <c r="F127" s="50"/>
    </row>
    <row r="128" spans="1:6">
      <c r="A128" s="27"/>
      <c r="B128" s="51"/>
      <c r="C128" s="64"/>
      <c r="D128" s="65"/>
      <c r="E128" s="102">
        <f t="shared" si="7"/>
        <v>0</v>
      </c>
      <c r="F128" s="50"/>
    </row>
    <row r="129" spans="1:256">
      <c r="A129" s="27"/>
      <c r="B129" s="51"/>
      <c r="C129" s="64"/>
      <c r="D129" s="65"/>
      <c r="E129" s="102">
        <f t="shared" si="7"/>
        <v>0</v>
      </c>
      <c r="F129" s="50"/>
    </row>
    <row r="130" spans="1:256">
      <c r="A130" s="27"/>
      <c r="B130" s="51"/>
      <c r="C130" s="64"/>
      <c r="D130" s="65"/>
      <c r="E130" s="102">
        <f t="shared" si="7"/>
        <v>0</v>
      </c>
      <c r="F130" s="50"/>
    </row>
    <row r="131" spans="1:256">
      <c r="A131" s="27"/>
      <c r="B131" s="51"/>
      <c r="C131" s="64"/>
      <c r="D131" s="65"/>
      <c r="E131" s="102">
        <f t="shared" si="7"/>
        <v>0</v>
      </c>
      <c r="F131" s="50"/>
    </row>
    <row r="132" spans="1:256">
      <c r="A132" s="27"/>
      <c r="B132" s="51"/>
      <c r="C132" s="64"/>
      <c r="D132" s="65"/>
      <c r="E132" s="102">
        <f t="shared" si="7"/>
        <v>0</v>
      </c>
      <c r="F132" s="50"/>
    </row>
    <row r="133" spans="1:256">
      <c r="A133" s="27"/>
      <c r="B133" s="51"/>
      <c r="C133" s="64"/>
      <c r="D133" s="65"/>
      <c r="E133" s="102">
        <f t="shared" si="7"/>
        <v>0</v>
      </c>
      <c r="F133" s="50"/>
    </row>
    <row r="134" spans="1:256">
      <c r="A134" s="27"/>
      <c r="B134" s="51"/>
      <c r="C134" s="64"/>
      <c r="D134" s="65"/>
      <c r="E134" s="102">
        <f t="shared" si="7"/>
        <v>0</v>
      </c>
      <c r="F134" s="50"/>
    </row>
    <row r="135" spans="1:256">
      <c r="A135" s="27"/>
      <c r="B135" s="51"/>
      <c r="C135" s="64"/>
      <c r="D135" s="65"/>
      <c r="E135" s="102">
        <f t="shared" si="7"/>
        <v>0</v>
      </c>
      <c r="F135" s="50"/>
    </row>
    <row r="136" spans="1:256">
      <c r="A136" s="27"/>
      <c r="B136" s="51"/>
      <c r="C136" s="64"/>
      <c r="D136" s="65"/>
      <c r="E136" s="102">
        <f t="shared" si="7"/>
        <v>0</v>
      </c>
      <c r="F136" s="50"/>
    </row>
    <row r="137" spans="1:256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65.6" customHeight="1">
      <c r="A138" s="27"/>
      <c r="B138" s="33" t="s">
        <v>1275</v>
      </c>
      <c r="C138" s="32">
        <v>20000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8" customFormat="1" ht="34.9" customHeight="1">
      <c r="A139" s="26"/>
      <c r="B139" s="52"/>
      <c r="C139" s="53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28" customFormat="1" ht="63.6" customHeight="1">
      <c r="A140" s="26"/>
      <c r="B140" s="1232" t="s">
        <v>1273</v>
      </c>
      <c r="C140" s="1232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ht="23.25">
      <c r="B141" s="123" t="s">
        <v>187</v>
      </c>
      <c r="C141" s="106"/>
      <c r="D141" s="1239"/>
      <c r="E141" s="1239"/>
      <c r="F141" s="1239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256" ht="23.25">
      <c r="B142" s="123" t="s">
        <v>185</v>
      </c>
      <c r="C142" s="106"/>
      <c r="D142" s="1239"/>
      <c r="E142" s="1239"/>
      <c r="F142" s="1239"/>
    </row>
    <row r="143" spans="1:256" ht="23.25">
      <c r="B143" s="123" t="s">
        <v>186</v>
      </c>
      <c r="C143" s="106">
        <f>SUMIFS(E92:E97,F92:F97,"більше 1 року",D92:D97,"&lt;6000")+SUMIFS(E99:E100,F99:F100,"більше 1 року",D99:D100,"&lt;6000")+SUMIFS(E102,F102,"більше 1 року",D102,"&lt;6000")</f>
        <v>0</v>
      </c>
      <c r="D143" s="1239"/>
      <c r="E143" s="1239"/>
      <c r="F143" s="1239"/>
    </row>
    <row r="145" spans="1:6" ht="25.9" customHeight="1"/>
    <row r="146" spans="1:6" ht="60" customHeight="1">
      <c r="B146" s="1232" t="s">
        <v>1274</v>
      </c>
      <c r="C146" s="1232"/>
    </row>
    <row r="147" spans="1:6" ht="25.9" customHeight="1">
      <c r="B147" s="123" t="s">
        <v>187</v>
      </c>
      <c r="C147" s="106">
        <f>SUMIF(F22:F38,"до 1 року",E22:E38)+SUMIF(F40:F49,"до 1 року",E40:E49)+SUMIF(F51:F69,"до 1 року",E51:E69)+SUMIF(F71:F90,"до 1 року",E71:E90)+SUMIF(F101,"до 1 року",E101)+SUMIF(F103:F104,"до 1 року",E103:E104)+SUMIF(F106:F118,"до 1 року",E106:E118)+SUMIF(F120:F124,"до 1 року",E120:E124)+SUMIF(F126:F136,"до 1 року",E126:E136)</f>
        <v>0</v>
      </c>
    </row>
    <row r="148" spans="1:6" ht="25.9" customHeight="1">
      <c r="B148" s="123" t="s">
        <v>185</v>
      </c>
      <c r="C148" s="111">
        <v>0</v>
      </c>
    </row>
    <row r="149" spans="1:6" ht="25.9" customHeight="1">
      <c r="B149" s="123" t="s">
        <v>186</v>
      </c>
      <c r="C149" s="106">
        <v>0</v>
      </c>
    </row>
    <row r="150" spans="1:6" ht="25.9" customHeight="1"/>
    <row r="151" spans="1:6" ht="46.5">
      <c r="B151" s="54" t="s">
        <v>1263</v>
      </c>
      <c r="C151" s="55">
        <v>0.25</v>
      </c>
      <c r="D151" s="55">
        <v>0.25</v>
      </c>
      <c r="E151" s="55">
        <v>0.25</v>
      </c>
      <c r="F151" s="55">
        <v>0.25</v>
      </c>
    </row>
    <row r="152" spans="1:6" ht="25.9" customHeight="1">
      <c r="B152" s="56"/>
      <c r="C152" s="57"/>
      <c r="D152" s="57"/>
      <c r="E152" s="57"/>
      <c r="F152" s="57"/>
    </row>
    <row r="153" spans="1:6" ht="60.75">
      <c r="B153" s="29" t="s">
        <v>1221</v>
      </c>
      <c r="C153" s="58" t="s">
        <v>113</v>
      </c>
      <c r="D153" s="58" t="s">
        <v>107</v>
      </c>
      <c r="E153" s="58" t="s">
        <v>108</v>
      </c>
      <c r="F153" s="58" t="s">
        <v>189</v>
      </c>
    </row>
    <row r="154" spans="1:6" ht="26.25">
      <c r="B154" s="23" t="s">
        <v>187</v>
      </c>
      <c r="C154" s="107"/>
      <c r="D154" s="107">
        <f>C154</f>
        <v>0</v>
      </c>
      <c r="E154" s="107">
        <f>D154</f>
        <v>0</v>
      </c>
      <c r="F154" s="107">
        <f>E154</f>
        <v>0</v>
      </c>
    </row>
    <row r="155" spans="1:6" ht="26.25">
      <c r="B155" s="23" t="s">
        <v>185</v>
      </c>
      <c r="C155" s="107"/>
      <c r="D155" s="107"/>
      <c r="E155" s="107"/>
      <c r="F155" s="107"/>
    </row>
    <row r="156" spans="1:6" ht="26.25">
      <c r="B156" s="23" t="s">
        <v>186</v>
      </c>
      <c r="C156" s="107">
        <f>C143*C151</f>
        <v>0</v>
      </c>
      <c r="D156" s="107">
        <f>C143*D151</f>
        <v>0</v>
      </c>
      <c r="E156" s="107">
        <f>C143*E151</f>
        <v>0</v>
      </c>
      <c r="F156" s="107">
        <f>C143*F151</f>
        <v>0</v>
      </c>
    </row>
    <row r="157" spans="1:6" s="110" customFormat="1" ht="38.450000000000003" customHeight="1">
      <c r="A157" s="108"/>
      <c r="B157" s="100" t="s">
        <v>1254</v>
      </c>
      <c r="C157" s="109">
        <f>C154+C155+C156</f>
        <v>0</v>
      </c>
      <c r="D157" s="109">
        <f>D154+D155+D156</f>
        <v>0</v>
      </c>
      <c r="E157" s="109">
        <f>E154+E155+E156</f>
        <v>0</v>
      </c>
      <c r="F157" s="109">
        <f>F154+F155+F156</f>
        <v>0</v>
      </c>
    </row>
    <row r="158" spans="1:6" ht="48.6" customHeight="1">
      <c r="B158" s="30"/>
      <c r="C158" s="59"/>
      <c r="D158" s="59"/>
      <c r="E158" s="59"/>
      <c r="F158" s="59"/>
    </row>
    <row r="159" spans="1:6" ht="77.45" customHeight="1">
      <c r="B159" s="54" t="s">
        <v>1262</v>
      </c>
      <c r="C159" s="55">
        <v>0.25</v>
      </c>
      <c r="D159" s="55">
        <v>0.25</v>
      </c>
      <c r="E159" s="55">
        <v>0.25</v>
      </c>
      <c r="F159" s="55">
        <v>0.25</v>
      </c>
    </row>
    <row r="160" spans="1:6" ht="33.6" customHeight="1">
      <c r="B160" s="56"/>
      <c r="C160" s="57"/>
      <c r="D160" s="57"/>
      <c r="E160" s="57"/>
      <c r="F160" s="57"/>
    </row>
    <row r="161" spans="1:6" ht="97.15" customHeight="1">
      <c r="B161" s="31" t="s">
        <v>1264</v>
      </c>
      <c r="C161" s="58" t="s">
        <v>113</v>
      </c>
      <c r="D161" s="58" t="s">
        <v>107</v>
      </c>
      <c r="E161" s="58" t="s">
        <v>108</v>
      </c>
      <c r="F161" s="58" t="s">
        <v>189</v>
      </c>
    </row>
    <row r="162" spans="1:6" ht="32.450000000000003" customHeight="1">
      <c r="B162" s="23" t="s">
        <v>187</v>
      </c>
      <c r="C162" s="107">
        <f>$C$147*C159</f>
        <v>0</v>
      </c>
      <c r="D162" s="107">
        <f>$C$147*D159</f>
        <v>0</v>
      </c>
      <c r="E162" s="107">
        <f>$C$147*E159</f>
        <v>0</v>
      </c>
      <c r="F162" s="107">
        <f>$C$147*F159</f>
        <v>0</v>
      </c>
    </row>
    <row r="163" spans="1:6" ht="29.45" customHeight="1">
      <c r="B163" s="23" t="s">
        <v>185</v>
      </c>
      <c r="C163" s="107">
        <f>$C$148*C159</f>
        <v>0</v>
      </c>
      <c r="D163" s="107">
        <f>$C$148*D159</f>
        <v>0</v>
      </c>
      <c r="E163" s="107">
        <f>$C$148*E159</f>
        <v>0</v>
      </c>
      <c r="F163" s="107">
        <f>$C$148*F159</f>
        <v>0</v>
      </c>
    </row>
    <row r="164" spans="1:6" ht="30.6" customHeight="1">
      <c r="B164" s="23" t="s">
        <v>186</v>
      </c>
      <c r="C164" s="107">
        <f>$C$149*C159</f>
        <v>0</v>
      </c>
      <c r="D164" s="107">
        <f>$C$149*D159</f>
        <v>0</v>
      </c>
      <c r="E164" s="107">
        <f>$C$149*E159</f>
        <v>0</v>
      </c>
      <c r="F164" s="107">
        <f>$C$149*F159</f>
        <v>0</v>
      </c>
    </row>
    <row r="165" spans="1:6" s="110" customFormat="1" ht="33" customHeight="1">
      <c r="A165" s="108"/>
      <c r="B165" s="100" t="s">
        <v>1254</v>
      </c>
      <c r="C165" s="109">
        <f>C162+C163+C164</f>
        <v>0</v>
      </c>
      <c r="D165" s="109">
        <f>D162+D163+D164</f>
        <v>0</v>
      </c>
      <c r="E165" s="109">
        <f>E162+E163+E164</f>
        <v>0</v>
      </c>
      <c r="F165" s="109">
        <f>F162+F163+F164</f>
        <v>0</v>
      </c>
    </row>
  </sheetData>
  <sheetProtection autoFilter="0"/>
  <protectedRanges>
    <protectedRange sqref="B126:B136" name="Найменування інші"/>
    <protectedRange sqref="D92:D97 D99:D104 D106:D118 D120:D124 D126:D136 D40:D90 D22:D38" name="Оціночна вартість"/>
  </protectedRanges>
  <autoFilter ref="B20:E20"/>
  <mergeCells count="21">
    <mergeCell ref="B140:C140"/>
    <mergeCell ref="B17:D17"/>
    <mergeCell ref="B16:D16"/>
    <mergeCell ref="B15:D15"/>
    <mergeCell ref="B146:C146"/>
    <mergeCell ref="D142:F142"/>
    <mergeCell ref="D143:F143"/>
    <mergeCell ref="D141:F141"/>
    <mergeCell ref="A2:AF2"/>
    <mergeCell ref="E8:G8"/>
    <mergeCell ref="B9:D9"/>
    <mergeCell ref="E9:G9"/>
    <mergeCell ref="B3:E3"/>
    <mergeCell ref="E7:G7"/>
    <mergeCell ref="B5:E5"/>
    <mergeCell ref="B14:D14"/>
    <mergeCell ref="B13:D13"/>
    <mergeCell ref="B11:D11"/>
    <mergeCell ref="B12:D12"/>
    <mergeCell ref="B7:D7"/>
    <mergeCell ref="B8:D8"/>
  </mergeCells>
  <phoneticPr fontId="0" type="noConversion"/>
  <conditionalFormatting sqref="C22:D136 F22:F136">
    <cfRule type="notContainsBlanks" dxfId="1" priority="3">
      <formula>LEN(TRIM(C22))&gt;0</formula>
    </cfRule>
    <cfRule type="notContainsBlanks" dxfId="0" priority="4">
      <formula>LEN(TRIM(C22))&gt;0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106:D118 D120:D124 D126:D136 D22:D104">
      <formula1>0</formula1>
    </dataValidation>
    <dataValidation type="list" allowBlank="1" showInputMessage="1" showErrorMessage="1" sqref="F22:F38 F92:F97 F106:F118 F99:F104 F120:F124 F126:F136 F71:F90 F40:F49 F51:F69">
      <formula1>$F$15:$F$16</formula1>
    </dataValidation>
  </dataValidations>
  <pageMargins left="0.7" right="0.7" top="0.75" bottom="0.75" header="0.3" footer="0.3"/>
  <pageSetup paperSize="9" orientation="portrait" r:id="rId1"/>
  <ignoredErrors>
    <ignoredError sqref="C1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O41"/>
  <sheetViews>
    <sheetView showGridLines="0" view="pageBreakPreview" zoomScale="62" zoomScaleNormal="55" zoomScaleSheetLayoutView="62" workbookViewId="0">
      <selection activeCell="M28" sqref="M28"/>
    </sheetView>
  </sheetViews>
  <sheetFormatPr defaultColWidth="8.85546875" defaultRowHeight="15" outlineLevelCol="1"/>
  <cols>
    <col min="1" max="1" width="17" style="89" bestFit="1" customWidth="1"/>
    <col min="2" max="2" width="17.5703125" style="78" customWidth="1"/>
    <col min="3" max="3" width="118.140625" style="78" customWidth="1"/>
    <col min="4" max="5" width="29.7109375" style="78" customWidth="1"/>
    <col min="6" max="7" width="29.7109375" style="78" customWidth="1" outlineLevel="1"/>
    <col min="8" max="8" width="36.5703125" style="78" customWidth="1" outlineLevel="1"/>
    <col min="9" max="9" width="21.28515625" style="82" hidden="1" customWidth="1" outlineLevel="1"/>
    <col min="10" max="10" width="27.7109375" style="78" hidden="1" customWidth="1" outlineLevel="1"/>
    <col min="11" max="11" width="27.42578125" style="80" hidden="1" customWidth="1"/>
    <col min="12" max="12" width="15.28515625" style="78" customWidth="1" outlineLevel="1"/>
    <col min="13" max="13" width="23.140625" style="78" customWidth="1" outlineLevel="1"/>
    <col min="14" max="14" width="24.28515625" style="78" customWidth="1" outlineLevel="1"/>
    <col min="15" max="15" width="15.28515625" style="78" customWidth="1" outlineLevel="1"/>
    <col min="16" max="16" width="19.140625" style="80" customWidth="1"/>
    <col min="17" max="17" width="18.7109375" style="78" customWidth="1"/>
    <col min="18" max="18" width="15" style="78" customWidth="1" outlineLevel="1"/>
    <col min="19" max="19" width="20.28515625" style="78" customWidth="1" outlineLevel="1"/>
    <col min="20" max="20" width="19.85546875" style="78" customWidth="1" outlineLevel="1"/>
    <col min="21" max="22" width="15" style="78" customWidth="1" outlineLevel="1"/>
    <col min="23" max="23" width="18.7109375" style="80" customWidth="1"/>
    <col min="24" max="24" width="18.7109375" style="78" customWidth="1"/>
    <col min="25" max="25" width="17" style="78" hidden="1" customWidth="1" outlineLevel="1"/>
    <col min="26" max="26" width="21.42578125" style="78" hidden="1" customWidth="1" outlineLevel="1"/>
    <col min="27" max="29" width="17" style="78" hidden="1" customWidth="1" outlineLevel="1"/>
    <col min="30" max="30" width="22.28515625" style="80" customWidth="1" collapsed="1"/>
    <col min="31" max="31" width="19.7109375" style="78" customWidth="1"/>
    <col min="32" max="32" width="53.7109375" style="78" customWidth="1"/>
    <col min="33" max="33" width="31.85546875" style="78" customWidth="1"/>
    <col min="34" max="34" width="37.42578125" style="78" customWidth="1"/>
    <col min="35" max="35" width="24.28515625" style="78" customWidth="1"/>
    <col min="36" max="36" width="34.7109375" style="81" customWidth="1"/>
    <col min="37" max="40" width="20.28515625" style="78" customWidth="1"/>
    <col min="41" max="41" width="20.28515625" style="82" customWidth="1"/>
    <col min="42" max="42" width="15.5703125" style="78" customWidth="1"/>
    <col min="43" max="47" width="16" style="78" customWidth="1"/>
    <col min="48" max="48" width="18.42578125" style="78" customWidth="1"/>
    <col min="49" max="53" width="13.7109375" style="78" customWidth="1"/>
    <col min="54" max="54" width="18.28515625" style="78" customWidth="1"/>
    <col min="55" max="60" width="15.5703125" style="78" customWidth="1"/>
    <col min="61" max="16384" width="8.85546875" style="78"/>
  </cols>
  <sheetData>
    <row r="1" spans="1:41" s="131" customFormat="1">
      <c r="A1" s="130"/>
      <c r="I1" s="132"/>
      <c r="K1" s="133"/>
      <c r="P1" s="133"/>
      <c r="W1" s="133"/>
      <c r="AD1" s="133"/>
      <c r="AJ1" s="134"/>
      <c r="AO1" s="132"/>
    </row>
    <row r="2" spans="1:41" s="81" customFormat="1" ht="45">
      <c r="A2" s="129"/>
      <c r="B2" s="1064" t="s">
        <v>1307</v>
      </c>
      <c r="C2" s="1064"/>
      <c r="D2" s="1064"/>
      <c r="E2" s="1064"/>
      <c r="F2" s="1064"/>
      <c r="G2" s="1064"/>
      <c r="H2" s="117"/>
      <c r="I2" s="933" t="s">
        <v>1156</v>
      </c>
      <c r="J2" s="933"/>
      <c r="K2" s="933"/>
      <c r="L2" s="118"/>
      <c r="M2" s="118"/>
      <c r="N2" s="118"/>
      <c r="O2" s="118"/>
      <c r="AO2" s="84"/>
    </row>
    <row r="3" spans="1:41" s="81" customFormat="1" ht="40.5">
      <c r="A3" s="129"/>
      <c r="B3" s="1066" t="s">
        <v>15</v>
      </c>
      <c r="C3" s="1066"/>
      <c r="D3" s="527" t="s">
        <v>1284</v>
      </c>
      <c r="E3" s="527" t="s">
        <v>1285</v>
      </c>
      <c r="F3" s="527" t="s">
        <v>1286</v>
      </c>
      <c r="G3" s="527" t="s">
        <v>1287</v>
      </c>
      <c r="H3" s="528" t="s">
        <v>255</v>
      </c>
      <c r="I3" s="934">
        <f>'[36]ДОХІД-ВИТРАТИ'!$P$11</f>
        <v>33150517.66</v>
      </c>
      <c r="J3" s="935" t="s">
        <v>358</v>
      </c>
      <c r="K3" s="768"/>
      <c r="AO3" s="84"/>
    </row>
    <row r="4" spans="1:41" s="315" customFormat="1" ht="51.75" customHeight="1">
      <c r="A4" s="314"/>
      <c r="B4" s="1067" t="s">
        <v>890</v>
      </c>
      <c r="C4" s="1067"/>
      <c r="D4" s="526">
        <f>SUM(D5:D20)</f>
        <v>13857058.433181781</v>
      </c>
      <c r="E4" s="526">
        <f>SUM(E5:E20)</f>
        <v>13828301.588506754</v>
      </c>
      <c r="F4" s="526">
        <f>SUM(F5:F20)</f>
        <v>13679000</v>
      </c>
      <c r="G4" s="526">
        <f>SUM(G5:G20)</f>
        <v>13909499.522789989</v>
      </c>
      <c r="H4" s="519">
        <f>D4+E4+F4+G4</f>
        <v>55273859.544478521</v>
      </c>
      <c r="I4" s="526">
        <f>SUM(I5:I17)</f>
        <v>33150517.660000004</v>
      </c>
      <c r="J4" s="526">
        <f>SUM(J5:J17)</f>
        <v>49029963.879999995</v>
      </c>
      <c r="K4" s="526">
        <f>SUM(K5:K17)</f>
        <v>-5403895.6644785237</v>
      </c>
      <c r="M4" s="316"/>
      <c r="N4" s="316"/>
    </row>
    <row r="5" spans="1:41" s="318" customFormat="1" ht="22.5">
      <c r="A5" s="317"/>
      <c r="B5" s="516">
        <v>3</v>
      </c>
      <c r="C5" s="924" t="s">
        <v>346</v>
      </c>
      <c r="D5" s="517">
        <f>1774152-500000</f>
        <v>1274152</v>
      </c>
      <c r="E5" s="518">
        <f>1774152-500000</f>
        <v>1274152</v>
      </c>
      <c r="F5" s="518">
        <f>1774152-500000</f>
        <v>1274152</v>
      </c>
      <c r="G5" s="518">
        <f>1774152-684892</f>
        <v>1089260</v>
      </c>
      <c r="H5" s="925">
        <f>D5+E5+F5+G5</f>
        <v>4911716</v>
      </c>
      <c r="I5" s="926">
        <v>3410576.7699999996</v>
      </c>
      <c r="J5" s="519">
        <v>4911715.92</v>
      </c>
      <c r="K5" s="519">
        <f t="shared" ref="K5:K18" si="0">J5-H5</f>
        <v>-8.0000000074505806E-2</v>
      </c>
      <c r="L5" s="319"/>
      <c r="AM5" s="315"/>
    </row>
    <row r="6" spans="1:41" s="318" customFormat="1" ht="22.5">
      <c r="A6" s="317"/>
      <c r="B6" s="516">
        <v>4</v>
      </c>
      <c r="C6" s="924" t="s">
        <v>347</v>
      </c>
      <c r="D6" s="517">
        <f>9373560-4500000-290000-110000</f>
        <v>4473560</v>
      </c>
      <c r="E6" s="518">
        <f>9373560-4500000-290000-110000</f>
        <v>4473560</v>
      </c>
      <c r="F6" s="518">
        <f>9373560-4500000-290000-110000</f>
        <v>4473560</v>
      </c>
      <c r="G6" s="518">
        <f>9373560-1696933-276060-105408-4637086</f>
        <v>2658073</v>
      </c>
      <c r="H6" s="925">
        <f t="shared" ref="H6:H17" si="1">D6+E6+F6+G6</f>
        <v>16078753</v>
      </c>
      <c r="I6" s="926">
        <v>11100090.819999998</v>
      </c>
      <c r="J6" s="519">
        <v>16078753.439999999</v>
      </c>
      <c r="K6" s="519">
        <f t="shared" si="0"/>
        <v>0.43999999947845936</v>
      </c>
      <c r="L6" s="319"/>
      <c r="AM6" s="315"/>
    </row>
    <row r="7" spans="1:41" s="318" customFormat="1" ht="22.5">
      <c r="A7" s="317"/>
      <c r="B7" s="529">
        <v>7</v>
      </c>
      <c r="C7" s="924" t="s">
        <v>348</v>
      </c>
      <c r="D7" s="517">
        <v>775251</v>
      </c>
      <c r="E7" s="518">
        <v>775251</v>
      </c>
      <c r="F7" s="518">
        <v>775251</v>
      </c>
      <c r="G7" s="518">
        <f>775251-20400</f>
        <v>754851</v>
      </c>
      <c r="H7" s="925">
        <f t="shared" si="1"/>
        <v>3080604</v>
      </c>
      <c r="I7" s="926">
        <f>1706413+145348</f>
        <v>1851761</v>
      </c>
      <c r="J7" s="519">
        <v>3080604</v>
      </c>
      <c r="K7" s="519">
        <f t="shared" si="0"/>
        <v>0</v>
      </c>
      <c r="L7" s="319"/>
      <c r="AM7" s="315"/>
    </row>
    <row r="8" spans="1:41" s="318" customFormat="1" ht="33">
      <c r="A8" s="317"/>
      <c r="B8" s="529">
        <v>9</v>
      </c>
      <c r="C8" s="924" t="s">
        <v>349</v>
      </c>
      <c r="D8" s="517">
        <f>1283910-97440</f>
        <v>1186470</v>
      </c>
      <c r="E8" s="518">
        <f>1283910-97440</f>
        <v>1186470</v>
      </c>
      <c r="F8" s="518">
        <f>1283910-15860-97440</f>
        <v>1170610</v>
      </c>
      <c r="G8" s="518">
        <f>1283910-97440-24624-184511</f>
        <v>977335</v>
      </c>
      <c r="H8" s="925">
        <f t="shared" si="1"/>
        <v>4520885</v>
      </c>
      <c r="I8" s="926">
        <v>3390664.0500000007</v>
      </c>
      <c r="J8" s="519">
        <v>4520885.4000000004</v>
      </c>
      <c r="K8" s="519">
        <f t="shared" si="0"/>
        <v>0.40000000037252903</v>
      </c>
      <c r="L8" s="319"/>
      <c r="AM8" s="315"/>
    </row>
    <row r="9" spans="1:41" s="318" customFormat="1" ht="22.5">
      <c r="A9" s="317"/>
      <c r="B9" s="529">
        <v>11</v>
      </c>
      <c r="C9" s="924" t="s">
        <v>350</v>
      </c>
      <c r="D9" s="517">
        <f>97440</f>
        <v>97440</v>
      </c>
      <c r="E9" s="518">
        <f>97440</f>
        <v>97440</v>
      </c>
      <c r="F9" s="518">
        <f>97440</f>
        <v>97440</v>
      </c>
      <c r="G9" s="518">
        <f>97440</f>
        <v>97440</v>
      </c>
      <c r="H9" s="925">
        <f t="shared" si="1"/>
        <v>389760</v>
      </c>
      <c r="I9" s="926">
        <v>164640</v>
      </c>
      <c r="J9" s="519">
        <v>389760</v>
      </c>
      <c r="K9" s="519">
        <f t="shared" si="0"/>
        <v>0</v>
      </c>
      <c r="L9" s="319"/>
      <c r="AM9" s="315"/>
    </row>
    <row r="10" spans="1:41" s="318" customFormat="1" ht="22.5">
      <c r="A10" s="317"/>
      <c r="B10" s="529">
        <v>23</v>
      </c>
      <c r="C10" s="924" t="s">
        <v>351</v>
      </c>
      <c r="D10" s="517">
        <v>59139</v>
      </c>
      <c r="E10" s="518">
        <v>59139</v>
      </c>
      <c r="F10" s="518">
        <v>59139</v>
      </c>
      <c r="G10" s="518">
        <f>59139-8064</f>
        <v>51075</v>
      </c>
      <c r="H10" s="925">
        <f t="shared" si="1"/>
        <v>228492</v>
      </c>
      <c r="I10" s="926">
        <v>171369</v>
      </c>
      <c r="J10" s="519">
        <v>228492</v>
      </c>
      <c r="K10" s="519">
        <f t="shared" si="0"/>
        <v>0</v>
      </c>
      <c r="L10" s="319"/>
      <c r="AM10" s="315"/>
    </row>
    <row r="11" spans="1:41" s="318" customFormat="1" ht="22.5">
      <c r="A11" s="317"/>
      <c r="B11" s="529">
        <v>24</v>
      </c>
      <c r="C11" s="924" t="s">
        <v>352</v>
      </c>
      <c r="D11" s="517">
        <f>290000</f>
        <v>290000</v>
      </c>
      <c r="E11" s="518">
        <f>290000</f>
        <v>290000</v>
      </c>
      <c r="F11" s="518">
        <f>290000</f>
        <v>290000</v>
      </c>
      <c r="G11" s="518">
        <f>276060</f>
        <v>276060</v>
      </c>
      <c r="H11" s="925">
        <f t="shared" si="1"/>
        <v>1146060</v>
      </c>
      <c r="I11" s="926">
        <v>859545</v>
      </c>
      <c r="J11" s="519">
        <v>1146060</v>
      </c>
      <c r="K11" s="519">
        <f t="shared" si="0"/>
        <v>0</v>
      </c>
      <c r="L11" s="319"/>
      <c r="AM11" s="315"/>
    </row>
    <row r="12" spans="1:41" s="318" customFormat="1" ht="22.5">
      <c r="A12" s="317"/>
      <c r="B12" s="529">
        <v>34</v>
      </c>
      <c r="C12" s="924" t="s">
        <v>353</v>
      </c>
      <c r="D12" s="517"/>
      <c r="E12" s="518"/>
      <c r="F12" s="518"/>
      <c r="G12" s="518"/>
      <c r="H12" s="925">
        <f t="shared" si="1"/>
        <v>0</v>
      </c>
      <c r="I12" s="926">
        <v>0</v>
      </c>
      <c r="J12" s="519">
        <v>0</v>
      </c>
      <c r="K12" s="519">
        <f t="shared" si="0"/>
        <v>0</v>
      </c>
      <c r="L12" s="319"/>
      <c r="AM12" s="315"/>
    </row>
    <row r="13" spans="1:41" s="318" customFormat="1" ht="22.5">
      <c r="A13" s="317"/>
      <c r="B13" s="529">
        <v>35</v>
      </c>
      <c r="C13" s="924" t="s">
        <v>354</v>
      </c>
      <c r="D13" s="517">
        <f>154800+110000</f>
        <v>264800</v>
      </c>
      <c r="E13" s="517">
        <f>154800+110000</f>
        <v>264800</v>
      </c>
      <c r="F13" s="517">
        <f>154800+110000</f>
        <v>264800</v>
      </c>
      <c r="G13" s="518">
        <f>154800+105408</f>
        <v>260208</v>
      </c>
      <c r="H13" s="925">
        <f t="shared" si="1"/>
        <v>1054608</v>
      </c>
      <c r="I13" s="926">
        <v>594868</v>
      </c>
      <c r="J13" s="519">
        <v>1054608</v>
      </c>
      <c r="K13" s="519">
        <f t="shared" si="0"/>
        <v>0</v>
      </c>
      <c r="L13" s="319"/>
      <c r="AM13" s="315"/>
    </row>
    <row r="14" spans="1:41" s="318" customFormat="1" ht="22.5">
      <c r="A14" s="317"/>
      <c r="B14" s="529">
        <v>47</v>
      </c>
      <c r="C14" s="924" t="s">
        <v>355</v>
      </c>
      <c r="D14" s="517">
        <f>30000</f>
        <v>30000</v>
      </c>
      <c r="E14" s="518">
        <f>30000</f>
        <v>30000</v>
      </c>
      <c r="F14" s="518">
        <f>30000</f>
        <v>30000</v>
      </c>
      <c r="G14" s="518">
        <f>20400+30000+8064+24624</f>
        <v>83088</v>
      </c>
      <c r="H14" s="925">
        <f t="shared" si="1"/>
        <v>173088</v>
      </c>
      <c r="I14" s="926">
        <v>125034.17</v>
      </c>
      <c r="J14" s="519">
        <v>173088.32</v>
      </c>
      <c r="K14" s="519">
        <f t="shared" si="0"/>
        <v>0.32000000000698492</v>
      </c>
      <c r="L14" s="319"/>
      <c r="AM14" s="315"/>
    </row>
    <row r="15" spans="1:41" s="315" customFormat="1" ht="42" customHeight="1">
      <c r="A15" s="927">
        <v>4362182.3</v>
      </c>
      <c r="B15" s="928">
        <v>31</v>
      </c>
      <c r="C15" s="929" t="s">
        <v>356</v>
      </c>
      <c r="D15" s="523">
        <f>196246.43318178+5000000</f>
        <v>5196246.4331817804</v>
      </c>
      <c r="E15" s="526">
        <f>167489.588506754+5000000</f>
        <v>5167489.5885067536</v>
      </c>
      <c r="F15" s="526">
        <f>18188+5000000</f>
        <v>5018188</v>
      </c>
      <c r="G15" s="526">
        <f>248687.52278999+7203422-48312-5403897</f>
        <v>1999900.5227899896</v>
      </c>
      <c r="H15" s="925">
        <f t="shared" si="1"/>
        <v>17381824.544478524</v>
      </c>
      <c r="I15" s="926">
        <v>11466108.85</v>
      </c>
      <c r="J15" s="519">
        <v>17381824.800000001</v>
      </c>
      <c r="K15" s="519">
        <f t="shared" si="0"/>
        <v>0.25552147626876831</v>
      </c>
    </row>
    <row r="16" spans="1:41" s="318" customFormat="1" ht="56.25">
      <c r="A16" s="317"/>
      <c r="B16" s="529">
        <v>50</v>
      </c>
      <c r="C16" s="930" t="s">
        <v>357</v>
      </c>
      <c r="D16" s="517"/>
      <c r="E16" s="518"/>
      <c r="F16" s="518">
        <f>15860</f>
        <v>15860</v>
      </c>
      <c r="G16" s="518">
        <f>48312</f>
        <v>48312</v>
      </c>
      <c r="H16" s="925">
        <f t="shared" si="1"/>
        <v>64172</v>
      </c>
      <c r="I16" s="926">
        <v>15860</v>
      </c>
      <c r="J16" s="519">
        <f>64172</f>
        <v>64172</v>
      </c>
      <c r="K16" s="519">
        <f t="shared" si="0"/>
        <v>0</v>
      </c>
      <c r="L16" s="319"/>
      <c r="AM16" s="315"/>
    </row>
    <row r="17" spans="1:41" s="318" customFormat="1" ht="22.5">
      <c r="A17" s="317"/>
      <c r="B17" s="516"/>
      <c r="C17" s="923" t="s">
        <v>467</v>
      </c>
      <c r="D17" s="931"/>
      <c r="E17" s="518"/>
      <c r="F17" s="518"/>
      <c r="G17" s="518">
        <v>5403897</v>
      </c>
      <c r="H17" s="932">
        <f t="shared" si="1"/>
        <v>5403897</v>
      </c>
      <c r="I17" s="926"/>
      <c r="J17" s="519"/>
      <c r="K17" s="519">
        <f t="shared" si="0"/>
        <v>-5403897</v>
      </c>
      <c r="L17" s="319"/>
      <c r="AM17" s="315"/>
    </row>
    <row r="18" spans="1:41" s="318" customFormat="1" ht="22.5">
      <c r="A18" s="317"/>
      <c r="B18" s="516"/>
      <c r="C18" s="520"/>
      <c r="D18" s="518"/>
      <c r="E18" s="518"/>
      <c r="F18" s="518"/>
      <c r="G18" s="518"/>
      <c r="H18" s="519">
        <f>D18+E18+F18+G18</f>
        <v>0</v>
      </c>
      <c r="I18" s="926"/>
      <c r="J18" s="519"/>
      <c r="K18" s="519">
        <f t="shared" si="0"/>
        <v>0</v>
      </c>
      <c r="M18" s="319"/>
      <c r="N18" s="319"/>
      <c r="AO18" s="315"/>
    </row>
    <row r="19" spans="1:41" s="322" customFormat="1" ht="22.5">
      <c r="A19" s="320"/>
      <c r="B19" s="521"/>
      <c r="C19" s="522" t="s">
        <v>265</v>
      </c>
      <c r="D19" s="521">
        <f>70000*3</f>
        <v>210000</v>
      </c>
      <c r="E19" s="523">
        <f>D19</f>
        <v>210000</v>
      </c>
      <c r="F19" s="523">
        <f>E19</f>
        <v>210000</v>
      </c>
      <c r="G19" s="523">
        <f>F19</f>
        <v>210000</v>
      </c>
      <c r="H19" s="523">
        <f>D19+E19+F19+G19</f>
        <v>840000</v>
      </c>
      <c r="I19" s="926"/>
      <c r="J19" s="519"/>
      <c r="K19" s="519"/>
      <c r="M19" s="323"/>
      <c r="N19" s="323"/>
      <c r="AO19" s="321"/>
    </row>
    <row r="20" spans="1:41" s="326" customFormat="1" ht="22.5">
      <c r="A20" s="324"/>
      <c r="B20" s="328"/>
      <c r="C20" s="524"/>
      <c r="D20" s="308"/>
      <c r="E20" s="308"/>
      <c r="F20" s="308"/>
      <c r="G20" s="308"/>
      <c r="H20" s="525">
        <f>D20+E20+F20+G20</f>
        <v>0</v>
      </c>
      <c r="I20" s="936">
        <f>H4-H20</f>
        <v>55273859.544478521</v>
      </c>
      <c r="J20" s="523"/>
      <c r="K20" s="523"/>
      <c r="M20" s="327"/>
      <c r="N20" s="327"/>
      <c r="AO20" s="325"/>
    </row>
    <row r="21" spans="1:41" s="315" customFormat="1" ht="21.75">
      <c r="A21" s="314"/>
      <c r="B21" s="1067" t="s">
        <v>891</v>
      </c>
      <c r="C21" s="1067"/>
      <c r="D21" s="526">
        <f>D41</f>
        <v>4463898.0223646406</v>
      </c>
      <c r="E21" s="526">
        <f>E41</f>
        <v>2563864.1770607736</v>
      </c>
      <c r="F21" s="526">
        <f>F41</f>
        <v>566626.60800000001</v>
      </c>
      <c r="G21" s="526">
        <f>G41</f>
        <v>1749471.2245745859</v>
      </c>
      <c r="H21" s="519">
        <f>D21+E21+F21+G21</f>
        <v>9343860.0319999997</v>
      </c>
      <c r="I21" s="937"/>
      <c r="J21" s="525"/>
      <c r="K21" s="525"/>
      <c r="M21" s="316"/>
      <c r="N21" s="316"/>
    </row>
    <row r="22" spans="1:41" s="318" customFormat="1" ht="22.5">
      <c r="A22" s="317"/>
      <c r="B22" s="1065" t="s">
        <v>892</v>
      </c>
      <c r="C22" s="1065"/>
      <c r="D22" s="519">
        <f>D4+D21</f>
        <v>18320956.455546424</v>
      </c>
      <c r="E22" s="519">
        <f>E4+E21</f>
        <v>16392165.765567528</v>
      </c>
      <c r="F22" s="519">
        <f>F4+F21</f>
        <v>14245626.607999999</v>
      </c>
      <c r="G22" s="519">
        <f>G4+G21</f>
        <v>15658970.747364575</v>
      </c>
      <c r="H22" s="519">
        <f>D22+E22+F22+G22</f>
        <v>64617719.576478519</v>
      </c>
      <c r="I22" s="938"/>
      <c r="J22" s="519"/>
      <c r="K22" s="519"/>
      <c r="AO22" s="315"/>
    </row>
    <row r="23" spans="1:41" s="318" customFormat="1" ht="22.5">
      <c r="A23" s="317"/>
      <c r="B23" s="1082" t="s">
        <v>245</v>
      </c>
      <c r="C23" s="1082"/>
      <c r="D23" s="519">
        <f>D22/3</f>
        <v>6106985.485182141</v>
      </c>
      <c r="E23" s="519">
        <f>E22/3</f>
        <v>5464055.2551891757</v>
      </c>
      <c r="F23" s="519">
        <f>F22/3</f>
        <v>4748542.2026666664</v>
      </c>
      <c r="G23" s="519">
        <f>G22/3</f>
        <v>5219656.9157881914</v>
      </c>
      <c r="H23" s="519">
        <f>H22/12</f>
        <v>5384809.9647065429</v>
      </c>
      <c r="I23" s="938"/>
      <c r="J23" s="519"/>
      <c r="K23" s="519"/>
      <c r="AO23" s="315"/>
    </row>
    <row r="24" spans="1:41" s="81" customFormat="1" ht="34.9" customHeight="1">
      <c r="A24" s="129"/>
      <c r="B24" s="83"/>
      <c r="I24" s="938"/>
      <c r="J24" s="519"/>
      <c r="K24" s="519"/>
      <c r="AO24" s="84"/>
    </row>
    <row r="26" spans="1:41" ht="64.900000000000006" customHeight="1">
      <c r="B26" s="1079" t="s">
        <v>254</v>
      </c>
      <c r="C26" s="1079"/>
      <c r="D26" s="1079"/>
      <c r="E26" s="1079"/>
      <c r="F26" s="1079"/>
      <c r="G26" s="1079"/>
    </row>
    <row r="27" spans="1:41" ht="17.25" thickBot="1">
      <c r="B27" s="87"/>
      <c r="C27" s="87"/>
      <c r="D27" s="87"/>
      <c r="E27" s="87"/>
      <c r="F27" s="87"/>
    </row>
    <row r="28" spans="1:41" ht="37.9" customHeight="1" thickBot="1">
      <c r="B28" s="1083" t="s">
        <v>15</v>
      </c>
      <c r="C28" s="1084"/>
      <c r="D28" s="304" t="s">
        <v>115</v>
      </c>
      <c r="E28" s="304" t="s">
        <v>116</v>
      </c>
      <c r="F28" s="304" t="s">
        <v>117</v>
      </c>
      <c r="G28" s="304" t="s">
        <v>118</v>
      </c>
      <c r="H28" s="305" t="s">
        <v>119</v>
      </c>
      <c r="I28" s="1078"/>
      <c r="J28" s="1078"/>
      <c r="K28" s="1078"/>
    </row>
    <row r="29" spans="1:41" s="152" customFormat="1" ht="22.5">
      <c r="A29" s="150"/>
      <c r="B29" s="1080" t="s">
        <v>1308</v>
      </c>
      <c r="C29" s="1081"/>
      <c r="D29" s="306">
        <f>D30+D31+D32</f>
        <v>1935898.0223646411</v>
      </c>
      <c r="E29" s="306">
        <f>E30+E31+E32</f>
        <v>1646114.1770607734</v>
      </c>
      <c r="F29" s="306">
        <f>F30+F31+F32</f>
        <v>428626.60800000001</v>
      </c>
      <c r="G29" s="306">
        <f>G30+G31+G32</f>
        <v>1611471.2245745859</v>
      </c>
      <c r="H29" s="307">
        <f>SUM(D29:G29)</f>
        <v>5622110.0319999997</v>
      </c>
      <c r="I29" s="151"/>
      <c r="K29" s="153"/>
      <c r="P29" s="153"/>
      <c r="W29" s="153"/>
      <c r="AD29" s="153"/>
      <c r="AJ29" s="154"/>
      <c r="AO29" s="155"/>
    </row>
    <row r="30" spans="1:41" s="152" customFormat="1" ht="22.5">
      <c r="A30" s="150"/>
      <c r="B30" s="1070" t="s">
        <v>889</v>
      </c>
      <c r="C30" s="1071"/>
      <c r="D30" s="308">
        <f ca="1">Енергоносії!O69</f>
        <v>1935898.0223646411</v>
      </c>
      <c r="E30" s="308">
        <f ca="1">Енергоносії!P69</f>
        <v>625864.17706077336</v>
      </c>
      <c r="F30" s="308">
        <f ca="1">Енергоносії!Q69</f>
        <v>428626.60800000001</v>
      </c>
      <c r="G30" s="308">
        <f ca="1">Енергоносії!R69</f>
        <v>1611471.2245745859</v>
      </c>
      <c r="H30" s="309">
        <f>SUM(D30:G30)</f>
        <v>4601860.0319999997</v>
      </c>
      <c r="I30" s="425">
        <f ca="1">'Програма МБ 2022 рік'!D8</f>
        <v>4601860.0319999997</v>
      </c>
      <c r="K30" s="153"/>
      <c r="P30" s="153"/>
      <c r="W30" s="153"/>
      <c r="AD30" s="153"/>
      <c r="AJ30" s="154"/>
      <c r="AO30" s="155"/>
    </row>
    <row r="31" spans="1:41" ht="45" customHeight="1">
      <c r="B31" s="1068" t="s">
        <v>203</v>
      </c>
      <c r="C31" s="1069"/>
      <c r="D31" s="310"/>
      <c r="E31" s="310"/>
      <c r="F31" s="310"/>
      <c r="G31" s="310"/>
      <c r="H31" s="311">
        <f>SUM(D31:G31)</f>
        <v>0</v>
      </c>
    </row>
    <row r="32" spans="1:41" ht="22.5">
      <c r="B32" s="1068" t="s">
        <v>261</v>
      </c>
      <c r="C32" s="1069"/>
      <c r="D32" s="310">
        <f ca="1">Деталізація!BN55</f>
        <v>0</v>
      </c>
      <c r="E32" s="310">
        <f ca="1">Деталізація!BO55</f>
        <v>1020250</v>
      </c>
      <c r="F32" s="310">
        <f ca="1">Деталізація!BP55</f>
        <v>0</v>
      </c>
      <c r="G32" s="310">
        <f ca="1">Деталізація!BQ55</f>
        <v>0</v>
      </c>
      <c r="H32" s="311">
        <f>SUM(D32:G32)</f>
        <v>1020250</v>
      </c>
      <c r="I32" s="769">
        <f ca="1">'Програма МБ 2022 рік'!D12</f>
        <v>1020250</v>
      </c>
    </row>
    <row r="33" spans="1:41" ht="22.5">
      <c r="B33" s="1062" t="s">
        <v>263</v>
      </c>
      <c r="C33" s="1063"/>
      <c r="D33" s="310"/>
      <c r="E33" s="310"/>
      <c r="F33" s="310"/>
      <c r="G33" s="310"/>
      <c r="H33" s="311">
        <f>SUM(D33:G33)</f>
        <v>0</v>
      </c>
    </row>
    <row r="34" spans="1:41" ht="40.5" customHeight="1">
      <c r="B34" s="1062" t="s">
        <v>264</v>
      </c>
      <c r="C34" s="1063"/>
      <c r="D34" s="310"/>
      <c r="E34" s="310"/>
      <c r="F34" s="310"/>
      <c r="G34" s="310"/>
      <c r="H34" s="311">
        <f t="shared" ref="H34:H40" si="2">SUM(D34:G34)</f>
        <v>0</v>
      </c>
    </row>
    <row r="35" spans="1:41" s="152" customFormat="1" ht="22.5">
      <c r="A35" s="150"/>
      <c r="B35" s="1060" t="s">
        <v>190</v>
      </c>
      <c r="C35" s="1061"/>
      <c r="D35" s="308">
        <f>40000*3</f>
        <v>120000</v>
      </c>
      <c r="E35" s="308">
        <f>D35</f>
        <v>120000</v>
      </c>
      <c r="F35" s="308">
        <f>E35</f>
        <v>120000</v>
      </c>
      <c r="G35" s="308">
        <f>F35</f>
        <v>120000</v>
      </c>
      <c r="H35" s="309">
        <f t="shared" si="2"/>
        <v>480000</v>
      </c>
      <c r="I35" s="155">
        <f>[37]ПОСЛУГИ!$E$34</f>
        <v>360561.50999999995</v>
      </c>
      <c r="K35" s="153"/>
      <c r="P35" s="153"/>
      <c r="W35" s="153"/>
      <c r="AD35" s="153"/>
      <c r="AJ35" s="154"/>
      <c r="AO35" s="155"/>
    </row>
    <row r="36" spans="1:41" s="153" customFormat="1" ht="22.5">
      <c r="A36" s="291"/>
      <c r="B36" s="1076" t="s">
        <v>156</v>
      </c>
      <c r="C36" s="1077"/>
      <c r="D36" s="308">
        <f>1000*3</f>
        <v>3000</v>
      </c>
      <c r="E36" s="308">
        <f t="shared" ref="E36:G37" si="3">D36</f>
        <v>3000</v>
      </c>
      <c r="F36" s="308">
        <f t="shared" si="3"/>
        <v>3000</v>
      </c>
      <c r="G36" s="308">
        <f t="shared" si="3"/>
        <v>3000</v>
      </c>
      <c r="H36" s="309">
        <f t="shared" si="2"/>
        <v>12000</v>
      </c>
      <c r="I36" s="770">
        <f>'[38]ДОХІД-ВИТРАТИ'!$P$14</f>
        <v>3500</v>
      </c>
      <c r="AO36" s="292"/>
    </row>
    <row r="37" spans="1:41" s="153" customFormat="1" ht="22.5">
      <c r="A37" s="291"/>
      <c r="B37" s="1076" t="s">
        <v>157</v>
      </c>
      <c r="C37" s="1077"/>
      <c r="D37" s="308">
        <f>5000</f>
        <v>5000</v>
      </c>
      <c r="E37" s="308">
        <f t="shared" si="3"/>
        <v>5000</v>
      </c>
      <c r="F37" s="308">
        <f t="shared" si="3"/>
        <v>5000</v>
      </c>
      <c r="G37" s="308">
        <f t="shared" si="3"/>
        <v>5000</v>
      </c>
      <c r="H37" s="309">
        <f t="shared" si="2"/>
        <v>20000</v>
      </c>
      <c r="I37" s="155">
        <f>[37]ПОСЛУГИ!$E$33</f>
        <v>6850</v>
      </c>
      <c r="AO37" s="292"/>
    </row>
    <row r="38" spans="1:41" ht="22.5">
      <c r="B38" s="1062" t="s">
        <v>114</v>
      </c>
      <c r="C38" s="1063"/>
      <c r="D38" s="310">
        <f>10000</f>
        <v>10000</v>
      </c>
      <c r="E38" s="310">
        <f>D38</f>
        <v>10000</v>
      </c>
      <c r="F38" s="310">
        <f>E38</f>
        <v>10000</v>
      </c>
      <c r="G38" s="310">
        <f>10000</f>
        <v>10000</v>
      </c>
      <c r="H38" s="311">
        <f t="shared" si="2"/>
        <v>40000</v>
      </c>
    </row>
    <row r="39" spans="1:41" ht="22.5">
      <c r="B39" s="1062" t="s">
        <v>164</v>
      </c>
      <c r="C39" s="1063"/>
      <c r="D39" s="310"/>
      <c r="E39" s="310">
        <f>D39</f>
        <v>0</v>
      </c>
      <c r="F39" s="310">
        <f>E39</f>
        <v>0</v>
      </c>
      <c r="G39" s="310">
        <f>F39</f>
        <v>0</v>
      </c>
      <c r="H39" s="311">
        <f t="shared" si="2"/>
        <v>0</v>
      </c>
    </row>
    <row r="40" spans="1:41" ht="22.5">
      <c r="B40" s="1074" t="s">
        <v>1163</v>
      </c>
      <c r="C40" s="1075"/>
      <c r="D40" s="781">
        <f>540000+750000+150000+950000</f>
        <v>2390000</v>
      </c>
      <c r="E40" s="310">
        <f>1800000-1020250</f>
        <v>779750</v>
      </c>
      <c r="F40" s="310">
        <v>0</v>
      </c>
      <c r="G40" s="310">
        <f>F40</f>
        <v>0</v>
      </c>
      <c r="H40" s="311">
        <f t="shared" si="2"/>
        <v>3169750</v>
      </c>
    </row>
    <row r="41" spans="1:41" ht="30.75" customHeight="1" thickBot="1">
      <c r="B41" s="1072" t="s">
        <v>120</v>
      </c>
      <c r="C41" s="1073"/>
      <c r="D41" s="312">
        <f>D29+D33+D34+D35+D36+D37+D38+D39+D40</f>
        <v>4463898.0223646406</v>
      </c>
      <c r="E41" s="312">
        <f>E29+E33+E34+E35+E36+E37+E38+E39+E40</f>
        <v>2563864.1770607736</v>
      </c>
      <c r="F41" s="312">
        <f>F29+F33+F34+F35+F36+F37+F38+F39+F40</f>
        <v>566626.60800000001</v>
      </c>
      <c r="G41" s="312">
        <f>G29+G33+G34+G35+G36+G37+G38+G39+G40</f>
        <v>1749471.2245745859</v>
      </c>
      <c r="H41" s="313">
        <f>SUM(D41:G41)</f>
        <v>9343860.0319999997</v>
      </c>
    </row>
  </sheetData>
  <mergeCells count="22">
    <mergeCell ref="I28:K28"/>
    <mergeCell ref="B4:C4"/>
    <mergeCell ref="B26:G26"/>
    <mergeCell ref="B29:C29"/>
    <mergeCell ref="B23:C23"/>
    <mergeCell ref="B28:C28"/>
    <mergeCell ref="B41:C41"/>
    <mergeCell ref="B40:C40"/>
    <mergeCell ref="B38:C38"/>
    <mergeCell ref="B36:C36"/>
    <mergeCell ref="B39:C39"/>
    <mergeCell ref="B37:C37"/>
    <mergeCell ref="B35:C35"/>
    <mergeCell ref="B33:C33"/>
    <mergeCell ref="B34:C34"/>
    <mergeCell ref="B2:G2"/>
    <mergeCell ref="B22:C22"/>
    <mergeCell ref="B3:C3"/>
    <mergeCell ref="B21:C21"/>
    <mergeCell ref="B31:C31"/>
    <mergeCell ref="B32:C32"/>
    <mergeCell ref="B30:C30"/>
  </mergeCells>
  <phoneticPr fontId="0" type="noConversion"/>
  <conditionalFormatting sqref="D30:G40">
    <cfRule type="notContainsBlanks" dxfId="999" priority="660">
      <formula>LEN(TRIM(D30))&gt;0</formula>
    </cfRule>
  </conditionalFormatting>
  <pageMargins left="0.7" right="0.7" top="0.75" bottom="0.75" header="0.3" footer="0.3"/>
  <pageSetup paperSize="9" scale="43" orientation="landscape" r:id="rId1"/>
  <ignoredErrors>
    <ignoredError sqref="F21" unlockedFormula="1"/>
    <ignoredError sqref="E21" evalError="1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Z103"/>
  <sheetViews>
    <sheetView showGridLines="0" view="pageBreakPreview" zoomScale="60" zoomScaleNormal="60" workbookViewId="0">
      <pane xSplit="8" ySplit="8" topLeftCell="AQ9" activePane="bottomRight" state="frozen"/>
      <selection pane="topRight" activeCell="I1" sqref="I1"/>
      <selection pane="bottomLeft" activeCell="A9" sqref="A9"/>
      <selection pane="bottomRight" activeCell="E103" sqref="E103"/>
    </sheetView>
  </sheetViews>
  <sheetFormatPr defaultRowHeight="20.25"/>
  <cols>
    <col min="1" max="1" width="12.28515625" style="41" customWidth="1"/>
    <col min="2" max="2" width="17" style="93" bestFit="1" customWidth="1"/>
    <col min="3" max="3" width="89.5703125" style="41" customWidth="1"/>
    <col min="4" max="4" width="28" style="41" customWidth="1"/>
    <col min="5" max="8" width="25.85546875" style="41" customWidth="1"/>
    <col min="9" max="9" width="26.85546875" style="90" customWidth="1"/>
    <col min="10" max="12" width="26.85546875" style="41" customWidth="1"/>
    <col min="13" max="16" width="20.140625" style="41" bestFit="1" customWidth="1"/>
    <col min="17" max="17" width="21.7109375" style="86" bestFit="1" customWidth="1"/>
    <col min="18" max="21" width="17.28515625" style="41" customWidth="1"/>
    <col min="22" max="22" width="20.140625" style="86" bestFit="1" customWidth="1"/>
    <col min="23" max="26" width="17.5703125" style="41" bestFit="1" customWidth="1"/>
    <col min="27" max="27" width="20.140625" style="86" bestFit="1" customWidth="1"/>
    <col min="28" max="31" width="20.140625" style="41" bestFit="1" customWidth="1"/>
    <col min="32" max="32" width="20.140625" style="86" bestFit="1" customWidth="1"/>
    <col min="33" max="36" width="20.140625" style="41" bestFit="1" customWidth="1"/>
    <col min="37" max="37" width="21.7109375" style="86" bestFit="1" customWidth="1"/>
    <col min="38" max="39" width="16" style="137" bestFit="1" customWidth="1"/>
    <col min="40" max="41" width="16.42578125" style="137" bestFit="1" customWidth="1"/>
    <col min="42" max="42" width="17.5703125" style="138" bestFit="1" customWidth="1"/>
    <col min="43" max="46" width="20.140625" style="41" bestFit="1" customWidth="1"/>
    <col min="47" max="47" width="22" style="86" bestFit="1" customWidth="1"/>
    <col min="48" max="52" width="20.140625" style="41" bestFit="1" customWidth="1"/>
    <col min="53" max="53" width="11.85546875" style="41" customWidth="1"/>
    <col min="54" max="54" width="15" style="41" customWidth="1"/>
    <col min="55" max="55" width="14.5703125" style="41" customWidth="1"/>
    <col min="56" max="73" width="14" style="41" customWidth="1"/>
    <col min="74" max="74" width="14.140625" style="41" customWidth="1"/>
    <col min="75" max="75" width="15.140625" style="41" customWidth="1"/>
    <col min="76" max="76" width="18.85546875" style="41" customWidth="1"/>
    <col min="77" max="77" width="24.28515625" style="41" customWidth="1"/>
    <col min="78" max="82" width="17.85546875" style="41" customWidth="1"/>
    <col min="83" max="83" width="15.85546875" style="41" customWidth="1"/>
    <col min="84" max="85" width="19.7109375" style="41" customWidth="1"/>
    <col min="86" max="86" width="23.42578125" style="41" customWidth="1"/>
    <col min="87" max="87" width="11.85546875" style="41" customWidth="1"/>
    <col min="88" max="88" width="16.28515625" style="41" customWidth="1"/>
    <col min="89" max="91" width="11.85546875" style="41" customWidth="1"/>
    <col min="92" max="92" width="17" style="41" customWidth="1"/>
    <col min="93" max="93" width="16.5703125" style="41" customWidth="1"/>
    <col min="94" max="95" width="11.85546875" style="41" customWidth="1"/>
    <col min="96" max="96" width="23.28515625" style="41" customWidth="1"/>
    <col min="97" max="97" width="22.28515625" style="41" customWidth="1"/>
    <col min="98" max="98" width="26.28515625" style="41" customWidth="1"/>
    <col min="99" max="99" width="16.140625" style="41" customWidth="1"/>
    <col min="100" max="100" width="11.85546875" style="41" customWidth="1"/>
    <col min="101" max="101" width="19.140625" style="41" customWidth="1"/>
    <col min="102" max="102" width="21" style="41" customWidth="1"/>
    <col min="103" max="103" width="16.7109375" style="41" customWidth="1"/>
    <col min="104" max="104" width="19.5703125" style="41" customWidth="1"/>
    <col min="105" max="105" width="11.85546875" style="41" customWidth="1"/>
    <col min="106" max="106" width="20.42578125" style="41" customWidth="1"/>
    <col min="107" max="107" width="16.7109375" style="41" customWidth="1"/>
    <col min="108" max="128" width="19" style="41" customWidth="1"/>
    <col min="129" max="133" width="11.85546875" style="41" customWidth="1"/>
    <col min="134" max="134" width="18.7109375" style="41" customWidth="1"/>
    <col min="135" max="16384" width="9.140625" style="41"/>
  </cols>
  <sheetData>
    <row r="1" spans="2:52" ht="26.25" thickBot="1">
      <c r="J1" s="79"/>
      <c r="K1" s="79"/>
      <c r="L1" s="79"/>
      <c r="M1" s="79"/>
      <c r="N1" s="79"/>
      <c r="O1" s="79"/>
      <c r="P1" s="79"/>
      <c r="Q1" s="92"/>
      <c r="R1" s="79"/>
      <c r="S1" s="79"/>
      <c r="T1" s="79"/>
      <c r="U1" s="79"/>
      <c r="V1" s="92"/>
    </row>
    <row r="2" spans="2:52" ht="46.5" thickTop="1" thickBot="1">
      <c r="C2" s="1099" t="s">
        <v>1226</v>
      </c>
      <c r="D2" s="1100"/>
      <c r="E2" s="1100"/>
      <c r="F2" s="1100"/>
      <c r="G2" s="1100"/>
      <c r="H2" s="1100"/>
      <c r="I2" s="1101"/>
      <c r="J2" s="76"/>
      <c r="K2" s="76"/>
    </row>
    <row r="3" spans="2:52" ht="23.25" thickTop="1">
      <c r="C3" s="76"/>
      <c r="D3" s="76"/>
      <c r="E3" s="76"/>
      <c r="F3" s="76"/>
      <c r="G3" s="76"/>
      <c r="H3" s="76"/>
      <c r="I3" s="127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5"/>
    </row>
    <row r="4" spans="2:52">
      <c r="C4" s="91"/>
      <c r="D4" s="91"/>
      <c r="E4" s="91"/>
      <c r="F4" s="91"/>
      <c r="G4" s="91"/>
      <c r="H4" s="91"/>
      <c r="I4" s="127"/>
      <c r="J4" s="94"/>
      <c r="K4" s="94"/>
      <c r="L4" s="94"/>
      <c r="M4" s="94"/>
      <c r="N4" s="94"/>
      <c r="O4" s="94"/>
      <c r="P4" s="94"/>
      <c r="Q4" s="95"/>
      <c r="R4" s="94"/>
      <c r="S4" s="94"/>
      <c r="T4" s="94"/>
      <c r="U4" s="94"/>
      <c r="V4" s="95"/>
      <c r="W4" s="94"/>
      <c r="X4" s="94"/>
      <c r="Y4" s="94"/>
      <c r="Z4" s="94"/>
      <c r="AA4" s="95"/>
    </row>
    <row r="5" spans="2:52" ht="30.75">
      <c r="C5" s="1102" t="s">
        <v>150</v>
      </c>
      <c r="D5" s="1102"/>
      <c r="E5" s="1102"/>
      <c r="F5" s="91"/>
      <c r="G5" s="91"/>
      <c r="H5" s="91"/>
      <c r="I5" s="127"/>
      <c r="J5" s="94"/>
      <c r="K5" s="94"/>
      <c r="L5" s="94"/>
      <c r="M5" s="96"/>
      <c r="N5" s="94"/>
      <c r="O5" s="94"/>
      <c r="P5" s="94"/>
      <c r="Q5" s="95"/>
      <c r="R5" s="94"/>
      <c r="S5" s="94"/>
      <c r="T5" s="94"/>
      <c r="U5" s="94"/>
      <c r="V5" s="95"/>
      <c r="W5" s="94"/>
      <c r="X5" s="94"/>
      <c r="Y5" s="94"/>
      <c r="Z5" s="94"/>
      <c r="AA5" s="95"/>
      <c r="AX5" s="97"/>
    </row>
    <row r="6" spans="2:52">
      <c r="C6" s="98"/>
      <c r="D6" s="98"/>
      <c r="E6" s="98"/>
      <c r="F6" s="91"/>
      <c r="G6" s="91"/>
      <c r="H6" s="91"/>
      <c r="I6" s="127"/>
      <c r="J6" s="94"/>
      <c r="K6" s="94"/>
      <c r="L6" s="94"/>
      <c r="M6" s="94"/>
      <c r="N6" s="94"/>
      <c r="O6" s="94"/>
      <c r="P6" s="94"/>
      <c r="Q6" s="95"/>
      <c r="R6" s="94"/>
      <c r="S6" s="94"/>
      <c r="T6" s="94"/>
      <c r="U6" s="94"/>
      <c r="V6" s="95"/>
      <c r="W6" s="94"/>
      <c r="X6" s="94"/>
      <c r="Y6" s="94"/>
      <c r="Z6" s="94"/>
      <c r="AA6" s="95"/>
      <c r="AL6" s="139"/>
      <c r="AM6" s="139"/>
      <c r="AN6" s="139"/>
      <c r="AO6" s="139"/>
      <c r="AP6" s="139"/>
      <c r="AQ6" s="1096"/>
      <c r="AR6" s="1096"/>
      <c r="AS6" s="1096"/>
      <c r="AT6" s="1096"/>
      <c r="AU6" s="1096"/>
      <c r="AV6" s="99"/>
      <c r="AW6" s="99"/>
      <c r="AX6" s="99"/>
      <c r="AY6" s="99"/>
      <c r="AZ6" s="99"/>
    </row>
    <row r="7" spans="2:52" s="808" customFormat="1" ht="67.150000000000006" customHeight="1">
      <c r="C7" s="1103" t="s">
        <v>146</v>
      </c>
      <c r="D7" s="1103"/>
      <c r="E7" s="1094" t="s">
        <v>148</v>
      </c>
      <c r="F7" s="1094"/>
      <c r="G7" s="1094"/>
      <c r="H7" s="1094"/>
      <c r="I7" s="1094" t="s">
        <v>194</v>
      </c>
      <c r="J7" s="1094"/>
      <c r="K7" s="1094"/>
      <c r="L7" s="1094"/>
      <c r="M7" s="1094" t="s">
        <v>1186</v>
      </c>
      <c r="N7" s="1094"/>
      <c r="O7" s="1094"/>
      <c r="P7" s="1094"/>
      <c r="Q7" s="1094"/>
      <c r="R7" s="1094" t="s">
        <v>1187</v>
      </c>
      <c r="S7" s="1094"/>
      <c r="T7" s="1094"/>
      <c r="U7" s="1094"/>
      <c r="V7" s="1094"/>
      <c r="W7" s="1094" t="s">
        <v>1188</v>
      </c>
      <c r="X7" s="1094"/>
      <c r="Y7" s="1094"/>
      <c r="Z7" s="1094"/>
      <c r="AA7" s="1094"/>
      <c r="AB7" s="1094" t="s">
        <v>1189</v>
      </c>
      <c r="AC7" s="1094"/>
      <c r="AD7" s="1094"/>
      <c r="AE7" s="1094"/>
      <c r="AF7" s="1094"/>
      <c r="AG7" s="1094" t="s">
        <v>1190</v>
      </c>
      <c r="AH7" s="1094"/>
      <c r="AI7" s="1094"/>
      <c r="AJ7" s="1094"/>
      <c r="AK7" s="1094"/>
      <c r="AL7" s="1095" t="s">
        <v>1191</v>
      </c>
      <c r="AM7" s="1095"/>
      <c r="AN7" s="1095"/>
      <c r="AO7" s="1095"/>
      <c r="AP7" s="1095"/>
      <c r="AQ7" s="1094" t="s">
        <v>1192</v>
      </c>
      <c r="AR7" s="1094"/>
      <c r="AS7" s="1094"/>
      <c r="AT7" s="1094"/>
      <c r="AU7" s="1094"/>
      <c r="AV7" s="1094" t="s">
        <v>1193</v>
      </c>
      <c r="AW7" s="1094"/>
      <c r="AX7" s="1094"/>
      <c r="AY7" s="1094"/>
      <c r="AZ7" s="1094"/>
    </row>
    <row r="8" spans="2:52" s="816" customFormat="1" ht="32.25" customHeight="1">
      <c r="B8" s="809"/>
      <c r="C8" s="810" t="s">
        <v>147</v>
      </c>
      <c r="D8" s="811"/>
      <c r="E8" s="812" t="s">
        <v>106</v>
      </c>
      <c r="F8" s="812" t="s">
        <v>107</v>
      </c>
      <c r="G8" s="812" t="s">
        <v>108</v>
      </c>
      <c r="H8" s="812" t="s">
        <v>109</v>
      </c>
      <c r="I8" s="812" t="s">
        <v>106</v>
      </c>
      <c r="J8" s="812" t="s">
        <v>107</v>
      </c>
      <c r="K8" s="812" t="s">
        <v>108</v>
      </c>
      <c r="L8" s="812" t="s">
        <v>109</v>
      </c>
      <c r="M8" s="812" t="s">
        <v>106</v>
      </c>
      <c r="N8" s="812" t="s">
        <v>107</v>
      </c>
      <c r="O8" s="812" t="s">
        <v>108</v>
      </c>
      <c r="P8" s="812" t="s">
        <v>109</v>
      </c>
      <c r="Q8" s="813" t="s">
        <v>137</v>
      </c>
      <c r="R8" s="812" t="s">
        <v>106</v>
      </c>
      <c r="S8" s="812" t="s">
        <v>107</v>
      </c>
      <c r="T8" s="812" t="s">
        <v>108</v>
      </c>
      <c r="U8" s="812" t="s">
        <v>109</v>
      </c>
      <c r="V8" s="813" t="s">
        <v>137</v>
      </c>
      <c r="W8" s="812" t="s">
        <v>106</v>
      </c>
      <c r="X8" s="812" t="s">
        <v>107</v>
      </c>
      <c r="Y8" s="812" t="s">
        <v>108</v>
      </c>
      <c r="Z8" s="812" t="s">
        <v>109</v>
      </c>
      <c r="AA8" s="813" t="s">
        <v>137</v>
      </c>
      <c r="AB8" s="812" t="s">
        <v>106</v>
      </c>
      <c r="AC8" s="812" t="s">
        <v>107</v>
      </c>
      <c r="AD8" s="812" t="s">
        <v>108</v>
      </c>
      <c r="AE8" s="812" t="s">
        <v>109</v>
      </c>
      <c r="AF8" s="813" t="s">
        <v>137</v>
      </c>
      <c r="AG8" s="813" t="s">
        <v>106</v>
      </c>
      <c r="AH8" s="813" t="s">
        <v>107</v>
      </c>
      <c r="AI8" s="813" t="s">
        <v>108</v>
      </c>
      <c r="AJ8" s="813" t="s">
        <v>109</v>
      </c>
      <c r="AK8" s="811" t="s">
        <v>137</v>
      </c>
      <c r="AL8" s="814" t="s">
        <v>106</v>
      </c>
      <c r="AM8" s="814" t="s">
        <v>107</v>
      </c>
      <c r="AN8" s="814" t="s">
        <v>108</v>
      </c>
      <c r="AO8" s="814" t="s">
        <v>109</v>
      </c>
      <c r="AP8" s="815" t="s">
        <v>137</v>
      </c>
      <c r="AQ8" s="812" t="s">
        <v>106</v>
      </c>
      <c r="AR8" s="812" t="s">
        <v>107</v>
      </c>
      <c r="AS8" s="812" t="s">
        <v>108</v>
      </c>
      <c r="AT8" s="812" t="s">
        <v>109</v>
      </c>
      <c r="AU8" s="813" t="s">
        <v>137</v>
      </c>
      <c r="AV8" s="812" t="s">
        <v>106</v>
      </c>
      <c r="AW8" s="812" t="s">
        <v>107</v>
      </c>
      <c r="AX8" s="812" t="s">
        <v>108</v>
      </c>
      <c r="AY8" s="812" t="s">
        <v>109</v>
      </c>
      <c r="AZ8" s="813" t="s">
        <v>137</v>
      </c>
    </row>
    <row r="9" spans="2:52" s="816" customFormat="1" ht="22.5">
      <c r="B9" s="809"/>
      <c r="C9" s="1098" t="s">
        <v>149</v>
      </c>
      <c r="D9" s="869">
        <f ca="1">ФОП!A5</f>
        <v>4</v>
      </c>
      <c r="E9" s="817">
        <v>0.22</v>
      </c>
      <c r="F9" s="817">
        <v>0.22</v>
      </c>
      <c r="G9" s="817">
        <v>0.22</v>
      </c>
      <c r="H9" s="817">
        <v>0.22</v>
      </c>
      <c r="I9" s="818">
        <f ca="1">ФОП!A5</f>
        <v>4</v>
      </c>
      <c r="J9" s="819">
        <f>I9</f>
        <v>4</v>
      </c>
      <c r="K9" s="819">
        <f>J9</f>
        <v>4</v>
      </c>
      <c r="L9" s="819">
        <f>K9</f>
        <v>4</v>
      </c>
      <c r="M9" s="820">
        <f ca="1">ФОП!O5</f>
        <v>220930.03152000002</v>
      </c>
      <c r="N9" s="820">
        <f ca="1">ФОП!P5</f>
        <v>220930.03152000002</v>
      </c>
      <c r="O9" s="820">
        <f ca="1">ФОП!Q5</f>
        <v>220930.03152000002</v>
      </c>
      <c r="P9" s="820">
        <f ca="1">ФОП!R5</f>
        <v>224029.89722999997</v>
      </c>
      <c r="Q9" s="821">
        <f ca="1">SUM(M9:P9)</f>
        <v>886819.99179000012</v>
      </c>
      <c r="R9" s="761">
        <f ca="1">ФОП!O12</f>
        <v>0</v>
      </c>
      <c r="S9" s="761">
        <f ca="1">ФОП!P12</f>
        <v>0</v>
      </c>
      <c r="T9" s="761">
        <f ca="1">ФОП!Q12</f>
        <v>0</v>
      </c>
      <c r="U9" s="761">
        <f ca="1">ФОП!R12</f>
        <v>0</v>
      </c>
      <c r="V9" s="821">
        <f ca="1">SUM(R9:U9)</f>
        <v>0</v>
      </c>
      <c r="W9" s="761">
        <f ca="1">ФОП!O19</f>
        <v>14279.255024999999</v>
      </c>
      <c r="X9" s="761">
        <f ca="1">ФОП!P19</f>
        <v>14279.255024999999</v>
      </c>
      <c r="Y9" s="761">
        <f ca="1">ФОП!Q19</f>
        <v>14279.255024999999</v>
      </c>
      <c r="Z9" s="761">
        <f ca="1">ФОП!R19</f>
        <v>14279.255024999999</v>
      </c>
      <c r="AA9" s="821">
        <f ca="1">SUM(W9:Z9)</f>
        <v>57117.020099999994</v>
      </c>
      <c r="AB9" s="761">
        <f ca="1">ФОП!O26</f>
        <v>1104.6501576000001</v>
      </c>
      <c r="AC9" s="761">
        <f ca="1">ФОП!P26</f>
        <v>1104.6501576000001</v>
      </c>
      <c r="AD9" s="761">
        <f ca="1">ФОП!Q26</f>
        <v>1104.6501576000001</v>
      </c>
      <c r="AE9" s="761">
        <f ca="1">ФОП!R26</f>
        <v>1120.1494861499998</v>
      </c>
      <c r="AF9" s="821">
        <f ca="1">SUM(AB9:AE9)</f>
        <v>4434.0999589499997</v>
      </c>
      <c r="AG9" s="822">
        <f ca="1">M9+R9+W9+AB9</f>
        <v>236313.93670260001</v>
      </c>
      <c r="AH9" s="822">
        <f ca="1">N9+S9+X9+AC9</f>
        <v>236313.93670260001</v>
      </c>
      <c r="AI9" s="822">
        <f ca="1">O9+T9+Y9+AD9</f>
        <v>236313.93670260001</v>
      </c>
      <c r="AJ9" s="822">
        <f ca="1">P9+U9+Z9+AE9</f>
        <v>239429.30174114997</v>
      </c>
      <c r="AK9" s="821">
        <f ca="1">Q9+V9+AA9+AF9</f>
        <v>948371.11184895004</v>
      </c>
      <c r="AL9" s="823"/>
      <c r="AM9" s="823"/>
      <c r="AN9" s="823"/>
      <c r="AO9" s="823"/>
      <c r="AP9" s="824">
        <f>SUM(AL9:AO9)</f>
        <v>0</v>
      </c>
      <c r="AQ9" s="822">
        <f>AG9*E9/100%</f>
        <v>51989.066074572002</v>
      </c>
      <c r="AR9" s="822">
        <f>AH9*F9/100%</f>
        <v>51989.066074572002</v>
      </c>
      <c r="AS9" s="822">
        <f>AI9*G9/100%</f>
        <v>51989.066074572002</v>
      </c>
      <c r="AT9" s="822">
        <f>AJ9*H9/100%</f>
        <v>52674.446383052993</v>
      </c>
      <c r="AU9" s="821">
        <f>SUM(AQ9:AT9)</f>
        <v>208641.644606769</v>
      </c>
      <c r="AV9" s="822">
        <f>AG9*(18%+1.5%)/100%</f>
        <v>46081.217657007001</v>
      </c>
      <c r="AW9" s="822">
        <f>AH9*(18%+1.5%)/100%</f>
        <v>46081.217657007001</v>
      </c>
      <c r="AX9" s="822">
        <f>AI9*(18%+1.5%)/100%</f>
        <v>46081.217657007001</v>
      </c>
      <c r="AY9" s="822">
        <f>AJ9*(18%+1.5%)/100%</f>
        <v>46688.713839524244</v>
      </c>
      <c r="AZ9" s="821">
        <f>SUM(AV9:AY9)</f>
        <v>184932.36681054527</v>
      </c>
    </row>
    <row r="10" spans="2:52" s="825" customFormat="1" ht="21.75">
      <c r="C10" s="1098"/>
      <c r="D10" s="871"/>
      <c r="E10" s="821" t="s">
        <v>111</v>
      </c>
      <c r="F10" s="821" t="s">
        <v>111</v>
      </c>
      <c r="G10" s="821" t="s">
        <v>111</v>
      </c>
      <c r="H10" s="821" t="s">
        <v>111</v>
      </c>
      <c r="I10" s="826">
        <f t="shared" ref="I10:AZ10" si="0">SUM(I9:I9)</f>
        <v>4</v>
      </c>
      <c r="J10" s="826">
        <f t="shared" si="0"/>
        <v>4</v>
      </c>
      <c r="K10" s="826">
        <f t="shared" si="0"/>
        <v>4</v>
      </c>
      <c r="L10" s="826">
        <f t="shared" si="0"/>
        <v>4</v>
      </c>
      <c r="M10" s="821">
        <f t="shared" si="0"/>
        <v>220930.03152000002</v>
      </c>
      <c r="N10" s="821">
        <f t="shared" si="0"/>
        <v>220930.03152000002</v>
      </c>
      <c r="O10" s="821">
        <f t="shared" si="0"/>
        <v>220930.03152000002</v>
      </c>
      <c r="P10" s="821">
        <f t="shared" si="0"/>
        <v>224029.89722999997</v>
      </c>
      <c r="Q10" s="821">
        <f t="shared" si="0"/>
        <v>886819.99179000012</v>
      </c>
      <c r="R10" s="821">
        <f t="shared" si="0"/>
        <v>0</v>
      </c>
      <c r="S10" s="821">
        <f t="shared" si="0"/>
        <v>0</v>
      </c>
      <c r="T10" s="821">
        <f t="shared" si="0"/>
        <v>0</v>
      </c>
      <c r="U10" s="821">
        <f t="shared" si="0"/>
        <v>0</v>
      </c>
      <c r="V10" s="821">
        <f t="shared" si="0"/>
        <v>0</v>
      </c>
      <c r="W10" s="821">
        <f t="shared" si="0"/>
        <v>14279.255024999999</v>
      </c>
      <c r="X10" s="821">
        <f t="shared" si="0"/>
        <v>14279.255024999999</v>
      </c>
      <c r="Y10" s="821">
        <f t="shared" si="0"/>
        <v>14279.255024999999</v>
      </c>
      <c r="Z10" s="821">
        <f t="shared" si="0"/>
        <v>14279.255024999999</v>
      </c>
      <c r="AA10" s="821">
        <f t="shared" si="0"/>
        <v>57117.020099999994</v>
      </c>
      <c r="AB10" s="821">
        <f t="shared" si="0"/>
        <v>1104.6501576000001</v>
      </c>
      <c r="AC10" s="821">
        <f t="shared" si="0"/>
        <v>1104.6501576000001</v>
      </c>
      <c r="AD10" s="821">
        <f t="shared" si="0"/>
        <v>1104.6501576000001</v>
      </c>
      <c r="AE10" s="821">
        <f t="shared" si="0"/>
        <v>1120.1494861499998</v>
      </c>
      <c r="AF10" s="821">
        <f t="shared" si="0"/>
        <v>4434.0999589499997</v>
      </c>
      <c r="AG10" s="821">
        <f t="shared" si="0"/>
        <v>236313.93670260001</v>
      </c>
      <c r="AH10" s="821">
        <f t="shared" si="0"/>
        <v>236313.93670260001</v>
      </c>
      <c r="AI10" s="821">
        <f t="shared" si="0"/>
        <v>236313.93670260001</v>
      </c>
      <c r="AJ10" s="821">
        <f t="shared" si="0"/>
        <v>239429.30174114997</v>
      </c>
      <c r="AK10" s="821">
        <f t="shared" si="0"/>
        <v>948371.11184895004</v>
      </c>
      <c r="AL10" s="824">
        <f t="shared" si="0"/>
        <v>0</v>
      </c>
      <c r="AM10" s="824">
        <f t="shared" si="0"/>
        <v>0</v>
      </c>
      <c r="AN10" s="824">
        <f t="shared" si="0"/>
        <v>0</v>
      </c>
      <c r="AO10" s="824">
        <f t="shared" si="0"/>
        <v>0</v>
      </c>
      <c r="AP10" s="824">
        <f t="shared" ref="AP10:AP21" si="1">SUM(AL10:AO10)</f>
        <v>0</v>
      </c>
      <c r="AQ10" s="821">
        <f t="shared" si="0"/>
        <v>51989.066074572002</v>
      </c>
      <c r="AR10" s="821">
        <f t="shared" si="0"/>
        <v>51989.066074572002</v>
      </c>
      <c r="AS10" s="821">
        <f t="shared" si="0"/>
        <v>51989.066074572002</v>
      </c>
      <c r="AT10" s="821">
        <f t="shared" si="0"/>
        <v>52674.446383052993</v>
      </c>
      <c r="AU10" s="821">
        <f t="shared" ref="AU10:AU21" si="2">SUM(AQ10:AT10)</f>
        <v>208641.644606769</v>
      </c>
      <c r="AV10" s="821">
        <f t="shared" si="0"/>
        <v>46081.217657007001</v>
      </c>
      <c r="AW10" s="821">
        <f t="shared" si="0"/>
        <v>46081.217657007001</v>
      </c>
      <c r="AX10" s="821">
        <f t="shared" si="0"/>
        <v>46081.217657007001</v>
      </c>
      <c r="AY10" s="821">
        <f t="shared" si="0"/>
        <v>46688.713839524244</v>
      </c>
      <c r="AZ10" s="821">
        <f t="shared" si="0"/>
        <v>184932.36681054527</v>
      </c>
    </row>
    <row r="11" spans="2:52" s="816" customFormat="1" ht="22.5">
      <c r="B11" s="809"/>
      <c r="C11" s="1098" t="s">
        <v>1224</v>
      </c>
      <c r="D11" s="869">
        <f ca="1">ФОП!A6</f>
        <v>9</v>
      </c>
      <c r="E11" s="817">
        <v>0.22</v>
      </c>
      <c r="F11" s="817">
        <v>0.22</v>
      </c>
      <c r="G11" s="817">
        <v>0.22</v>
      </c>
      <c r="H11" s="817">
        <v>0.22</v>
      </c>
      <c r="I11" s="818">
        <f ca="1">ФОП!A6</f>
        <v>9</v>
      </c>
      <c r="J11" s="819">
        <f>I11</f>
        <v>9</v>
      </c>
      <c r="K11" s="819">
        <f>J11</f>
        <v>9</v>
      </c>
      <c r="L11" s="819">
        <f>K11</f>
        <v>9</v>
      </c>
      <c r="M11" s="820">
        <f ca="1">ФОП!O6</f>
        <v>498541.68374999997</v>
      </c>
      <c r="N11" s="820">
        <f ca="1">ФОП!P6</f>
        <v>498541.68374999997</v>
      </c>
      <c r="O11" s="820">
        <f ca="1">ФОП!Q6</f>
        <v>498541.68374999997</v>
      </c>
      <c r="P11" s="820">
        <f ca="1">ФОП!R6</f>
        <v>499709.94000000006</v>
      </c>
      <c r="Q11" s="821">
        <f ca="1">SUM(M11:P11)</f>
        <v>1995334.99125</v>
      </c>
      <c r="R11" s="827">
        <f ca="1">ФОП!O13</f>
        <v>0</v>
      </c>
      <c r="S11" s="827">
        <f ca="1">ФОП!P13</f>
        <v>0</v>
      </c>
      <c r="T11" s="827">
        <f ca="1">ФОП!Q13</f>
        <v>0</v>
      </c>
      <c r="U11" s="827">
        <f ca="1">ФОП!R13</f>
        <v>0</v>
      </c>
      <c r="V11" s="821">
        <f ca="1">SUM(R11:U11)</f>
        <v>0</v>
      </c>
      <c r="W11" s="820">
        <f ca="1">ФОП!O20</f>
        <v>21602.87975</v>
      </c>
      <c r="X11" s="820">
        <f ca="1">ФОП!P20</f>
        <v>21602.87975</v>
      </c>
      <c r="Y11" s="820">
        <f ca="1">ФОП!Q20</f>
        <v>21602.87975</v>
      </c>
      <c r="Z11" s="820">
        <f ca="1">ФОП!R20</f>
        <v>21602.87975</v>
      </c>
      <c r="AA11" s="821">
        <f ca="1">SUM(W11:Z11)</f>
        <v>86411.519</v>
      </c>
      <c r="AB11" s="761">
        <f ca="1">ФОП!O27</f>
        <v>2492.70841875</v>
      </c>
      <c r="AC11" s="761">
        <f ca="1">ФОП!P27</f>
        <v>2492.70841875</v>
      </c>
      <c r="AD11" s="761">
        <f ca="1">ФОП!Q27</f>
        <v>2492.70841875</v>
      </c>
      <c r="AE11" s="761">
        <f ca="1">ФОП!R27</f>
        <v>2498.5497</v>
      </c>
      <c r="AF11" s="821">
        <f ca="1">SUM(AB11:AE11)</f>
        <v>9976.674956249999</v>
      </c>
      <c r="AG11" s="822">
        <f ca="1">M11+R11+W11+AB11</f>
        <v>522637.27191874996</v>
      </c>
      <c r="AH11" s="822">
        <f ca="1">N11+S11+X11+AC11</f>
        <v>522637.27191874996</v>
      </c>
      <c r="AI11" s="822">
        <f ca="1">O11+T11+Y11+AD11</f>
        <v>522637.27191874996</v>
      </c>
      <c r="AJ11" s="822">
        <f ca="1">P11+U11+Z11+AE11</f>
        <v>523811.36945000006</v>
      </c>
      <c r="AK11" s="821">
        <f ca="1">Q11+V11+AA11+AF11</f>
        <v>2091723.1852062501</v>
      </c>
      <c r="AL11" s="823"/>
      <c r="AM11" s="823"/>
      <c r="AN11" s="823"/>
      <c r="AO11" s="823"/>
      <c r="AP11" s="824">
        <f t="shared" si="1"/>
        <v>0</v>
      </c>
      <c r="AQ11" s="822">
        <f>AG11*E11/100%</f>
        <v>114980.199822125</v>
      </c>
      <c r="AR11" s="822">
        <f>AH11*F11/100%</f>
        <v>114980.199822125</v>
      </c>
      <c r="AS11" s="822">
        <f>AI11*G11/100%</f>
        <v>114980.199822125</v>
      </c>
      <c r="AT11" s="822">
        <f>AJ11*H11/100%</f>
        <v>115238.50127900002</v>
      </c>
      <c r="AU11" s="821">
        <f t="shared" si="2"/>
        <v>460179.10074537498</v>
      </c>
      <c r="AV11" s="822">
        <f>AG11*(18%+1.5%)/100%</f>
        <v>101914.26802415625</v>
      </c>
      <c r="AW11" s="822">
        <f>AH11*(18%+1.5%)/100%</f>
        <v>101914.26802415625</v>
      </c>
      <c r="AX11" s="822">
        <f>AI11*(18%+1.5%)/100%</f>
        <v>101914.26802415625</v>
      </c>
      <c r="AY11" s="822">
        <f>AJ11*(18%+1.5%)/100%</f>
        <v>102143.21704275001</v>
      </c>
      <c r="AZ11" s="821">
        <f>SUM(AV11:AY11)</f>
        <v>407886.02111521875</v>
      </c>
    </row>
    <row r="12" spans="2:52" s="825" customFormat="1" ht="21.75">
      <c r="C12" s="1098"/>
      <c r="D12" s="871"/>
      <c r="E12" s="821" t="s">
        <v>111</v>
      </c>
      <c r="F12" s="821" t="s">
        <v>111</v>
      </c>
      <c r="G12" s="821" t="s">
        <v>111</v>
      </c>
      <c r="H12" s="821" t="s">
        <v>111</v>
      </c>
      <c r="I12" s="826">
        <f t="shared" ref="I12:AF12" si="3">SUM(I11:I11)</f>
        <v>9</v>
      </c>
      <c r="J12" s="826">
        <f t="shared" si="3"/>
        <v>9</v>
      </c>
      <c r="K12" s="826">
        <f t="shared" si="3"/>
        <v>9</v>
      </c>
      <c r="L12" s="826">
        <f t="shared" si="3"/>
        <v>9</v>
      </c>
      <c r="M12" s="821">
        <f t="shared" si="3"/>
        <v>498541.68374999997</v>
      </c>
      <c r="N12" s="821">
        <f t="shared" si="3"/>
        <v>498541.68374999997</v>
      </c>
      <c r="O12" s="821">
        <f t="shared" si="3"/>
        <v>498541.68374999997</v>
      </c>
      <c r="P12" s="821">
        <f t="shared" si="3"/>
        <v>499709.94000000006</v>
      </c>
      <c r="Q12" s="821">
        <f t="shared" si="3"/>
        <v>1995334.99125</v>
      </c>
      <c r="R12" s="821">
        <f t="shared" si="3"/>
        <v>0</v>
      </c>
      <c r="S12" s="821">
        <f t="shared" si="3"/>
        <v>0</v>
      </c>
      <c r="T12" s="821">
        <f t="shared" si="3"/>
        <v>0</v>
      </c>
      <c r="U12" s="821">
        <f t="shared" si="3"/>
        <v>0</v>
      </c>
      <c r="V12" s="821">
        <f t="shared" si="3"/>
        <v>0</v>
      </c>
      <c r="W12" s="821">
        <f t="shared" si="3"/>
        <v>21602.87975</v>
      </c>
      <c r="X12" s="821">
        <f t="shared" si="3"/>
        <v>21602.87975</v>
      </c>
      <c r="Y12" s="821">
        <f t="shared" si="3"/>
        <v>21602.87975</v>
      </c>
      <c r="Z12" s="821">
        <f t="shared" si="3"/>
        <v>21602.87975</v>
      </c>
      <c r="AA12" s="821">
        <f t="shared" si="3"/>
        <v>86411.519</v>
      </c>
      <c r="AB12" s="821">
        <f t="shared" si="3"/>
        <v>2492.70841875</v>
      </c>
      <c r="AC12" s="821">
        <f t="shared" si="3"/>
        <v>2492.70841875</v>
      </c>
      <c r="AD12" s="821">
        <f t="shared" si="3"/>
        <v>2492.70841875</v>
      </c>
      <c r="AE12" s="821">
        <f t="shared" si="3"/>
        <v>2498.5497</v>
      </c>
      <c r="AF12" s="821">
        <f t="shared" si="3"/>
        <v>9976.674956249999</v>
      </c>
      <c r="AG12" s="821">
        <f ca="1">SUM(AG11)</f>
        <v>522637.27191874996</v>
      </c>
      <c r="AH12" s="821">
        <f ca="1">SUM(AH11)</f>
        <v>522637.27191874996</v>
      </c>
      <c r="AI12" s="821">
        <f ca="1">SUM(AI11)</f>
        <v>522637.27191874996</v>
      </c>
      <c r="AJ12" s="821">
        <f ca="1">SUM(AJ11)</f>
        <v>523811.36945000006</v>
      </c>
      <c r="AK12" s="821">
        <f ca="1">SUM(AK11)</f>
        <v>2091723.1852062501</v>
      </c>
      <c r="AL12" s="824">
        <f>SUM(AL11:AL11)</f>
        <v>0</v>
      </c>
      <c r="AM12" s="824">
        <f>SUM(AM11:AM11)</f>
        <v>0</v>
      </c>
      <c r="AN12" s="824">
        <f>SUM(AN11:AN11)</f>
        <v>0</v>
      </c>
      <c r="AO12" s="824">
        <f>SUM(AO11:AO11)</f>
        <v>0</v>
      </c>
      <c r="AP12" s="824">
        <f t="shared" si="1"/>
        <v>0</v>
      </c>
      <c r="AQ12" s="821">
        <f t="shared" ref="AQ12:AZ12" si="4">SUM(AQ11:AQ11)</f>
        <v>114980.199822125</v>
      </c>
      <c r="AR12" s="821">
        <f t="shared" si="4"/>
        <v>114980.199822125</v>
      </c>
      <c r="AS12" s="821">
        <f t="shared" si="4"/>
        <v>114980.199822125</v>
      </c>
      <c r="AT12" s="821">
        <f t="shared" si="4"/>
        <v>115238.50127900002</v>
      </c>
      <c r="AU12" s="821">
        <f t="shared" si="2"/>
        <v>460179.10074537498</v>
      </c>
      <c r="AV12" s="821">
        <f t="shared" si="4"/>
        <v>101914.26802415625</v>
      </c>
      <c r="AW12" s="821">
        <f t="shared" si="4"/>
        <v>101914.26802415625</v>
      </c>
      <c r="AX12" s="821">
        <f t="shared" si="4"/>
        <v>101914.26802415625</v>
      </c>
      <c r="AY12" s="821">
        <f t="shared" si="4"/>
        <v>102143.21704275001</v>
      </c>
      <c r="AZ12" s="821">
        <f t="shared" si="4"/>
        <v>407886.02111521875</v>
      </c>
    </row>
    <row r="13" spans="2:52" s="816" customFormat="1" ht="22.5">
      <c r="B13" s="809"/>
      <c r="C13" s="1098" t="s">
        <v>16</v>
      </c>
      <c r="D13" s="872">
        <f ca="1">ФОП!A7</f>
        <v>42</v>
      </c>
      <c r="E13" s="817">
        <v>0.22</v>
      </c>
      <c r="F13" s="817">
        <v>0.22</v>
      </c>
      <c r="G13" s="817">
        <v>0.22</v>
      </c>
      <c r="H13" s="817">
        <v>0.22</v>
      </c>
      <c r="I13" s="818">
        <f ca="1">ФОП!A7</f>
        <v>42</v>
      </c>
      <c r="J13" s="819">
        <f>I13</f>
        <v>42</v>
      </c>
      <c r="K13" s="819">
        <f>J13</f>
        <v>42</v>
      </c>
      <c r="L13" s="819">
        <f>K13</f>
        <v>42</v>
      </c>
      <c r="M13" s="820">
        <f ca="1">ФОП!O7</f>
        <v>2520000</v>
      </c>
      <c r="N13" s="820">
        <f ca="1">ФОП!P7</f>
        <v>2520000</v>
      </c>
      <c r="O13" s="820">
        <f ca="1">ФОП!Q7</f>
        <v>2520000</v>
      </c>
      <c r="P13" s="820">
        <f ca="1">ФОП!R7</f>
        <v>2520000</v>
      </c>
      <c r="Q13" s="821">
        <f ca="1">SUM(M13:P13)</f>
        <v>10080000</v>
      </c>
      <c r="R13" s="827">
        <f ca="1">ФОП!O14</f>
        <v>67854.093052978773</v>
      </c>
      <c r="S13" s="827">
        <f ca="1">ФОП!P14</f>
        <v>80874.596751619305</v>
      </c>
      <c r="T13" s="827">
        <f ca="1">ФОП!Q14</f>
        <v>58528.0059921633</v>
      </c>
      <c r="U13" s="827">
        <f ca="1">ФОП!R14</f>
        <v>62680.216073781296</v>
      </c>
      <c r="V13" s="821">
        <f t="shared" ref="V13:V18" si="5">SUM(R13:U13)</f>
        <v>269936.91187054268</v>
      </c>
      <c r="W13" s="820">
        <f ca="1">ФОП!O21</f>
        <v>58015.739999999991</v>
      </c>
      <c r="X13" s="820">
        <f ca="1">ФОП!P21</f>
        <v>58015.739999999991</v>
      </c>
      <c r="Y13" s="820">
        <f ca="1">ФОП!Q21</f>
        <v>58015.739999999991</v>
      </c>
      <c r="Z13" s="820">
        <f ca="1">ФОП!R21</f>
        <v>58015.739999999991</v>
      </c>
      <c r="AA13" s="821">
        <f ca="1">SUM(W13:Z13)</f>
        <v>232062.95999999996</v>
      </c>
      <c r="AB13" s="761">
        <f ca="1">ФОП!O28</f>
        <v>63000</v>
      </c>
      <c r="AC13" s="761">
        <f ca="1">ФОП!P28</f>
        <v>63000</v>
      </c>
      <c r="AD13" s="761">
        <f ca="1">ФОП!Q28</f>
        <v>63000</v>
      </c>
      <c r="AE13" s="761">
        <f ca="1">ФОП!R28</f>
        <v>63000</v>
      </c>
      <c r="AF13" s="821">
        <f ca="1">SUM(AB13:AE13)</f>
        <v>252000</v>
      </c>
      <c r="AG13" s="822">
        <f ca="1">M13+R13+W13+AB13</f>
        <v>2708869.8330529789</v>
      </c>
      <c r="AH13" s="822">
        <f ca="1">N13+S13+X13+AC13</f>
        <v>2721890.3367516194</v>
      </c>
      <c r="AI13" s="822">
        <f ca="1">O13+T13+Y13+AD13</f>
        <v>2699543.7459921632</v>
      </c>
      <c r="AJ13" s="822">
        <f ca="1">P13+U13+Z13+AE13</f>
        <v>2703695.9560737815</v>
      </c>
      <c r="AK13" s="821">
        <f t="shared" ref="AK13:AK20" si="6">Q13+V13+AA13+AF13</f>
        <v>10833999.871870544</v>
      </c>
      <c r="AL13" s="823"/>
      <c r="AM13" s="823"/>
      <c r="AN13" s="823"/>
      <c r="AO13" s="823"/>
      <c r="AP13" s="824">
        <f t="shared" si="1"/>
        <v>0</v>
      </c>
      <c r="AQ13" s="822">
        <f>AG13*E13/100%</f>
        <v>595951.3632716554</v>
      </c>
      <c r="AR13" s="822">
        <f>AH13*F13/100%</f>
        <v>598815.87408535625</v>
      </c>
      <c r="AS13" s="822">
        <f>AI13*G13/100%</f>
        <v>593899.62411827594</v>
      </c>
      <c r="AT13" s="822">
        <f>AJ13*H13/100%</f>
        <v>594813.11033623188</v>
      </c>
      <c r="AU13" s="821">
        <f t="shared" si="2"/>
        <v>2383479.9718115195</v>
      </c>
      <c r="AV13" s="822">
        <f>AG13*(18%+1.5%)/100%</f>
        <v>528229.61744533095</v>
      </c>
      <c r="AW13" s="822">
        <f>AH13*(18%+1.5%)/100%</f>
        <v>530768.61566656583</v>
      </c>
      <c r="AX13" s="822">
        <f>AI13*(18%+1.5%)/100%</f>
        <v>526411.03046847181</v>
      </c>
      <c r="AY13" s="822">
        <f>AJ13*(18%+1.5%)/100%</f>
        <v>527220.71143438737</v>
      </c>
      <c r="AZ13" s="821">
        <f>SUM(AV13:AY13)</f>
        <v>2112629.975014756</v>
      </c>
    </row>
    <row r="14" spans="2:52" s="829" customFormat="1" ht="22.5">
      <c r="B14" s="825"/>
      <c r="C14" s="1098"/>
      <c r="D14" s="873"/>
      <c r="E14" s="821" t="s">
        <v>111</v>
      </c>
      <c r="F14" s="821" t="s">
        <v>111</v>
      </c>
      <c r="G14" s="821" t="s">
        <v>111</v>
      </c>
      <c r="H14" s="821" t="s">
        <v>111</v>
      </c>
      <c r="I14" s="826">
        <f t="shared" ref="I14:U14" si="7">SUM(I13:I13)</f>
        <v>42</v>
      </c>
      <c r="J14" s="826">
        <f t="shared" si="7"/>
        <v>42</v>
      </c>
      <c r="K14" s="826">
        <f t="shared" si="7"/>
        <v>42</v>
      </c>
      <c r="L14" s="826">
        <f t="shared" si="7"/>
        <v>42</v>
      </c>
      <c r="M14" s="821">
        <f t="shared" si="7"/>
        <v>2520000</v>
      </c>
      <c r="N14" s="821">
        <f t="shared" si="7"/>
        <v>2520000</v>
      </c>
      <c r="O14" s="821">
        <f t="shared" si="7"/>
        <v>2520000</v>
      </c>
      <c r="P14" s="821">
        <f t="shared" si="7"/>
        <v>2520000</v>
      </c>
      <c r="Q14" s="821">
        <f t="shared" si="7"/>
        <v>10080000</v>
      </c>
      <c r="R14" s="821">
        <f t="shared" si="7"/>
        <v>67854.093052978773</v>
      </c>
      <c r="S14" s="821">
        <f t="shared" si="7"/>
        <v>80874.596751619305</v>
      </c>
      <c r="T14" s="821">
        <f t="shared" si="7"/>
        <v>58528.0059921633</v>
      </c>
      <c r="U14" s="821">
        <f t="shared" si="7"/>
        <v>62680.216073781296</v>
      </c>
      <c r="V14" s="821">
        <f t="shared" si="5"/>
        <v>269936.91187054268</v>
      </c>
      <c r="W14" s="821">
        <f t="shared" ref="W14:AK14" si="8">SUM(W13:W13)</f>
        <v>58015.739999999991</v>
      </c>
      <c r="X14" s="821">
        <f t="shared" si="8"/>
        <v>58015.739999999991</v>
      </c>
      <c r="Y14" s="821">
        <f t="shared" si="8"/>
        <v>58015.739999999991</v>
      </c>
      <c r="Z14" s="821">
        <f t="shared" si="8"/>
        <v>58015.739999999991</v>
      </c>
      <c r="AA14" s="821">
        <f t="shared" si="8"/>
        <v>232062.95999999996</v>
      </c>
      <c r="AB14" s="821">
        <f t="shared" si="8"/>
        <v>63000</v>
      </c>
      <c r="AC14" s="821">
        <f t="shared" si="8"/>
        <v>63000</v>
      </c>
      <c r="AD14" s="821">
        <f t="shared" si="8"/>
        <v>63000</v>
      </c>
      <c r="AE14" s="821">
        <f t="shared" si="8"/>
        <v>63000</v>
      </c>
      <c r="AF14" s="821">
        <f t="shared" si="8"/>
        <v>252000</v>
      </c>
      <c r="AG14" s="821">
        <f t="shared" si="8"/>
        <v>2708869.8330529789</v>
      </c>
      <c r="AH14" s="821">
        <f t="shared" si="8"/>
        <v>2721890.3367516194</v>
      </c>
      <c r="AI14" s="821">
        <f t="shared" si="8"/>
        <v>2699543.7459921632</v>
      </c>
      <c r="AJ14" s="821">
        <f t="shared" si="8"/>
        <v>2703695.9560737815</v>
      </c>
      <c r="AK14" s="821">
        <f t="shared" si="8"/>
        <v>10833999.871870544</v>
      </c>
      <c r="AL14" s="824">
        <f>SUM(AL13:AL13)</f>
        <v>0</v>
      </c>
      <c r="AM14" s="824">
        <f>SUM(AM13:AM13)</f>
        <v>0</v>
      </c>
      <c r="AN14" s="824">
        <f>SUM(AN13:AN13)</f>
        <v>0</v>
      </c>
      <c r="AO14" s="824">
        <f>SUM(AO13:AO13)</f>
        <v>0</v>
      </c>
      <c r="AP14" s="824">
        <f t="shared" si="1"/>
        <v>0</v>
      </c>
      <c r="AQ14" s="821">
        <f t="shared" ref="AQ14:AZ14" si="9">SUM(AQ13:AQ13)</f>
        <v>595951.3632716554</v>
      </c>
      <c r="AR14" s="821">
        <f t="shared" si="9"/>
        <v>598815.87408535625</v>
      </c>
      <c r="AS14" s="821">
        <f t="shared" si="9"/>
        <v>593899.62411827594</v>
      </c>
      <c r="AT14" s="821">
        <f t="shared" si="9"/>
        <v>594813.11033623188</v>
      </c>
      <c r="AU14" s="821">
        <f t="shared" si="2"/>
        <v>2383479.9718115195</v>
      </c>
      <c r="AV14" s="821">
        <f t="shared" si="9"/>
        <v>528229.61744533095</v>
      </c>
      <c r="AW14" s="821">
        <f t="shared" si="9"/>
        <v>530768.61566656583</v>
      </c>
      <c r="AX14" s="821">
        <f t="shared" si="9"/>
        <v>526411.03046847181</v>
      </c>
      <c r="AY14" s="821">
        <f t="shared" si="9"/>
        <v>527220.71143438737</v>
      </c>
      <c r="AZ14" s="821">
        <f t="shared" si="9"/>
        <v>2112629.975014756</v>
      </c>
    </row>
    <row r="15" spans="2:52" s="829" customFormat="1" ht="22.5">
      <c r="B15" s="825"/>
      <c r="C15" s="1098" t="s">
        <v>101</v>
      </c>
      <c r="D15" s="872">
        <f ca="1">ФОП!A8</f>
        <v>94.5</v>
      </c>
      <c r="E15" s="817">
        <v>0.22</v>
      </c>
      <c r="F15" s="817">
        <v>0.22</v>
      </c>
      <c r="G15" s="817">
        <v>0.22</v>
      </c>
      <c r="H15" s="817">
        <v>0.22</v>
      </c>
      <c r="I15" s="818">
        <f ca="1">ФОП!A8</f>
        <v>94.5</v>
      </c>
      <c r="J15" s="819">
        <f>I15</f>
        <v>94.5</v>
      </c>
      <c r="K15" s="819">
        <f>J15</f>
        <v>94.5</v>
      </c>
      <c r="L15" s="819">
        <f>K15</f>
        <v>94.5</v>
      </c>
      <c r="M15" s="820">
        <f ca="1">ФОП!O8</f>
        <v>3827250</v>
      </c>
      <c r="N15" s="820">
        <f ca="1">ФОП!P8</f>
        <v>3827250</v>
      </c>
      <c r="O15" s="820">
        <f ca="1">ФОП!Q8</f>
        <v>3827250</v>
      </c>
      <c r="P15" s="820">
        <f ca="1">ФОП!R8</f>
        <v>3827250</v>
      </c>
      <c r="Q15" s="821">
        <f ca="1">SUM(M15:P15)</f>
        <v>15309000</v>
      </c>
      <c r="R15" s="827">
        <f ca="1">ФОП!O15</f>
        <v>142935.30550401978</v>
      </c>
      <c r="S15" s="827">
        <f ca="1">ФОП!P15</f>
        <v>171914.07675031736</v>
      </c>
      <c r="T15" s="827">
        <f ca="1">ФОП!Q15</f>
        <v>122130.51162671321</v>
      </c>
      <c r="U15" s="827">
        <f ca="1">ФОП!R15</f>
        <v>131381.96837944665</v>
      </c>
      <c r="V15" s="821">
        <f t="shared" si="5"/>
        <v>568361.86226049694</v>
      </c>
      <c r="W15" s="820">
        <f ca="1">ФОП!O22</f>
        <v>127955.20499999999</v>
      </c>
      <c r="X15" s="820">
        <f ca="1">ФОП!P22</f>
        <v>127955.20499999999</v>
      </c>
      <c r="Y15" s="820">
        <f ca="1">ФОП!Q22</f>
        <v>127955.20499999999</v>
      </c>
      <c r="Z15" s="820">
        <f ca="1">ФОП!R22</f>
        <v>127955.20499999999</v>
      </c>
      <c r="AA15" s="821">
        <f ca="1">SUM(W15:Z15)</f>
        <v>511820.81999999995</v>
      </c>
      <c r="AB15" s="761">
        <f ca="1">ФОП!O29</f>
        <v>95681.25</v>
      </c>
      <c r="AC15" s="761">
        <f ca="1">ФОП!P29</f>
        <v>95681.25</v>
      </c>
      <c r="AD15" s="761">
        <f ca="1">ФОП!Q29</f>
        <v>95681.25</v>
      </c>
      <c r="AE15" s="761">
        <f ca="1">ФОП!R29</f>
        <v>95681.25</v>
      </c>
      <c r="AF15" s="821">
        <f ca="1">SUM(AB15:AE15)</f>
        <v>382725</v>
      </c>
      <c r="AG15" s="822">
        <f ca="1">M15+R15+W15+AB15</f>
        <v>4193821.7605040199</v>
      </c>
      <c r="AH15" s="822">
        <f ca="1">N15+S15+X15+AC15</f>
        <v>4222800.5317503177</v>
      </c>
      <c r="AI15" s="822">
        <f ca="1">O15+T15+Y15+AD15</f>
        <v>4173016.9666267131</v>
      </c>
      <c r="AJ15" s="822">
        <f ca="1">P15+U15+Z15+AE15</f>
        <v>4182268.4233794468</v>
      </c>
      <c r="AK15" s="821">
        <f t="shared" si="6"/>
        <v>16771907.682260497</v>
      </c>
      <c r="AL15" s="823"/>
      <c r="AM15" s="823"/>
      <c r="AN15" s="823"/>
      <c r="AO15" s="823"/>
      <c r="AP15" s="824">
        <f t="shared" si="1"/>
        <v>0</v>
      </c>
      <c r="AQ15" s="822">
        <f>AG15*E15/100%</f>
        <v>922640.78731088433</v>
      </c>
      <c r="AR15" s="822">
        <f>AH15*F15/100%</f>
        <v>929016.11698506994</v>
      </c>
      <c r="AS15" s="822">
        <f>AI15*G15/100%</f>
        <v>918063.73265787691</v>
      </c>
      <c r="AT15" s="822">
        <f>AJ15*H15/100%</f>
        <v>920099.05314347835</v>
      </c>
      <c r="AU15" s="821">
        <f t="shared" si="2"/>
        <v>3689819.6900973096</v>
      </c>
      <c r="AV15" s="822">
        <f>AG15*(18%+1.5%)/100%</f>
        <v>817795.24329828389</v>
      </c>
      <c r="AW15" s="822">
        <f>AH15*(18%+1.5%)/100%</f>
        <v>823446.10369131202</v>
      </c>
      <c r="AX15" s="822">
        <f>AI15*(18%+1.5%)/100%</f>
        <v>813738.30849220906</v>
      </c>
      <c r="AY15" s="822">
        <f>AJ15*(18%+1.5%)/100%</f>
        <v>815542.34255899221</v>
      </c>
      <c r="AZ15" s="821">
        <f>SUM(AV15:AY15)</f>
        <v>3270521.9980407972</v>
      </c>
    </row>
    <row r="16" spans="2:52" s="829" customFormat="1" ht="22.5">
      <c r="B16" s="825"/>
      <c r="C16" s="1098"/>
      <c r="D16" s="873"/>
      <c r="E16" s="821" t="s">
        <v>111</v>
      </c>
      <c r="F16" s="821" t="s">
        <v>111</v>
      </c>
      <c r="G16" s="821" t="s">
        <v>111</v>
      </c>
      <c r="H16" s="821" t="s">
        <v>111</v>
      </c>
      <c r="I16" s="826">
        <f t="shared" ref="I16:U16" si="10">SUM(I15:I15)</f>
        <v>94.5</v>
      </c>
      <c r="J16" s="826">
        <f t="shared" si="10"/>
        <v>94.5</v>
      </c>
      <c r="K16" s="826">
        <f t="shared" si="10"/>
        <v>94.5</v>
      </c>
      <c r="L16" s="826">
        <f t="shared" si="10"/>
        <v>94.5</v>
      </c>
      <c r="M16" s="821">
        <f t="shared" si="10"/>
        <v>3827250</v>
      </c>
      <c r="N16" s="821">
        <f t="shared" si="10"/>
        <v>3827250</v>
      </c>
      <c r="O16" s="821">
        <f t="shared" si="10"/>
        <v>3827250</v>
      </c>
      <c r="P16" s="821">
        <f t="shared" si="10"/>
        <v>3827250</v>
      </c>
      <c r="Q16" s="821">
        <f t="shared" si="10"/>
        <v>15309000</v>
      </c>
      <c r="R16" s="821">
        <f t="shared" si="10"/>
        <v>142935.30550401978</v>
      </c>
      <c r="S16" s="821">
        <f t="shared" si="10"/>
        <v>171914.07675031736</v>
      </c>
      <c r="T16" s="821">
        <f t="shared" si="10"/>
        <v>122130.51162671321</v>
      </c>
      <c r="U16" s="821">
        <f t="shared" si="10"/>
        <v>131381.96837944665</v>
      </c>
      <c r="V16" s="821">
        <f t="shared" si="5"/>
        <v>568361.86226049694</v>
      </c>
      <c r="W16" s="821">
        <f t="shared" ref="W16:AJ16" si="11">SUM(W15:W15)</f>
        <v>127955.20499999999</v>
      </c>
      <c r="X16" s="821">
        <f t="shared" si="11"/>
        <v>127955.20499999999</v>
      </c>
      <c r="Y16" s="821">
        <f t="shared" si="11"/>
        <v>127955.20499999999</v>
      </c>
      <c r="Z16" s="821">
        <f t="shared" si="11"/>
        <v>127955.20499999999</v>
      </c>
      <c r="AA16" s="821">
        <f t="shared" si="11"/>
        <v>511820.81999999995</v>
      </c>
      <c r="AB16" s="821">
        <f t="shared" si="11"/>
        <v>95681.25</v>
      </c>
      <c r="AC16" s="821">
        <f t="shared" si="11"/>
        <v>95681.25</v>
      </c>
      <c r="AD16" s="821">
        <f t="shared" si="11"/>
        <v>95681.25</v>
      </c>
      <c r="AE16" s="821">
        <f t="shared" si="11"/>
        <v>95681.25</v>
      </c>
      <c r="AF16" s="821">
        <f t="shared" si="11"/>
        <v>382725</v>
      </c>
      <c r="AG16" s="821">
        <f t="shared" si="11"/>
        <v>4193821.7605040199</v>
      </c>
      <c r="AH16" s="821">
        <f t="shared" si="11"/>
        <v>4222800.5317503177</v>
      </c>
      <c r="AI16" s="821">
        <f t="shared" si="11"/>
        <v>4173016.9666267131</v>
      </c>
      <c r="AJ16" s="821">
        <f t="shared" si="11"/>
        <v>4182268.4233794468</v>
      </c>
      <c r="AK16" s="821">
        <f t="shared" si="6"/>
        <v>16771907.682260497</v>
      </c>
      <c r="AL16" s="824">
        <f>SUM(AL15:AL15)</f>
        <v>0</v>
      </c>
      <c r="AM16" s="824">
        <f>SUM(AM15:AM15)</f>
        <v>0</v>
      </c>
      <c r="AN16" s="824">
        <f>SUM(AN15:AN15)</f>
        <v>0</v>
      </c>
      <c r="AO16" s="824">
        <f>SUM(AO15:AO15)</f>
        <v>0</v>
      </c>
      <c r="AP16" s="824">
        <f t="shared" si="1"/>
        <v>0</v>
      </c>
      <c r="AQ16" s="821">
        <f t="shared" ref="AQ16:AZ16" si="12">SUM(AQ15:AQ15)</f>
        <v>922640.78731088433</v>
      </c>
      <c r="AR16" s="821">
        <f t="shared" si="12"/>
        <v>929016.11698506994</v>
      </c>
      <c r="AS16" s="821">
        <f t="shared" si="12"/>
        <v>918063.73265787691</v>
      </c>
      <c r="AT16" s="821">
        <f t="shared" si="12"/>
        <v>920099.05314347835</v>
      </c>
      <c r="AU16" s="821">
        <f t="shared" si="2"/>
        <v>3689819.6900973096</v>
      </c>
      <c r="AV16" s="821">
        <f t="shared" si="12"/>
        <v>817795.24329828389</v>
      </c>
      <c r="AW16" s="821">
        <f t="shared" si="12"/>
        <v>823446.10369131202</v>
      </c>
      <c r="AX16" s="821">
        <f t="shared" si="12"/>
        <v>813738.30849220906</v>
      </c>
      <c r="AY16" s="821">
        <f t="shared" si="12"/>
        <v>815542.34255899221</v>
      </c>
      <c r="AZ16" s="821">
        <f t="shared" si="12"/>
        <v>3270521.9980407972</v>
      </c>
    </row>
    <row r="17" spans="2:52" s="829" customFormat="1" ht="22.5">
      <c r="B17" s="825"/>
      <c r="C17" s="1098" t="s">
        <v>102</v>
      </c>
      <c r="D17" s="872">
        <f ca="1">ФОП!A9</f>
        <v>39</v>
      </c>
      <c r="E17" s="817">
        <v>0.22</v>
      </c>
      <c r="F17" s="817">
        <v>0.22</v>
      </c>
      <c r="G17" s="817">
        <v>0.22</v>
      </c>
      <c r="H17" s="817">
        <v>0.22</v>
      </c>
      <c r="I17" s="818">
        <f ca="1">ФОП!A9</f>
        <v>39</v>
      </c>
      <c r="J17" s="819">
        <f>I17</f>
        <v>39</v>
      </c>
      <c r="K17" s="819">
        <f>J17</f>
        <v>39</v>
      </c>
      <c r="L17" s="819">
        <f>K17</f>
        <v>39</v>
      </c>
      <c r="M17" s="820">
        <f ca="1">ФОП!O9</f>
        <v>802289.73</v>
      </c>
      <c r="N17" s="820">
        <f ca="1">ФОП!P9</f>
        <v>802289.73</v>
      </c>
      <c r="O17" s="820">
        <f ca="1">ФОП!Q9</f>
        <v>802289.73</v>
      </c>
      <c r="P17" s="820">
        <f ca="1">ФОП!R9</f>
        <v>826975.00499999989</v>
      </c>
      <c r="Q17" s="821">
        <f ca="1">SUM(M17:P17)</f>
        <v>3233844.1949999998</v>
      </c>
      <c r="R17" s="827">
        <f ca="1">ФОП!O16</f>
        <v>64879.343126684646</v>
      </c>
      <c r="S17" s="827">
        <f ca="1">ФОП!P16</f>
        <v>78214.161906650275</v>
      </c>
      <c r="T17" s="827">
        <f ca="1">ФОП!Q16</f>
        <v>54801.683181818182</v>
      </c>
      <c r="U17" s="827">
        <f ca="1">ФОП!R16</f>
        <v>59311.515983606558</v>
      </c>
      <c r="V17" s="821">
        <f t="shared" si="5"/>
        <v>257206.70419875969</v>
      </c>
      <c r="W17" s="820">
        <f ca="1">ФОП!O23</f>
        <v>0</v>
      </c>
      <c r="X17" s="820">
        <f ca="1">ФОП!P23</f>
        <v>0</v>
      </c>
      <c r="Y17" s="820">
        <f ca="1">ФОП!Q23</f>
        <v>0</v>
      </c>
      <c r="Z17" s="820">
        <f ca="1">ФОП!R23</f>
        <v>0</v>
      </c>
      <c r="AA17" s="821">
        <f ca="1">SUM(W17:Z17)</f>
        <v>0</v>
      </c>
      <c r="AB17" s="761">
        <f ca="1">ФОП!O30</f>
        <v>20057.24325</v>
      </c>
      <c r="AC17" s="761">
        <f ca="1">ФОП!P30</f>
        <v>20057.24325</v>
      </c>
      <c r="AD17" s="761">
        <f ca="1">ФОП!Q30</f>
        <v>20057.24325</v>
      </c>
      <c r="AE17" s="761">
        <f ca="1">ФОП!R30</f>
        <v>20674.375124999999</v>
      </c>
      <c r="AF17" s="821">
        <f ca="1">SUM(AB17:AE17)</f>
        <v>80846.10487499999</v>
      </c>
      <c r="AG17" s="822">
        <f ca="1">M17+R17+W17+AB17</f>
        <v>887226.3163766847</v>
      </c>
      <c r="AH17" s="822">
        <f ca="1">N17+S17+X17+AC17</f>
        <v>900561.13515665033</v>
      </c>
      <c r="AI17" s="822">
        <f ca="1">O17+T17+Y17+AD17</f>
        <v>877148.65643181815</v>
      </c>
      <c r="AJ17" s="822">
        <f ca="1">P17+U17+Z17+AE17</f>
        <v>906960.89610860648</v>
      </c>
      <c r="AK17" s="821">
        <f t="shared" si="6"/>
        <v>3571897.0040737595</v>
      </c>
      <c r="AL17" s="823"/>
      <c r="AM17" s="823">
        <f>AL17</f>
        <v>0</v>
      </c>
      <c r="AN17" s="823">
        <f>AM17</f>
        <v>0</v>
      </c>
      <c r="AO17" s="823">
        <f>AN17</f>
        <v>0</v>
      </c>
      <c r="AP17" s="824">
        <f t="shared" si="1"/>
        <v>0</v>
      </c>
      <c r="AQ17" s="822">
        <f>AG17*E17/100%</f>
        <v>195189.78960287065</v>
      </c>
      <c r="AR17" s="822">
        <f>AH17*F17/100%</f>
        <v>198123.44973446307</v>
      </c>
      <c r="AS17" s="822">
        <f>AI17*G17/100%</f>
        <v>192972.70441499999</v>
      </c>
      <c r="AT17" s="822">
        <f>AJ17*H17/100%</f>
        <v>199531.39714389344</v>
      </c>
      <c r="AU17" s="821">
        <f t="shared" si="2"/>
        <v>785817.34089622716</v>
      </c>
      <c r="AV17" s="822">
        <f>AG17*(18%+1.5%)/100%</f>
        <v>173009.13169345353</v>
      </c>
      <c r="AW17" s="822">
        <f>AH17*(18%+1.5%)/100%</f>
        <v>175609.42135554683</v>
      </c>
      <c r="AX17" s="822">
        <f>AI17*(18%+1.5%)/100%</f>
        <v>171043.98800420456</v>
      </c>
      <c r="AY17" s="822">
        <f>AJ17*(18%+1.5%)/100%</f>
        <v>176857.37474117827</v>
      </c>
      <c r="AZ17" s="821">
        <f>SUM(AV17:AY17)</f>
        <v>696519.91579438315</v>
      </c>
    </row>
    <row r="18" spans="2:52" s="829" customFormat="1" ht="22.5">
      <c r="B18" s="825"/>
      <c r="C18" s="1098"/>
      <c r="D18" s="873"/>
      <c r="E18" s="821" t="s">
        <v>111</v>
      </c>
      <c r="F18" s="821" t="s">
        <v>111</v>
      </c>
      <c r="G18" s="821" t="s">
        <v>111</v>
      </c>
      <c r="H18" s="821" t="s">
        <v>111</v>
      </c>
      <c r="I18" s="826">
        <f t="shared" ref="I18:U18" si="13">SUM(I17:I17)</f>
        <v>39</v>
      </c>
      <c r="J18" s="826">
        <f t="shared" si="13"/>
        <v>39</v>
      </c>
      <c r="K18" s="826">
        <f t="shared" si="13"/>
        <v>39</v>
      </c>
      <c r="L18" s="826">
        <f t="shared" si="13"/>
        <v>39</v>
      </c>
      <c r="M18" s="821">
        <f t="shared" si="13"/>
        <v>802289.73</v>
      </c>
      <c r="N18" s="821">
        <f t="shared" si="13"/>
        <v>802289.73</v>
      </c>
      <c r="O18" s="821">
        <f t="shared" si="13"/>
        <v>802289.73</v>
      </c>
      <c r="P18" s="821">
        <f t="shared" si="13"/>
        <v>826975.00499999989</v>
      </c>
      <c r="Q18" s="821">
        <f t="shared" si="13"/>
        <v>3233844.1949999998</v>
      </c>
      <c r="R18" s="821">
        <f t="shared" si="13"/>
        <v>64879.343126684646</v>
      </c>
      <c r="S18" s="821">
        <f t="shared" si="13"/>
        <v>78214.161906650275</v>
      </c>
      <c r="T18" s="821">
        <f t="shared" si="13"/>
        <v>54801.683181818182</v>
      </c>
      <c r="U18" s="821">
        <f t="shared" si="13"/>
        <v>59311.515983606558</v>
      </c>
      <c r="V18" s="821">
        <f t="shared" si="5"/>
        <v>257206.70419875969</v>
      </c>
      <c r="W18" s="821">
        <f t="shared" ref="W18:AJ18" si="14">SUM(W17:W17)</f>
        <v>0</v>
      </c>
      <c r="X18" s="821">
        <f t="shared" si="14"/>
        <v>0</v>
      </c>
      <c r="Y18" s="821">
        <f t="shared" si="14"/>
        <v>0</v>
      </c>
      <c r="Z18" s="821">
        <f t="shared" si="14"/>
        <v>0</v>
      </c>
      <c r="AA18" s="821">
        <f t="shared" si="14"/>
        <v>0</v>
      </c>
      <c r="AB18" s="821">
        <f t="shared" si="14"/>
        <v>20057.24325</v>
      </c>
      <c r="AC18" s="821">
        <f t="shared" si="14"/>
        <v>20057.24325</v>
      </c>
      <c r="AD18" s="821">
        <f t="shared" si="14"/>
        <v>20057.24325</v>
      </c>
      <c r="AE18" s="821">
        <f t="shared" si="14"/>
        <v>20674.375124999999</v>
      </c>
      <c r="AF18" s="821">
        <f t="shared" si="14"/>
        <v>80846.10487499999</v>
      </c>
      <c r="AG18" s="821">
        <f t="shared" si="14"/>
        <v>887226.3163766847</v>
      </c>
      <c r="AH18" s="821">
        <f t="shared" si="14"/>
        <v>900561.13515665033</v>
      </c>
      <c r="AI18" s="821">
        <f t="shared" si="14"/>
        <v>877148.65643181815</v>
      </c>
      <c r="AJ18" s="821">
        <f t="shared" si="14"/>
        <v>906960.89610860648</v>
      </c>
      <c r="AK18" s="821">
        <f t="shared" si="6"/>
        <v>3571897.0040737595</v>
      </c>
      <c r="AL18" s="824">
        <f>SUM(AL17:AL17)</f>
        <v>0</v>
      </c>
      <c r="AM18" s="824">
        <f>SUM(AM17:AM17)</f>
        <v>0</v>
      </c>
      <c r="AN18" s="824">
        <f>SUM(AN17:AN17)</f>
        <v>0</v>
      </c>
      <c r="AO18" s="824">
        <f>SUM(AO17:AO17)</f>
        <v>0</v>
      </c>
      <c r="AP18" s="824">
        <f t="shared" si="1"/>
        <v>0</v>
      </c>
      <c r="AQ18" s="821">
        <f t="shared" ref="AQ18:AZ18" si="15">SUM(AQ17:AQ17)</f>
        <v>195189.78960287065</v>
      </c>
      <c r="AR18" s="821">
        <f t="shared" si="15"/>
        <v>198123.44973446307</v>
      </c>
      <c r="AS18" s="821">
        <f t="shared" si="15"/>
        <v>192972.70441499999</v>
      </c>
      <c r="AT18" s="821">
        <f t="shared" si="15"/>
        <v>199531.39714389344</v>
      </c>
      <c r="AU18" s="821">
        <f t="shared" si="2"/>
        <v>785817.34089622716</v>
      </c>
      <c r="AV18" s="821">
        <f t="shared" si="15"/>
        <v>173009.13169345353</v>
      </c>
      <c r="AW18" s="821">
        <f t="shared" si="15"/>
        <v>175609.42135554683</v>
      </c>
      <c r="AX18" s="821">
        <f t="shared" si="15"/>
        <v>171043.98800420456</v>
      </c>
      <c r="AY18" s="821">
        <f t="shared" si="15"/>
        <v>176857.37474117827</v>
      </c>
      <c r="AZ18" s="821">
        <f t="shared" si="15"/>
        <v>696519.91579438315</v>
      </c>
    </row>
    <row r="19" spans="2:52" s="816" customFormat="1" ht="22.5">
      <c r="B19" s="809"/>
      <c r="C19" s="1098" t="s">
        <v>1225</v>
      </c>
      <c r="D19" s="874">
        <f ca="1">ФОП!A10</f>
        <v>45</v>
      </c>
      <c r="E19" s="817">
        <v>0.22</v>
      </c>
      <c r="F19" s="817">
        <v>0.22</v>
      </c>
      <c r="G19" s="817">
        <v>0.22</v>
      </c>
      <c r="H19" s="817">
        <v>0.22</v>
      </c>
      <c r="I19" s="830">
        <f ca="1">ФОП!A10</f>
        <v>45</v>
      </c>
      <c r="J19" s="819">
        <f>I19</f>
        <v>45</v>
      </c>
      <c r="K19" s="819">
        <f>J19</f>
        <v>45</v>
      </c>
      <c r="L19" s="819">
        <f>K19</f>
        <v>45</v>
      </c>
      <c r="M19" s="820">
        <f ca="1">ФОП!O10</f>
        <v>895709.11537499994</v>
      </c>
      <c r="N19" s="820">
        <f ca="1">ФОП!P10</f>
        <v>895709.11537499994</v>
      </c>
      <c r="O19" s="820">
        <f ca="1">ФОП!Q10</f>
        <v>895709.11537499994</v>
      </c>
      <c r="P19" s="820">
        <f ca="1">ФОП!R10</f>
        <v>942167.3459999999</v>
      </c>
      <c r="Q19" s="821">
        <f ca="1">SUM(M19:P19)</f>
        <v>3629294.6921249996</v>
      </c>
      <c r="R19" s="827">
        <f ca="1">ФОП!O17</f>
        <v>20373.793396226414</v>
      </c>
      <c r="S19" s="827">
        <f ca="1">ФОП!P17</f>
        <v>13322.853107030969</v>
      </c>
      <c r="T19" s="827">
        <f ca="1">ФОП!Q17</f>
        <v>5182.8438043478263</v>
      </c>
      <c r="U19" s="827">
        <f ca="1">ФОП!R17</f>
        <v>18141.075196008551</v>
      </c>
      <c r="V19" s="821">
        <f ca="1">SUM(R19:U19)</f>
        <v>57020.565503613761</v>
      </c>
      <c r="W19" s="820">
        <f ca="1">ФОП!O24</f>
        <v>0</v>
      </c>
      <c r="X19" s="820">
        <f ca="1">ФОП!P24</f>
        <v>0</v>
      </c>
      <c r="Y19" s="820">
        <f ca="1">ФОП!Q24</f>
        <v>0</v>
      </c>
      <c r="Z19" s="820">
        <f ca="1">ФОП!R24</f>
        <v>0</v>
      </c>
      <c r="AA19" s="821">
        <f ca="1">SUM(W19:Z19)</f>
        <v>0</v>
      </c>
      <c r="AB19" s="761">
        <f ca="1">ФОП!O31</f>
        <v>4478.5455768749998</v>
      </c>
      <c r="AC19" s="761">
        <f ca="1">ФОП!P31</f>
        <v>4478.5455768749998</v>
      </c>
      <c r="AD19" s="761">
        <f ca="1">ФОП!Q31</f>
        <v>4478.5455768749998</v>
      </c>
      <c r="AE19" s="761">
        <f ca="1">ФОП!R31</f>
        <v>4710.8367299999991</v>
      </c>
      <c r="AF19" s="821">
        <f ca="1">SUM(AB19:AE19)</f>
        <v>18146.473460624999</v>
      </c>
      <c r="AG19" s="822">
        <f ca="1">M19+R19+W19+AB19</f>
        <v>920561.45434810128</v>
      </c>
      <c r="AH19" s="822">
        <f ca="1">N19+S19+X19+AC19</f>
        <v>913510.51405890589</v>
      </c>
      <c r="AI19" s="822">
        <f ca="1">O19+T19+Y19+AD19</f>
        <v>905370.50475622271</v>
      </c>
      <c r="AJ19" s="822">
        <f ca="1">P19+U19+Z19+AE19</f>
        <v>965019.25792600843</v>
      </c>
      <c r="AK19" s="821">
        <f t="shared" si="6"/>
        <v>3704461.7310892381</v>
      </c>
      <c r="AL19" s="823"/>
      <c r="AM19" s="823">
        <f>AL19</f>
        <v>0</v>
      </c>
      <c r="AN19" s="823">
        <f>AM19</f>
        <v>0</v>
      </c>
      <c r="AO19" s="823">
        <f>AN19</f>
        <v>0</v>
      </c>
      <c r="AP19" s="824">
        <f t="shared" si="1"/>
        <v>0</v>
      </c>
      <c r="AQ19" s="822">
        <f>AG19*E19/100%</f>
        <v>202523.51995658228</v>
      </c>
      <c r="AR19" s="822">
        <f>AH19*F19/100%</f>
        <v>200972.31309295929</v>
      </c>
      <c r="AS19" s="822">
        <f>AI19*G19/100%</f>
        <v>199181.51104636901</v>
      </c>
      <c r="AT19" s="822">
        <f>AJ19*H19/100%</f>
        <v>212304.23674372185</v>
      </c>
      <c r="AU19" s="821">
        <f t="shared" si="2"/>
        <v>814981.58083963243</v>
      </c>
      <c r="AV19" s="822">
        <f>AG19*(18%+1.5%)/100%</f>
        <v>179509.48359787976</v>
      </c>
      <c r="AW19" s="822">
        <f>AH19*(18%+1.5%)/100%</f>
        <v>178134.55024148666</v>
      </c>
      <c r="AX19" s="822">
        <f>AI19*(18%+1.5%)/100%</f>
        <v>176547.24842746343</v>
      </c>
      <c r="AY19" s="822">
        <f>AJ19*(18%+1.5%)/100%</f>
        <v>188178.75529557164</v>
      </c>
      <c r="AZ19" s="821">
        <f>SUM(AV19:AY19)</f>
        <v>722370.0375624015</v>
      </c>
    </row>
    <row r="20" spans="2:52" s="832" customFormat="1" ht="22.5">
      <c r="B20" s="831"/>
      <c r="C20" s="1098"/>
      <c r="D20" s="873"/>
      <c r="E20" s="821" t="s">
        <v>111</v>
      </c>
      <c r="F20" s="821" t="s">
        <v>111</v>
      </c>
      <c r="G20" s="821" t="s">
        <v>111</v>
      </c>
      <c r="H20" s="821" t="s">
        <v>111</v>
      </c>
      <c r="I20" s="826">
        <f t="shared" ref="I20:AJ20" si="16">SUM(I19:I19)</f>
        <v>45</v>
      </c>
      <c r="J20" s="826">
        <f t="shared" si="16"/>
        <v>45</v>
      </c>
      <c r="K20" s="826">
        <f t="shared" si="16"/>
        <v>45</v>
      </c>
      <c r="L20" s="826">
        <f t="shared" si="16"/>
        <v>45</v>
      </c>
      <c r="M20" s="821">
        <f t="shared" si="16"/>
        <v>895709.11537499994</v>
      </c>
      <c r="N20" s="821">
        <f t="shared" si="16"/>
        <v>895709.11537499994</v>
      </c>
      <c r="O20" s="821">
        <f t="shared" si="16"/>
        <v>895709.11537499994</v>
      </c>
      <c r="P20" s="821">
        <f t="shared" si="16"/>
        <v>942167.3459999999</v>
      </c>
      <c r="Q20" s="821">
        <f t="shared" si="16"/>
        <v>3629294.6921249996</v>
      </c>
      <c r="R20" s="821">
        <f t="shared" si="16"/>
        <v>20373.793396226414</v>
      </c>
      <c r="S20" s="821">
        <f t="shared" si="16"/>
        <v>13322.853107030969</v>
      </c>
      <c r="T20" s="821">
        <f t="shared" si="16"/>
        <v>5182.8438043478263</v>
      </c>
      <c r="U20" s="821">
        <f t="shared" si="16"/>
        <v>18141.075196008551</v>
      </c>
      <c r="V20" s="821">
        <f t="shared" si="16"/>
        <v>57020.565503613761</v>
      </c>
      <c r="W20" s="821">
        <f t="shared" si="16"/>
        <v>0</v>
      </c>
      <c r="X20" s="821">
        <f t="shared" si="16"/>
        <v>0</v>
      </c>
      <c r="Y20" s="821">
        <f t="shared" si="16"/>
        <v>0</v>
      </c>
      <c r="Z20" s="821">
        <f t="shared" si="16"/>
        <v>0</v>
      </c>
      <c r="AA20" s="821">
        <f t="shared" si="16"/>
        <v>0</v>
      </c>
      <c r="AB20" s="821">
        <f t="shared" si="16"/>
        <v>4478.5455768749998</v>
      </c>
      <c r="AC20" s="821">
        <f t="shared" si="16"/>
        <v>4478.5455768749998</v>
      </c>
      <c r="AD20" s="821">
        <f t="shared" si="16"/>
        <v>4478.5455768749998</v>
      </c>
      <c r="AE20" s="821">
        <f t="shared" si="16"/>
        <v>4710.8367299999991</v>
      </c>
      <c r="AF20" s="821">
        <f t="shared" si="16"/>
        <v>18146.473460624999</v>
      </c>
      <c r="AG20" s="821">
        <f t="shared" si="16"/>
        <v>920561.45434810128</v>
      </c>
      <c r="AH20" s="821">
        <f t="shared" si="16"/>
        <v>913510.51405890589</v>
      </c>
      <c r="AI20" s="821">
        <f t="shared" si="16"/>
        <v>905370.50475622271</v>
      </c>
      <c r="AJ20" s="821">
        <f t="shared" si="16"/>
        <v>965019.25792600843</v>
      </c>
      <c r="AK20" s="821">
        <f t="shared" si="6"/>
        <v>3704461.7310892381</v>
      </c>
      <c r="AL20" s="824">
        <f>SUM(AL19:AL19)</f>
        <v>0</v>
      </c>
      <c r="AM20" s="824">
        <f>SUM(AM19:AM19)</f>
        <v>0</v>
      </c>
      <c r="AN20" s="824">
        <f>SUM(AN19:AN19)</f>
        <v>0</v>
      </c>
      <c r="AO20" s="824">
        <f>SUM(AO19:AO19)</f>
        <v>0</v>
      </c>
      <c r="AP20" s="824">
        <f t="shared" si="1"/>
        <v>0</v>
      </c>
      <c r="AQ20" s="821">
        <f t="shared" ref="AQ20:AZ20" si="17">SUM(AQ19:AQ19)</f>
        <v>202523.51995658228</v>
      </c>
      <c r="AR20" s="821">
        <f t="shared" si="17"/>
        <v>200972.31309295929</v>
      </c>
      <c r="AS20" s="821">
        <f t="shared" si="17"/>
        <v>199181.51104636901</v>
      </c>
      <c r="AT20" s="821">
        <f t="shared" si="17"/>
        <v>212304.23674372185</v>
      </c>
      <c r="AU20" s="821">
        <f t="shared" si="2"/>
        <v>814981.58083963243</v>
      </c>
      <c r="AV20" s="821">
        <f t="shared" si="17"/>
        <v>179509.48359787976</v>
      </c>
      <c r="AW20" s="821">
        <f t="shared" si="17"/>
        <v>178134.55024148666</v>
      </c>
      <c r="AX20" s="821">
        <f t="shared" si="17"/>
        <v>176547.24842746343</v>
      </c>
      <c r="AY20" s="821">
        <f t="shared" si="17"/>
        <v>188178.75529557164</v>
      </c>
      <c r="AZ20" s="821">
        <f t="shared" si="17"/>
        <v>722370.0375624015</v>
      </c>
    </row>
    <row r="21" spans="2:52" s="832" customFormat="1" ht="22.5">
      <c r="B21" s="831"/>
      <c r="C21" s="828"/>
      <c r="D21" s="870">
        <f>D9+D11+D13+D15+D17+D19</f>
        <v>233.5</v>
      </c>
      <c r="E21" s="821"/>
      <c r="F21" s="821"/>
      <c r="G21" s="821"/>
      <c r="H21" s="821"/>
      <c r="I21" s="826">
        <f>I10+I12+I14+I16+I18+I20</f>
        <v>233.5</v>
      </c>
      <c r="J21" s="826">
        <f t="shared" ref="J21:AZ21" si="18">J10+J12+J14+J16+J18+J20</f>
        <v>233.5</v>
      </c>
      <c r="K21" s="826">
        <f t="shared" si="18"/>
        <v>233.5</v>
      </c>
      <c r="L21" s="826">
        <f t="shared" si="18"/>
        <v>233.5</v>
      </c>
      <c r="M21" s="821">
        <f ca="1">M10+M12+M14+M16+M18+M20</f>
        <v>8764720.5606449991</v>
      </c>
      <c r="N21" s="821">
        <f t="shared" si="18"/>
        <v>8764720.5606449991</v>
      </c>
      <c r="O21" s="821">
        <f t="shared" si="18"/>
        <v>8764720.5606449991</v>
      </c>
      <c r="P21" s="821">
        <f t="shared" si="18"/>
        <v>8840132.1882300004</v>
      </c>
      <c r="Q21" s="821">
        <f t="shared" si="18"/>
        <v>35134293.870164998</v>
      </c>
      <c r="R21" s="821">
        <f t="shared" si="18"/>
        <v>296042.5350799096</v>
      </c>
      <c r="S21" s="821">
        <f t="shared" si="18"/>
        <v>344325.68851561792</v>
      </c>
      <c r="T21" s="821">
        <f t="shared" si="18"/>
        <v>240643.04460504252</v>
      </c>
      <c r="U21" s="821">
        <f t="shared" si="18"/>
        <v>271514.77563284308</v>
      </c>
      <c r="V21" s="821">
        <f t="shared" si="18"/>
        <v>1152526.0438334132</v>
      </c>
      <c r="W21" s="821">
        <f t="shared" si="18"/>
        <v>221853.07977499999</v>
      </c>
      <c r="X21" s="821">
        <f t="shared" si="18"/>
        <v>221853.07977499999</v>
      </c>
      <c r="Y21" s="821">
        <f t="shared" si="18"/>
        <v>221853.07977499999</v>
      </c>
      <c r="Z21" s="821">
        <f t="shared" si="18"/>
        <v>221853.07977499999</v>
      </c>
      <c r="AA21" s="821">
        <f t="shared" si="18"/>
        <v>887412.31909999996</v>
      </c>
      <c r="AB21" s="821">
        <f t="shared" si="18"/>
        <v>186814.39740322501</v>
      </c>
      <c r="AC21" s="821">
        <f t="shared" si="18"/>
        <v>186814.39740322501</v>
      </c>
      <c r="AD21" s="821">
        <f t="shared" si="18"/>
        <v>186814.39740322501</v>
      </c>
      <c r="AE21" s="821">
        <f t="shared" si="18"/>
        <v>187685.16104114999</v>
      </c>
      <c r="AF21" s="821">
        <f t="shared" si="18"/>
        <v>748128.35325082496</v>
      </c>
      <c r="AG21" s="821">
        <f t="shared" si="18"/>
        <v>9469430.5729031339</v>
      </c>
      <c r="AH21" s="821">
        <f t="shared" si="18"/>
        <v>9517713.7263388447</v>
      </c>
      <c r="AI21" s="821">
        <f t="shared" si="18"/>
        <v>9414031.0824282672</v>
      </c>
      <c r="AJ21" s="821">
        <f t="shared" si="18"/>
        <v>9521185.2046789937</v>
      </c>
      <c r="AK21" s="833">
        <f t="shared" si="18"/>
        <v>37922360.586349234</v>
      </c>
      <c r="AL21" s="824">
        <f t="shared" si="18"/>
        <v>0</v>
      </c>
      <c r="AM21" s="824">
        <f t="shared" si="18"/>
        <v>0</v>
      </c>
      <c r="AN21" s="824">
        <f t="shared" si="18"/>
        <v>0</v>
      </c>
      <c r="AO21" s="824">
        <f t="shared" si="18"/>
        <v>0</v>
      </c>
      <c r="AP21" s="824">
        <f t="shared" si="1"/>
        <v>0</v>
      </c>
      <c r="AQ21" s="821">
        <f t="shared" si="18"/>
        <v>2083274.7260386895</v>
      </c>
      <c r="AR21" s="821">
        <f t="shared" si="18"/>
        <v>2093897.0197945456</v>
      </c>
      <c r="AS21" s="821">
        <f t="shared" si="18"/>
        <v>2071086.8381342189</v>
      </c>
      <c r="AT21" s="821">
        <f t="shared" si="18"/>
        <v>2094660.7450293784</v>
      </c>
      <c r="AU21" s="833">
        <f t="shared" si="2"/>
        <v>8342919.3289968325</v>
      </c>
      <c r="AV21" s="821">
        <f t="shared" si="18"/>
        <v>1846538.9617161113</v>
      </c>
      <c r="AW21" s="821">
        <f t="shared" si="18"/>
        <v>1855954.1766360747</v>
      </c>
      <c r="AX21" s="821">
        <f t="shared" si="18"/>
        <v>1835736.0610735123</v>
      </c>
      <c r="AY21" s="821">
        <f t="shared" si="18"/>
        <v>1856631.1149124037</v>
      </c>
      <c r="AZ21" s="821">
        <f t="shared" si="18"/>
        <v>7394860.3143381011</v>
      </c>
    </row>
    <row r="22" spans="2:52" s="839" customFormat="1" ht="22.5">
      <c r="B22" s="834"/>
      <c r="C22" s="835"/>
      <c r="D22" s="836"/>
      <c r="E22" s="831"/>
      <c r="F22" s="831"/>
      <c r="G22" s="831"/>
      <c r="H22" s="831"/>
      <c r="I22" s="837"/>
      <c r="J22" s="838"/>
      <c r="K22" s="838"/>
      <c r="L22" s="838"/>
      <c r="M22" s="838"/>
      <c r="N22" s="838"/>
      <c r="O22" s="838"/>
      <c r="P22" s="838"/>
      <c r="Q22" s="838">
        <f ca="1">ФОП!S11</f>
        <v>35134293.870164998</v>
      </c>
      <c r="R22" s="838"/>
      <c r="S22" s="838"/>
      <c r="T22" s="838"/>
      <c r="U22" s="838"/>
      <c r="V22" s="838">
        <f ca="1">ФОП!S18</f>
        <v>1152526.0438334132</v>
      </c>
      <c r="W22" s="838"/>
      <c r="X22" s="838"/>
      <c r="Y22" s="838"/>
      <c r="Z22" s="838"/>
      <c r="AA22" s="838">
        <f ca="1">ФОП!S25</f>
        <v>887412.31909999996</v>
      </c>
      <c r="AB22" s="838"/>
      <c r="AC22" s="838"/>
      <c r="AD22" s="838"/>
      <c r="AE22" s="838"/>
      <c r="AF22" s="838">
        <f ca="1">ФОП!S32</f>
        <v>748128.35325082496</v>
      </c>
      <c r="AK22" s="840">
        <f ca="1">AF22+AA22+V22+Q22</f>
        <v>37922360.586349234</v>
      </c>
      <c r="AL22" s="841"/>
      <c r="AM22" s="841"/>
      <c r="AN22" s="841"/>
      <c r="AO22" s="841"/>
      <c r="AP22" s="774"/>
      <c r="AU22" s="842">
        <f>AK21+AU21</f>
        <v>46265279.915346064</v>
      </c>
    </row>
    <row r="23" spans="2:52" s="839" customFormat="1" ht="22.5">
      <c r="B23" s="834"/>
      <c r="C23" s="835"/>
      <c r="D23" s="836"/>
      <c r="E23" s="831"/>
      <c r="F23" s="831"/>
      <c r="G23" s="831"/>
      <c r="H23" s="831"/>
      <c r="I23" s="837"/>
      <c r="J23" s="838"/>
      <c r="K23" s="838"/>
      <c r="L23" s="838"/>
      <c r="M23" s="838"/>
      <c r="N23" s="838"/>
      <c r="O23" s="838"/>
      <c r="P23" s="838"/>
      <c r="Q23" s="838">
        <f ca="1">Q22-Q21</f>
        <v>0</v>
      </c>
      <c r="R23" s="838"/>
      <c r="S23" s="838"/>
      <c r="T23" s="838"/>
      <c r="U23" s="838"/>
      <c r="V23" s="838">
        <f ca="1">V22-V21</f>
        <v>0</v>
      </c>
      <c r="W23" s="838"/>
      <c r="X23" s="838"/>
      <c r="Y23" s="838"/>
      <c r="Z23" s="838"/>
      <c r="AA23" s="838">
        <f ca="1">AA22-AA21</f>
        <v>0</v>
      </c>
      <c r="AB23" s="838"/>
      <c r="AC23" s="838"/>
      <c r="AD23" s="838"/>
      <c r="AE23" s="838"/>
      <c r="AF23" s="838">
        <f ca="1">AF22-AF21</f>
        <v>0</v>
      </c>
      <c r="AG23" s="838">
        <f ca="1">AG21/3</f>
        <v>3156476.8576343781</v>
      </c>
      <c r="AH23" s="838">
        <f ca="1">AH21/3</f>
        <v>3172571.2421129481</v>
      </c>
      <c r="AI23" s="838">
        <f ca="1">AI21/3</f>
        <v>3138010.3608094226</v>
      </c>
      <c r="AJ23" s="838">
        <f ca="1">AJ21/3</f>
        <v>3173728.4015596644</v>
      </c>
      <c r="AK23" s="838">
        <f ca="1">AK21/12</f>
        <v>3160196.7155291028</v>
      </c>
      <c r="AL23" s="841"/>
      <c r="AM23" s="841"/>
      <c r="AN23" s="841"/>
      <c r="AO23" s="841"/>
      <c r="AP23" s="774"/>
      <c r="AQ23" s="843">
        <f ca="1">ФОП!O34</f>
        <v>2083274.7260386895</v>
      </c>
      <c r="AR23" s="843">
        <f ca="1">ФОП!P34</f>
        <v>2093897.0197945456</v>
      </c>
      <c r="AS23" s="843">
        <f ca="1">ФОП!Q34</f>
        <v>2071086.8381342189</v>
      </c>
      <c r="AT23" s="843">
        <f ca="1">ФОП!R34</f>
        <v>2094660.7450293787</v>
      </c>
      <c r="AU23" s="843">
        <f ca="1">ФОП!S34</f>
        <v>8342919.3289968325</v>
      </c>
    </row>
    <row r="24" spans="2:52" s="839" customFormat="1" ht="22.5">
      <c r="B24" s="834"/>
      <c r="I24" s="318"/>
      <c r="Q24" s="834"/>
      <c r="V24" s="834"/>
      <c r="AA24" s="834"/>
      <c r="AF24" s="834"/>
      <c r="AG24" s="843">
        <f ca="1">ФОП!O33</f>
        <v>9469430.5729031339</v>
      </c>
      <c r="AH24" s="843">
        <f ca="1">ФОП!P33</f>
        <v>9517713.7263388429</v>
      </c>
      <c r="AI24" s="843">
        <f ca="1">ФОП!Q33</f>
        <v>9414031.0824282672</v>
      </c>
      <c r="AJ24" s="843">
        <f ca="1">ФОП!R33</f>
        <v>9521185.2046789937</v>
      </c>
      <c r="AK24" s="844">
        <f ca="1">ФОП!S33</f>
        <v>37922360.586349234</v>
      </c>
      <c r="AL24" s="774"/>
      <c r="AM24" s="774"/>
      <c r="AN24" s="774"/>
      <c r="AO24" s="774"/>
      <c r="AP24" s="774"/>
      <c r="AU24" s="844">
        <f>AU23-AU21</f>
        <v>0</v>
      </c>
    </row>
    <row r="25" spans="2:52" s="839" customFormat="1" ht="22.5">
      <c r="B25" s="834"/>
      <c r="C25" s="1097" t="s">
        <v>155</v>
      </c>
      <c r="D25" s="1097"/>
      <c r="E25" s="1097"/>
      <c r="F25" s="808"/>
      <c r="I25" s="318"/>
      <c r="Q25" s="834"/>
      <c r="V25" s="834"/>
      <c r="AA25" s="834"/>
      <c r="AF25" s="834"/>
      <c r="AG25" s="844">
        <f>AG21-AG24</f>
        <v>0</v>
      </c>
      <c r="AH25" s="844">
        <f>AH21-AH24</f>
        <v>0</v>
      </c>
      <c r="AI25" s="844">
        <f>AI21-AI24</f>
        <v>0</v>
      </c>
      <c r="AJ25" s="844">
        <f>AJ21-AJ24</f>
        <v>0</v>
      </c>
      <c r="AK25" s="844">
        <f>AK21-AK24</f>
        <v>0</v>
      </c>
      <c r="AL25" s="774"/>
      <c r="AM25" s="774"/>
      <c r="AN25" s="774"/>
      <c r="AO25" s="774"/>
      <c r="AP25" s="774"/>
      <c r="AU25" s="834"/>
    </row>
    <row r="26" spans="2:52" s="839" customFormat="1" ht="22.5">
      <c r="B26" s="834"/>
      <c r="I26" s="318"/>
      <c r="Q26" s="834"/>
      <c r="V26" s="834"/>
      <c r="AA26" s="834"/>
      <c r="AF26" s="834"/>
      <c r="AK26" s="834"/>
      <c r="AL26" s="774"/>
      <c r="AM26" s="774"/>
      <c r="AN26" s="774"/>
      <c r="AO26" s="774"/>
      <c r="AP26" s="774"/>
      <c r="AU26" s="834"/>
    </row>
    <row r="27" spans="2:52" s="773" customFormat="1" ht="22.5">
      <c r="B27" s="774"/>
      <c r="C27" s="1087" t="s">
        <v>151</v>
      </c>
      <c r="D27" s="1087"/>
      <c r="E27" s="1087"/>
      <c r="F27" s="1087"/>
      <c r="G27" s="1087"/>
      <c r="H27" s="1087"/>
      <c r="I27" s="846"/>
      <c r="Q27" s="774"/>
      <c r="V27" s="774"/>
      <c r="AA27" s="774"/>
      <c r="AF27" s="774"/>
      <c r="AK27" s="774"/>
      <c r="AL27" s="774"/>
      <c r="AM27" s="774"/>
      <c r="AN27" s="774"/>
      <c r="AO27" s="774"/>
      <c r="AP27" s="774"/>
      <c r="AU27" s="774"/>
    </row>
    <row r="28" spans="2:52" s="774" customFormat="1" ht="21.75">
      <c r="C28" s="535" t="s">
        <v>136</v>
      </c>
      <c r="D28" s="535" t="s">
        <v>137</v>
      </c>
      <c r="E28" s="535" t="s">
        <v>106</v>
      </c>
      <c r="F28" s="535" t="s">
        <v>116</v>
      </c>
      <c r="G28" s="535" t="s">
        <v>117</v>
      </c>
      <c r="H28" s="535" t="s">
        <v>109</v>
      </c>
      <c r="I28" s="845"/>
    </row>
    <row r="29" spans="2:52" s="773" customFormat="1" ht="22.5">
      <c r="B29" s="774"/>
      <c r="C29" s="849" t="s">
        <v>138</v>
      </c>
      <c r="D29" s="850" t="s">
        <v>112</v>
      </c>
      <c r="E29" s="823">
        <v>0</v>
      </c>
      <c r="F29" s="823">
        <v>0</v>
      </c>
      <c r="G29" s="823">
        <v>0</v>
      </c>
      <c r="H29" s="823">
        <v>0</v>
      </c>
      <c r="I29" s="846"/>
      <c r="Q29" s="774"/>
      <c r="V29" s="774"/>
      <c r="AA29" s="774"/>
      <c r="AF29" s="774"/>
      <c r="AK29" s="774"/>
      <c r="AL29" s="774"/>
      <c r="AM29" s="774"/>
      <c r="AN29" s="774"/>
      <c r="AO29" s="774"/>
      <c r="AP29" s="774"/>
      <c r="AU29" s="774"/>
    </row>
    <row r="30" spans="2:52" s="773" customFormat="1" ht="45">
      <c r="B30" s="774"/>
      <c r="C30" s="849" t="s">
        <v>139</v>
      </c>
      <c r="D30" s="851">
        <f>SUM(E30:H30)</f>
        <v>0</v>
      </c>
      <c r="E30" s="823">
        <v>0</v>
      </c>
      <c r="F30" s="823">
        <v>0</v>
      </c>
      <c r="G30" s="823">
        <v>0</v>
      </c>
      <c r="H30" s="823">
        <v>0</v>
      </c>
      <c r="I30" s="846"/>
      <c r="Q30" s="774"/>
      <c r="V30" s="774"/>
      <c r="AA30" s="774"/>
      <c r="AF30" s="774"/>
      <c r="AK30" s="774"/>
      <c r="AL30" s="774"/>
      <c r="AM30" s="774"/>
      <c r="AN30" s="774"/>
      <c r="AO30" s="774"/>
      <c r="AP30" s="774"/>
      <c r="AU30" s="774"/>
    </row>
    <row r="31" spans="2:52" s="773" customFormat="1" ht="22.5">
      <c r="B31" s="774"/>
      <c r="C31" s="852" t="s">
        <v>140</v>
      </c>
      <c r="D31" s="851">
        <f>SUM(E31:H31)</f>
        <v>0</v>
      </c>
      <c r="E31" s="851">
        <f>E29*E30</f>
        <v>0</v>
      </c>
      <c r="F31" s="851">
        <f>F29*F30</f>
        <v>0</v>
      </c>
      <c r="G31" s="851">
        <f>G29*G30</f>
        <v>0</v>
      </c>
      <c r="H31" s="851">
        <f>H29*H30</f>
        <v>0</v>
      </c>
      <c r="I31" s="846"/>
      <c r="Q31" s="774"/>
      <c r="R31" s="773" t="s">
        <v>14</v>
      </c>
      <c r="V31" s="774"/>
      <c r="AA31" s="774"/>
      <c r="AF31" s="774"/>
      <c r="AK31" s="774"/>
      <c r="AL31" s="774"/>
      <c r="AM31" s="774"/>
      <c r="AN31" s="774"/>
      <c r="AO31" s="774"/>
      <c r="AP31" s="774"/>
      <c r="AU31" s="774"/>
    </row>
    <row r="32" spans="2:52" s="773" customFormat="1" ht="22.5">
      <c r="B32" s="774"/>
      <c r="C32" s="853"/>
      <c r="D32" s="854"/>
      <c r="E32" s="854"/>
      <c r="F32" s="854"/>
      <c r="G32" s="854"/>
      <c r="H32" s="854"/>
      <c r="I32" s="846"/>
      <c r="Q32" s="774"/>
      <c r="V32" s="774"/>
      <c r="AA32" s="774"/>
      <c r="AF32" s="774"/>
      <c r="AK32" s="774"/>
      <c r="AL32" s="774"/>
      <c r="AM32" s="774"/>
      <c r="AN32" s="774"/>
      <c r="AO32" s="774"/>
      <c r="AP32" s="774"/>
      <c r="AU32" s="774"/>
    </row>
    <row r="33" spans="2:47" s="773" customFormat="1" ht="22.5">
      <c r="B33" s="774"/>
      <c r="C33" s="1087" t="s">
        <v>152</v>
      </c>
      <c r="D33" s="1087"/>
      <c r="E33" s="1087"/>
      <c r="F33" s="1087"/>
      <c r="G33" s="1087"/>
      <c r="H33" s="1087"/>
      <c r="I33" s="846"/>
      <c r="Q33" s="774"/>
      <c r="V33" s="774"/>
      <c r="AA33" s="774"/>
      <c r="AF33" s="774"/>
      <c r="AK33" s="774"/>
      <c r="AL33" s="774"/>
      <c r="AM33" s="774"/>
      <c r="AN33" s="774"/>
      <c r="AO33" s="774"/>
      <c r="AP33" s="774"/>
      <c r="AU33" s="774"/>
    </row>
    <row r="34" spans="2:47" s="774" customFormat="1" ht="21.75">
      <c r="C34" s="535" t="s">
        <v>136</v>
      </c>
      <c r="D34" s="535" t="s">
        <v>137</v>
      </c>
      <c r="E34" s="535" t="s">
        <v>106</v>
      </c>
      <c r="F34" s="535" t="s">
        <v>116</v>
      </c>
      <c r="G34" s="535" t="s">
        <v>117</v>
      </c>
      <c r="H34" s="535" t="s">
        <v>109</v>
      </c>
      <c r="I34" s="845"/>
    </row>
    <row r="35" spans="2:47" s="773" customFormat="1" ht="25.5">
      <c r="B35" s="774"/>
      <c r="C35" s="849" t="s">
        <v>1194</v>
      </c>
      <c r="D35" s="855" t="s">
        <v>112</v>
      </c>
      <c r="E35" s="823">
        <v>0</v>
      </c>
      <c r="F35" s="823">
        <v>0</v>
      </c>
      <c r="G35" s="823">
        <v>0</v>
      </c>
      <c r="H35" s="823">
        <v>0</v>
      </c>
      <c r="I35" s="846"/>
      <c r="Q35" s="774"/>
      <c r="V35" s="774"/>
      <c r="AA35" s="774"/>
      <c r="AF35" s="774"/>
      <c r="AK35" s="774"/>
      <c r="AL35" s="774"/>
      <c r="AM35" s="774"/>
      <c r="AN35" s="774"/>
      <c r="AO35" s="774"/>
      <c r="AP35" s="774"/>
      <c r="AU35" s="774"/>
    </row>
    <row r="36" spans="2:47" s="773" customFormat="1" ht="48">
      <c r="B36" s="774"/>
      <c r="C36" s="849" t="s">
        <v>1195</v>
      </c>
      <c r="D36" s="851">
        <f>SUM(E36:H36)</f>
        <v>0</v>
      </c>
      <c r="E36" s="823">
        <v>0</v>
      </c>
      <c r="F36" s="823">
        <v>0</v>
      </c>
      <c r="G36" s="823">
        <v>0</v>
      </c>
      <c r="H36" s="823">
        <v>0</v>
      </c>
      <c r="I36" s="846"/>
      <c r="Q36" s="774"/>
      <c r="V36" s="774"/>
      <c r="AA36" s="774"/>
      <c r="AF36" s="774"/>
      <c r="AK36" s="774"/>
      <c r="AL36" s="774"/>
      <c r="AM36" s="774"/>
      <c r="AN36" s="774"/>
      <c r="AO36" s="774"/>
      <c r="AP36" s="774"/>
      <c r="AU36" s="774"/>
    </row>
    <row r="37" spans="2:47" s="773" customFormat="1" ht="22.5">
      <c r="B37" s="774"/>
      <c r="C37" s="852" t="s">
        <v>141</v>
      </c>
      <c r="D37" s="851">
        <f>SUM(E37:H37)</f>
        <v>0</v>
      </c>
      <c r="E37" s="851">
        <f>E35*E36</f>
        <v>0</v>
      </c>
      <c r="F37" s="851">
        <f>F35*F36</f>
        <v>0</v>
      </c>
      <c r="G37" s="851">
        <f>G35*G36</f>
        <v>0</v>
      </c>
      <c r="H37" s="851">
        <f>H35*H36</f>
        <v>0</v>
      </c>
      <c r="I37" s="846"/>
      <c r="Q37" s="774"/>
      <c r="V37" s="774"/>
      <c r="AA37" s="774"/>
      <c r="AF37" s="774"/>
      <c r="AK37" s="774"/>
      <c r="AL37" s="774"/>
      <c r="AM37" s="774"/>
      <c r="AN37" s="774"/>
      <c r="AO37" s="774"/>
      <c r="AP37" s="774"/>
      <c r="AU37" s="774"/>
    </row>
    <row r="38" spans="2:47" s="773" customFormat="1" ht="25.5">
      <c r="B38" s="774"/>
      <c r="C38" s="849" t="s">
        <v>1196</v>
      </c>
      <c r="D38" s="855" t="s">
        <v>112</v>
      </c>
      <c r="E38" s="823">
        <v>0</v>
      </c>
      <c r="F38" s="823">
        <v>0</v>
      </c>
      <c r="G38" s="823">
        <v>0</v>
      </c>
      <c r="H38" s="823">
        <v>0</v>
      </c>
      <c r="I38" s="846"/>
      <c r="Q38" s="774"/>
      <c r="V38" s="774"/>
      <c r="AA38" s="774"/>
      <c r="AF38" s="774"/>
      <c r="AK38" s="774"/>
      <c r="AL38" s="774"/>
      <c r="AM38" s="774"/>
      <c r="AN38" s="774"/>
      <c r="AO38" s="774"/>
      <c r="AP38" s="774"/>
      <c r="AU38" s="774"/>
    </row>
    <row r="39" spans="2:47" s="773" customFormat="1" ht="48">
      <c r="B39" s="774"/>
      <c r="C39" s="849" t="s">
        <v>1197</v>
      </c>
      <c r="D39" s="851">
        <f>SUM(E39:H39)</f>
        <v>15400</v>
      </c>
      <c r="E39" s="823">
        <v>3800</v>
      </c>
      <c r="F39" s="823">
        <v>4000</v>
      </c>
      <c r="G39" s="823">
        <v>3800</v>
      </c>
      <c r="H39" s="823">
        <v>3800</v>
      </c>
      <c r="I39" s="846"/>
      <c r="Q39" s="774"/>
      <c r="V39" s="774"/>
      <c r="AA39" s="774"/>
      <c r="AF39" s="774"/>
      <c r="AK39" s="774"/>
      <c r="AL39" s="774"/>
      <c r="AM39" s="774"/>
      <c r="AN39" s="774"/>
      <c r="AO39" s="774"/>
      <c r="AP39" s="774"/>
      <c r="AU39" s="774"/>
    </row>
    <row r="40" spans="2:47" s="773" customFormat="1" ht="22.5">
      <c r="B40" s="774"/>
      <c r="C40" s="852" t="s">
        <v>142</v>
      </c>
      <c r="D40" s="851">
        <f>SUM(E40:H40)</f>
        <v>0</v>
      </c>
      <c r="E40" s="851">
        <f>E38*E39</f>
        <v>0</v>
      </c>
      <c r="F40" s="851">
        <f>F38*F39</f>
        <v>0</v>
      </c>
      <c r="G40" s="851">
        <f>G38*G39</f>
        <v>0</v>
      </c>
      <c r="H40" s="851">
        <f>H38*H39</f>
        <v>0</v>
      </c>
      <c r="I40" s="846"/>
      <c r="Q40" s="774"/>
      <c r="V40" s="774"/>
      <c r="AA40" s="774"/>
      <c r="AF40" s="774"/>
      <c r="AK40" s="774"/>
      <c r="AL40" s="774"/>
      <c r="AM40" s="774"/>
      <c r="AN40" s="774"/>
      <c r="AO40" s="774"/>
      <c r="AP40" s="774"/>
      <c r="AU40" s="774"/>
    </row>
    <row r="41" spans="2:47" s="773" customFormat="1" ht="25.5">
      <c r="B41" s="774"/>
      <c r="C41" s="849" t="s">
        <v>1198</v>
      </c>
      <c r="D41" s="855" t="s">
        <v>112</v>
      </c>
      <c r="E41" s="823">
        <v>0</v>
      </c>
      <c r="F41" s="823">
        <v>0</v>
      </c>
      <c r="G41" s="823">
        <v>0</v>
      </c>
      <c r="H41" s="823">
        <v>0</v>
      </c>
      <c r="I41" s="846"/>
      <c r="Q41" s="774"/>
      <c r="V41" s="774"/>
      <c r="AA41" s="774"/>
      <c r="AF41" s="774"/>
      <c r="AK41" s="774"/>
      <c r="AL41" s="774"/>
      <c r="AM41" s="774"/>
      <c r="AN41" s="774"/>
      <c r="AO41" s="774"/>
      <c r="AP41" s="774"/>
      <c r="AU41" s="774"/>
    </row>
    <row r="42" spans="2:47" s="773" customFormat="1" ht="48">
      <c r="B42" s="774"/>
      <c r="C42" s="849" t="s">
        <v>1199</v>
      </c>
      <c r="D42" s="851">
        <f>SUM(E42:H42)</f>
        <v>0</v>
      </c>
      <c r="E42" s="823"/>
      <c r="F42" s="823"/>
      <c r="G42" s="823"/>
      <c r="H42" s="823"/>
      <c r="I42" s="846"/>
      <c r="Q42" s="774"/>
      <c r="V42" s="774"/>
      <c r="AA42" s="774"/>
      <c r="AF42" s="774"/>
      <c r="AK42" s="774"/>
      <c r="AL42" s="774"/>
      <c r="AM42" s="774"/>
      <c r="AN42" s="774"/>
      <c r="AO42" s="774"/>
      <c r="AP42" s="774"/>
      <c r="AU42" s="774"/>
    </row>
    <row r="43" spans="2:47" s="773" customFormat="1" ht="22.5">
      <c r="B43" s="774"/>
      <c r="C43" s="852" t="s">
        <v>143</v>
      </c>
      <c r="D43" s="851">
        <f>SUM(E43:H43)</f>
        <v>0</v>
      </c>
      <c r="E43" s="851">
        <f>E41*E42</f>
        <v>0</v>
      </c>
      <c r="F43" s="851">
        <f>F41*F42</f>
        <v>0</v>
      </c>
      <c r="G43" s="851">
        <f>G41*G42</f>
        <v>0</v>
      </c>
      <c r="H43" s="851">
        <f>H41*H42</f>
        <v>0</v>
      </c>
      <c r="I43" s="846"/>
      <c r="Q43" s="774"/>
      <c r="V43" s="774"/>
      <c r="AA43" s="774"/>
      <c r="AF43" s="774"/>
      <c r="AK43" s="774"/>
      <c r="AL43" s="774"/>
      <c r="AM43" s="774"/>
      <c r="AN43" s="774"/>
      <c r="AO43" s="774"/>
      <c r="AP43" s="774"/>
      <c r="AU43" s="774"/>
    </row>
    <row r="44" spans="2:47" s="773" customFormat="1" ht="22.5">
      <c r="B44" s="774"/>
      <c r="C44" s="853"/>
      <c r="D44" s="854"/>
      <c r="E44" s="854"/>
      <c r="F44" s="854"/>
      <c r="G44" s="854"/>
      <c r="H44" s="854"/>
      <c r="I44" s="846"/>
      <c r="Q44" s="774"/>
      <c r="V44" s="774"/>
      <c r="AA44" s="774"/>
      <c r="AF44" s="774"/>
      <c r="AK44" s="774"/>
      <c r="AL44" s="774"/>
      <c r="AM44" s="774"/>
      <c r="AN44" s="774"/>
      <c r="AO44" s="774"/>
      <c r="AP44" s="774"/>
      <c r="AU44" s="774"/>
    </row>
    <row r="45" spans="2:47" s="846" customFormat="1" ht="22.5">
      <c r="B45" s="845"/>
      <c r="C45" s="1087" t="s">
        <v>153</v>
      </c>
      <c r="D45" s="1087"/>
      <c r="E45" s="1087"/>
      <c r="F45" s="1087"/>
      <c r="G45" s="1087"/>
      <c r="H45" s="1087"/>
      <c r="Q45" s="845"/>
      <c r="V45" s="845"/>
      <c r="AA45" s="845"/>
      <c r="AF45" s="845"/>
      <c r="AK45" s="845"/>
      <c r="AL45" s="845"/>
      <c r="AM45" s="845"/>
      <c r="AN45" s="845"/>
      <c r="AO45" s="845"/>
      <c r="AP45" s="845"/>
      <c r="AU45" s="845"/>
    </row>
    <row r="46" spans="2:47" s="845" customFormat="1" ht="24.6" customHeight="1">
      <c r="C46" s="535" t="s">
        <v>136</v>
      </c>
      <c r="D46" s="535" t="s">
        <v>137</v>
      </c>
      <c r="E46" s="535" t="s">
        <v>106</v>
      </c>
      <c r="F46" s="535" t="s">
        <v>116</v>
      </c>
      <c r="G46" s="535" t="s">
        <v>117</v>
      </c>
      <c r="H46" s="535" t="s">
        <v>109</v>
      </c>
    </row>
    <row r="47" spans="2:47" s="846" customFormat="1" ht="22.5">
      <c r="B47" s="845"/>
      <c r="C47" s="849" t="s">
        <v>884</v>
      </c>
      <c r="D47" s="855" t="s">
        <v>112</v>
      </c>
      <c r="E47" s="856">
        <f ca="1">Енергоносії!D5</f>
        <v>5.15</v>
      </c>
      <c r="F47" s="856">
        <f ca="1">E47</f>
        <v>5.15</v>
      </c>
      <c r="G47" s="856">
        <f ca="1">F47</f>
        <v>5.15</v>
      </c>
      <c r="H47" s="856">
        <f ca="1">G47</f>
        <v>5.15</v>
      </c>
      <c r="Q47" s="845"/>
      <c r="V47" s="845"/>
      <c r="AA47" s="845"/>
      <c r="AF47" s="845"/>
      <c r="AK47" s="845"/>
      <c r="AL47" s="845"/>
      <c r="AM47" s="845"/>
      <c r="AN47" s="845"/>
      <c r="AO47" s="845"/>
      <c r="AP47" s="845"/>
      <c r="AU47" s="845"/>
    </row>
    <row r="48" spans="2:47" s="846" customFormat="1" ht="45">
      <c r="B48" s="845"/>
      <c r="C48" s="849" t="s">
        <v>885</v>
      </c>
      <c r="D48" s="760">
        <f>SUM(E48:H48)</f>
        <v>350000</v>
      </c>
      <c r="E48" s="761">
        <f ca="1">Енергоносії!C18+Енергоносії!K18</f>
        <v>117500</v>
      </c>
      <c r="F48" s="761">
        <f ca="1">Енергоносії!C19+Енергоносії!K19</f>
        <v>67500</v>
      </c>
      <c r="G48" s="761">
        <f ca="1">Енергоносії!C20+Енергоносії!K20</f>
        <v>67500</v>
      </c>
      <c r="H48" s="761">
        <f ca="1">Енергоносії!C21+Енергоносії!K21</f>
        <v>97500</v>
      </c>
      <c r="Q48" s="845"/>
      <c r="V48" s="845"/>
      <c r="AA48" s="845"/>
      <c r="AF48" s="845"/>
      <c r="AK48" s="845"/>
      <c r="AL48" s="845"/>
      <c r="AM48" s="845"/>
      <c r="AN48" s="845"/>
      <c r="AO48" s="845"/>
      <c r="AP48" s="845"/>
      <c r="AU48" s="845"/>
    </row>
    <row r="49" spans="2:47" s="845" customFormat="1" ht="21.75">
      <c r="B49" s="847">
        <f ca="1">D49-Енергоносії!E22-Енергоносії!M22</f>
        <v>0</v>
      </c>
      <c r="C49" s="852" t="s">
        <v>888</v>
      </c>
      <c r="D49" s="857">
        <f>SUM(E49:H49)</f>
        <v>1802500</v>
      </c>
      <c r="E49" s="858">
        <f ca="1">E47*E48</f>
        <v>605125</v>
      </c>
      <c r="F49" s="858">
        <f ca="1">F47*F48</f>
        <v>347625</v>
      </c>
      <c r="G49" s="858">
        <f ca="1">G47*G48</f>
        <v>347625</v>
      </c>
      <c r="H49" s="858">
        <f ca="1">H47*H48</f>
        <v>502125.00000000006</v>
      </c>
    </row>
    <row r="50" spans="2:47" s="846" customFormat="1" ht="22.5">
      <c r="B50" s="847"/>
      <c r="C50" s="849" t="s">
        <v>886</v>
      </c>
      <c r="D50" s="855" t="s">
        <v>112</v>
      </c>
      <c r="E50" s="856">
        <f ca="1">Енергоносії!F5</f>
        <v>1.3269200000000001</v>
      </c>
      <c r="F50" s="856">
        <f ca="1">E50</f>
        <v>1.3269200000000001</v>
      </c>
      <c r="G50" s="856">
        <f ca="1">F50</f>
        <v>1.3269200000000001</v>
      </c>
      <c r="H50" s="856">
        <f ca="1">G50</f>
        <v>1.3269200000000001</v>
      </c>
      <c r="Q50" s="845"/>
      <c r="V50" s="845"/>
      <c r="AA50" s="845"/>
      <c r="AF50" s="845"/>
      <c r="AK50" s="845"/>
      <c r="AL50" s="845"/>
      <c r="AM50" s="845"/>
      <c r="AN50" s="845"/>
      <c r="AO50" s="845"/>
      <c r="AP50" s="845"/>
      <c r="AU50" s="845"/>
    </row>
    <row r="51" spans="2:47" s="846" customFormat="1" ht="45">
      <c r="B51" s="847"/>
      <c r="C51" s="849" t="s">
        <v>885</v>
      </c>
      <c r="D51" s="760">
        <f>SUM(E51:H51)</f>
        <v>350000</v>
      </c>
      <c r="E51" s="761">
        <f ca="1">E48</f>
        <v>117500</v>
      </c>
      <c r="F51" s="761">
        <f ca="1">F48</f>
        <v>67500</v>
      </c>
      <c r="G51" s="761">
        <f ca="1">G48</f>
        <v>67500</v>
      </c>
      <c r="H51" s="761">
        <f ca="1">H48</f>
        <v>97500</v>
      </c>
      <c r="Q51" s="845"/>
      <c r="V51" s="845"/>
      <c r="AA51" s="845"/>
      <c r="AF51" s="845"/>
      <c r="AK51" s="845"/>
      <c r="AL51" s="845"/>
      <c r="AM51" s="845"/>
      <c r="AN51" s="845"/>
      <c r="AO51" s="845"/>
      <c r="AP51" s="845"/>
      <c r="AU51" s="845"/>
    </row>
    <row r="52" spans="2:47" s="845" customFormat="1" ht="21.75">
      <c r="B52" s="847">
        <f ca="1">D52-Енергоносії!G22-Енергоносії!O22</f>
        <v>0</v>
      </c>
      <c r="C52" s="852" t="s">
        <v>887</v>
      </c>
      <c r="D52" s="857">
        <f>SUM(E52:H52)</f>
        <v>464422.00000000006</v>
      </c>
      <c r="E52" s="858">
        <f ca="1">E50*E51</f>
        <v>155913.1</v>
      </c>
      <c r="F52" s="858">
        <f ca="1">F50*F51</f>
        <v>89567.1</v>
      </c>
      <c r="G52" s="858">
        <f ca="1">G50*G51</f>
        <v>89567.1</v>
      </c>
      <c r="H52" s="858">
        <f ca="1">H50*H51</f>
        <v>129374.70000000001</v>
      </c>
    </row>
    <row r="53" spans="2:47" s="846" customFormat="1" ht="22.5">
      <c r="B53" s="848"/>
      <c r="C53" s="849" t="s">
        <v>1229</v>
      </c>
      <c r="D53" s="855" t="s">
        <v>112</v>
      </c>
      <c r="E53" s="859">
        <f ca="1">Енергоносії!H5</f>
        <v>0.42285600000000001</v>
      </c>
      <c r="F53" s="859">
        <f t="shared" ref="F53:H54" si="19">E53</f>
        <v>0.42285600000000001</v>
      </c>
      <c r="G53" s="859">
        <f t="shared" si="19"/>
        <v>0.42285600000000001</v>
      </c>
      <c r="H53" s="859">
        <f t="shared" si="19"/>
        <v>0.42285600000000001</v>
      </c>
    </row>
    <row r="54" spans="2:47" s="846" customFormat="1" ht="45">
      <c r="B54" s="848"/>
      <c r="C54" s="849" t="s">
        <v>990</v>
      </c>
      <c r="D54" s="860">
        <f>SUM(E54:H54)</f>
        <v>78000</v>
      </c>
      <c r="E54" s="856">
        <f>6500*3</f>
        <v>19500</v>
      </c>
      <c r="F54" s="761">
        <f t="shared" si="19"/>
        <v>19500</v>
      </c>
      <c r="G54" s="761">
        <f t="shared" si="19"/>
        <v>19500</v>
      </c>
      <c r="H54" s="761">
        <f t="shared" si="19"/>
        <v>19500</v>
      </c>
    </row>
    <row r="55" spans="2:47" s="845" customFormat="1" ht="21.75">
      <c r="B55" s="847">
        <f ca="1">D55-Енергоносії!I17-Енергоносії!Q17</f>
        <v>1.0459189070388675E-11</v>
      </c>
      <c r="C55" s="852" t="s">
        <v>1230</v>
      </c>
      <c r="D55" s="857">
        <f>SUM(E55:H55)</f>
        <v>32982.768000000004</v>
      </c>
      <c r="E55" s="861">
        <f>E53*E54</f>
        <v>8245.6920000000009</v>
      </c>
      <c r="F55" s="858">
        <f>F53*F54</f>
        <v>8245.6920000000009</v>
      </c>
      <c r="G55" s="858">
        <f>G53*G54</f>
        <v>8245.6920000000009</v>
      </c>
      <c r="H55" s="858">
        <f>H53*H54</f>
        <v>8245.6920000000009</v>
      </c>
    </row>
    <row r="56" spans="2:47" s="845" customFormat="1" ht="21.75">
      <c r="C56" s="852" t="s">
        <v>144</v>
      </c>
      <c r="D56" s="857">
        <f>SUM(E56:H56)</f>
        <v>2299904.7680000002</v>
      </c>
      <c r="E56" s="858">
        <f>E55+E49+E52</f>
        <v>769283.79200000002</v>
      </c>
      <c r="F56" s="858">
        <f>F55+F49+F52</f>
        <v>445437.79200000002</v>
      </c>
      <c r="G56" s="858">
        <f>G55+G49+G52</f>
        <v>445437.79200000002</v>
      </c>
      <c r="H56" s="858">
        <f>H55+H49+H52</f>
        <v>639745.39199999999</v>
      </c>
    </row>
    <row r="57" spans="2:47" s="846" customFormat="1" ht="22.5">
      <c r="B57" s="845"/>
      <c r="C57" s="849"/>
      <c r="D57" s="760"/>
      <c r="E57" s="761"/>
      <c r="F57" s="761"/>
      <c r="G57" s="761"/>
      <c r="H57" s="761"/>
      <c r="Q57" s="845"/>
      <c r="V57" s="845"/>
      <c r="AA57" s="845"/>
      <c r="AF57" s="845"/>
      <c r="AK57" s="845"/>
      <c r="AL57" s="845"/>
      <c r="AM57" s="845"/>
      <c r="AN57" s="845"/>
      <c r="AO57" s="845"/>
      <c r="AP57" s="845"/>
      <c r="AU57" s="845"/>
    </row>
    <row r="58" spans="2:47" s="773" customFormat="1" ht="22.5">
      <c r="B58" s="774"/>
      <c r="C58" s="1087" t="s">
        <v>154</v>
      </c>
      <c r="D58" s="1087"/>
      <c r="E58" s="1087"/>
      <c r="F58" s="1087"/>
      <c r="G58" s="1087"/>
      <c r="H58" s="1087"/>
      <c r="I58" s="846"/>
      <c r="Q58" s="774"/>
      <c r="V58" s="774"/>
      <c r="AA58" s="774"/>
      <c r="AF58" s="774"/>
      <c r="AK58" s="774"/>
      <c r="AL58" s="774"/>
      <c r="AM58" s="774"/>
      <c r="AN58" s="774"/>
      <c r="AO58" s="774"/>
      <c r="AP58" s="774"/>
      <c r="AU58" s="774"/>
    </row>
    <row r="59" spans="2:47" s="773" customFormat="1" ht="24.6" customHeight="1">
      <c r="B59" s="774"/>
      <c r="C59" s="855" t="s">
        <v>136</v>
      </c>
      <c r="D59" s="535" t="s">
        <v>137</v>
      </c>
      <c r="E59" s="535" t="s">
        <v>106</v>
      </c>
      <c r="F59" s="535" t="s">
        <v>116</v>
      </c>
      <c r="G59" s="535" t="s">
        <v>117</v>
      </c>
      <c r="H59" s="535" t="s">
        <v>109</v>
      </c>
      <c r="I59" s="846"/>
      <c r="Q59" s="774"/>
      <c r="V59" s="774"/>
      <c r="AA59" s="774"/>
      <c r="AF59" s="774"/>
      <c r="AK59" s="774"/>
      <c r="AL59" s="774"/>
      <c r="AM59" s="774"/>
      <c r="AN59" s="774"/>
      <c r="AO59" s="774"/>
      <c r="AP59" s="774"/>
      <c r="AU59" s="774"/>
    </row>
    <row r="60" spans="2:47" s="773" customFormat="1" ht="25.5">
      <c r="B60" s="774"/>
      <c r="C60" s="849" t="s">
        <v>1200</v>
      </c>
      <c r="D60" s="761" t="s">
        <v>112</v>
      </c>
      <c r="E60" s="761">
        <v>0</v>
      </c>
      <c r="F60" s="761">
        <v>0</v>
      </c>
      <c r="G60" s="761">
        <v>0</v>
      </c>
      <c r="H60" s="761">
        <v>0</v>
      </c>
      <c r="I60" s="846"/>
      <c r="Q60" s="774"/>
      <c r="V60" s="774"/>
      <c r="AA60" s="774"/>
      <c r="AF60" s="774"/>
      <c r="AK60" s="774"/>
      <c r="AL60" s="774"/>
      <c r="AM60" s="774"/>
      <c r="AN60" s="774"/>
      <c r="AO60" s="774"/>
      <c r="AP60" s="774"/>
      <c r="AU60" s="774"/>
    </row>
    <row r="61" spans="2:47" s="773" customFormat="1" ht="48">
      <c r="B61" s="774"/>
      <c r="C61" s="849" t="s">
        <v>1201</v>
      </c>
      <c r="D61" s="862">
        <f>SUM(E61:H61)</f>
        <v>0</v>
      </c>
      <c r="E61" s="761">
        <v>0</v>
      </c>
      <c r="F61" s="761">
        <v>0</v>
      </c>
      <c r="G61" s="761">
        <v>0</v>
      </c>
      <c r="H61" s="761">
        <v>0</v>
      </c>
      <c r="I61" s="846"/>
      <c r="Q61" s="774"/>
      <c r="V61" s="774"/>
      <c r="AA61" s="774"/>
      <c r="AF61" s="774"/>
      <c r="AK61" s="774"/>
      <c r="AL61" s="774"/>
      <c r="AM61" s="774"/>
      <c r="AN61" s="774"/>
      <c r="AO61" s="774"/>
      <c r="AP61" s="774"/>
      <c r="AU61" s="774"/>
    </row>
    <row r="62" spans="2:47" s="773" customFormat="1" ht="22.5">
      <c r="B62" s="774"/>
      <c r="C62" s="852" t="s">
        <v>145</v>
      </c>
      <c r="D62" s="862">
        <f>SUM(E62:H62)</f>
        <v>0</v>
      </c>
      <c r="E62" s="851">
        <f>E60*E61</f>
        <v>0</v>
      </c>
      <c r="F62" s="851">
        <f>F60*F61</f>
        <v>0</v>
      </c>
      <c r="G62" s="851">
        <f>G60*G61</f>
        <v>0</v>
      </c>
      <c r="H62" s="851">
        <f>H60*H61</f>
        <v>0</v>
      </c>
      <c r="I62" s="846"/>
      <c r="Q62" s="774"/>
      <c r="V62" s="774"/>
      <c r="AA62" s="774"/>
      <c r="AF62" s="774"/>
      <c r="AK62" s="774"/>
      <c r="AL62" s="774"/>
      <c r="AM62" s="774"/>
      <c r="AN62" s="774"/>
      <c r="AO62" s="774"/>
      <c r="AP62" s="774"/>
      <c r="AU62" s="774"/>
    </row>
    <row r="63" spans="2:47" s="773" customFormat="1" ht="22.5">
      <c r="B63" s="774"/>
      <c r="C63" s="863"/>
      <c r="D63" s="863"/>
      <c r="E63" s="863"/>
      <c r="F63" s="863"/>
      <c r="G63" s="863"/>
      <c r="H63" s="863"/>
      <c r="I63" s="846"/>
      <c r="Q63" s="774"/>
      <c r="V63" s="774"/>
      <c r="AA63" s="774"/>
      <c r="AF63" s="774"/>
      <c r="AK63" s="774"/>
      <c r="AL63" s="774"/>
      <c r="AM63" s="774"/>
      <c r="AN63" s="774"/>
      <c r="AO63" s="774"/>
      <c r="AP63" s="774"/>
      <c r="AU63" s="774"/>
    </row>
    <row r="64" spans="2:47" s="773" customFormat="1" ht="22.5">
      <c r="B64" s="774"/>
      <c r="C64" s="864" t="s">
        <v>1202</v>
      </c>
      <c r="D64" s="824">
        <f>D37+D40+D43+D56+D62+D31</f>
        <v>2299904.7680000002</v>
      </c>
      <c r="E64" s="824">
        <f>E37+E40+E43+E56+E62+E31</f>
        <v>769283.79200000002</v>
      </c>
      <c r="F64" s="824">
        <f>F37+F40+F43+F56+F62+F31</f>
        <v>445437.79200000002</v>
      </c>
      <c r="G64" s="824">
        <f>G37+G40+G43+G56+G62+G31</f>
        <v>445437.79200000002</v>
      </c>
      <c r="H64" s="824">
        <f>H37+H40+H43+H56+H62+H31</f>
        <v>639745.39199999999</v>
      </c>
      <c r="I64" s="846"/>
      <c r="Q64" s="774"/>
      <c r="V64" s="774"/>
      <c r="AA64" s="774"/>
      <c r="AF64" s="774"/>
      <c r="AK64" s="774"/>
      <c r="AL64" s="774"/>
      <c r="AM64" s="774"/>
      <c r="AN64" s="774"/>
      <c r="AO64" s="774"/>
      <c r="AP64" s="774"/>
      <c r="AU64" s="774"/>
    </row>
    <row r="65" spans="1:47" s="773" customFormat="1" ht="22.5">
      <c r="B65" s="774"/>
      <c r="C65" s="864" t="s">
        <v>62</v>
      </c>
      <c r="D65" s="824">
        <f>SUM(E65:H65)</f>
        <v>2738399.9977048058</v>
      </c>
      <c r="E65" s="824">
        <f>E75+E76</f>
        <v>1327903.3646045998</v>
      </c>
      <c r="F65" s="824">
        <f>F75+F76</f>
        <v>249317.22743409991</v>
      </c>
      <c r="G65" s="824">
        <f>G75+G76</f>
        <v>33600</v>
      </c>
      <c r="H65" s="824">
        <f>H75+H76</f>
        <v>1127579.4056661061</v>
      </c>
      <c r="I65" s="846"/>
      <c r="Q65" s="774"/>
      <c r="V65" s="774"/>
      <c r="AA65" s="774"/>
      <c r="AF65" s="774"/>
      <c r="AK65" s="774"/>
      <c r="AL65" s="774"/>
      <c r="AM65" s="774"/>
      <c r="AN65" s="774"/>
      <c r="AO65" s="774"/>
      <c r="AP65" s="774"/>
      <c r="AU65" s="774"/>
    </row>
    <row r="66" spans="1:47" s="773" customFormat="1" ht="22.5">
      <c r="B66" s="774"/>
      <c r="C66" s="864" t="s">
        <v>1202</v>
      </c>
      <c r="D66" s="865">
        <f>D64+D65</f>
        <v>5038304.765704806</v>
      </c>
      <c r="E66" s="824">
        <f>E64+E65</f>
        <v>2097187.1566045997</v>
      </c>
      <c r="F66" s="824">
        <f>F64+F65</f>
        <v>694755.0194340999</v>
      </c>
      <c r="G66" s="824">
        <f>G64+G65</f>
        <v>479037.79200000002</v>
      </c>
      <c r="H66" s="824">
        <f>H64+H65</f>
        <v>1767324.7976661061</v>
      </c>
      <c r="I66" s="846"/>
      <c r="Q66" s="774"/>
      <c r="V66" s="774"/>
      <c r="AA66" s="774"/>
      <c r="AF66" s="774"/>
      <c r="AK66" s="774"/>
      <c r="AL66" s="774"/>
      <c r="AM66" s="774"/>
      <c r="AN66" s="774"/>
      <c r="AO66" s="774"/>
      <c r="AP66" s="774"/>
      <c r="AU66" s="774"/>
    </row>
    <row r="67" spans="1:47" s="773" customFormat="1" ht="22.5">
      <c r="B67" s="774"/>
      <c r="D67" s="866">
        <f ca="1">Деталізація!S21</f>
        <v>5038304.765704805</v>
      </c>
      <c r="E67" s="867"/>
      <c r="F67" s="867"/>
      <c r="G67" s="867"/>
      <c r="H67" s="867"/>
      <c r="I67" s="846"/>
      <c r="Q67" s="774"/>
      <c r="V67" s="774"/>
      <c r="AA67" s="774"/>
      <c r="AF67" s="774"/>
      <c r="AK67" s="774"/>
      <c r="AL67" s="774"/>
      <c r="AM67" s="774"/>
      <c r="AN67" s="774"/>
      <c r="AO67" s="774"/>
      <c r="AP67" s="774"/>
      <c r="AU67" s="774"/>
    </row>
    <row r="68" spans="1:47" s="773" customFormat="1" ht="22.5">
      <c r="B68" s="774"/>
      <c r="D68" s="866">
        <f>D66-D67</f>
        <v>0</v>
      </c>
      <c r="I68" s="846"/>
      <c r="Q68" s="774"/>
      <c r="V68" s="774"/>
      <c r="AA68" s="774"/>
      <c r="AF68" s="774"/>
      <c r="AK68" s="774"/>
      <c r="AL68" s="774"/>
      <c r="AM68" s="774"/>
      <c r="AN68" s="774"/>
      <c r="AO68" s="774"/>
      <c r="AP68" s="774"/>
      <c r="AU68" s="774"/>
    </row>
    <row r="69" spans="1:47" s="773" customFormat="1" ht="22.9" customHeight="1">
      <c r="B69" s="774"/>
      <c r="C69" s="1088" t="s">
        <v>1261</v>
      </c>
      <c r="D69" s="1088"/>
      <c r="E69" s="1088"/>
      <c r="F69" s="1088"/>
      <c r="G69" s="1088"/>
      <c r="H69" s="1088"/>
      <c r="I69" s="846"/>
      <c r="Q69" s="774"/>
      <c r="V69" s="774"/>
      <c r="AA69" s="774"/>
      <c r="AF69" s="774"/>
      <c r="AK69" s="774"/>
      <c r="AL69" s="774"/>
      <c r="AM69" s="774"/>
      <c r="AN69" s="774"/>
      <c r="AO69" s="774"/>
      <c r="AP69" s="774"/>
      <c r="AU69" s="774"/>
    </row>
    <row r="70" spans="1:47" s="773" customFormat="1" ht="22.5">
      <c r="B70" s="774"/>
      <c r="I70" s="846"/>
      <c r="Q70" s="774"/>
      <c r="V70" s="774"/>
      <c r="AA70" s="774"/>
      <c r="AF70" s="774"/>
      <c r="AK70" s="774"/>
      <c r="AL70" s="774"/>
      <c r="AM70" s="774"/>
      <c r="AN70" s="774"/>
      <c r="AO70" s="774"/>
      <c r="AP70" s="774"/>
      <c r="AU70" s="774"/>
    </row>
    <row r="71" spans="1:47" s="773" customFormat="1" ht="25.5">
      <c r="A71" s="881" t="s">
        <v>1203</v>
      </c>
      <c r="B71" s="535" t="s">
        <v>137</v>
      </c>
      <c r="C71" s="855" t="s">
        <v>136</v>
      </c>
      <c r="D71" s="535" t="s">
        <v>137</v>
      </c>
      <c r="E71" s="535" t="s">
        <v>106</v>
      </c>
      <c r="F71" s="535" t="s">
        <v>116</v>
      </c>
      <c r="G71" s="535" t="s">
        <v>117</v>
      </c>
      <c r="H71" s="535" t="s">
        <v>109</v>
      </c>
      <c r="I71" s="1089" t="s">
        <v>173</v>
      </c>
      <c r="J71" s="1089"/>
      <c r="K71" s="1089"/>
      <c r="L71" s="1089"/>
      <c r="Q71" s="774"/>
      <c r="V71" s="774"/>
      <c r="AA71" s="774"/>
      <c r="AF71" s="774"/>
      <c r="AK71" s="774"/>
      <c r="AL71" s="774"/>
      <c r="AM71" s="774"/>
      <c r="AN71" s="774"/>
      <c r="AO71" s="774"/>
      <c r="AP71" s="774"/>
      <c r="AU71" s="774"/>
    </row>
    <row r="72" spans="1:47" s="773" customFormat="1" ht="68.25" customHeight="1">
      <c r="A72" s="780">
        <f>B72-D72</f>
        <v>0</v>
      </c>
      <c r="B72" s="760">
        <f ca="1">Деталізація!S9</f>
        <v>4830000</v>
      </c>
      <c r="C72" s="771" t="s">
        <v>58</v>
      </c>
      <c r="D72" s="760">
        <f t="shared" ref="D72:D82" si="20">SUM(E72:H72)</f>
        <v>4830000</v>
      </c>
      <c r="E72" s="761">
        <f ca="1">Деталізація!O10+Деталізація!O12+Деталізація!O13+Деталізація!O14+Деталізація!O15</f>
        <v>1207500</v>
      </c>
      <c r="F72" s="761">
        <f ca="1">Деталізація!P10+Деталізація!P12+Деталізація!P13+Деталізація!P14+Деталізація!P15</f>
        <v>1207500</v>
      </c>
      <c r="G72" s="761">
        <f ca="1">Деталізація!Q10+Деталізація!Q12+Деталізація!Q13+Деталізація!Q14+Деталізація!Q15</f>
        <v>1207500</v>
      </c>
      <c r="H72" s="761">
        <f ca="1">Деталізація!R10+Деталізація!R12+Деталізація!R13+Деталізація!R14+Деталізація!R15</f>
        <v>1207500</v>
      </c>
      <c r="I72" s="1085" t="s">
        <v>1206</v>
      </c>
      <c r="J72" s="1085"/>
      <c r="K72" s="1085"/>
      <c r="L72" s="1085"/>
      <c r="M72" s="882"/>
      <c r="Q72" s="774"/>
      <c r="V72" s="774"/>
      <c r="AA72" s="774"/>
      <c r="AF72" s="774"/>
      <c r="AK72" s="774"/>
      <c r="AL72" s="774"/>
      <c r="AM72" s="774"/>
      <c r="AN72" s="774"/>
      <c r="AO72" s="774"/>
      <c r="AP72" s="774"/>
      <c r="AU72" s="774"/>
    </row>
    <row r="73" spans="1:47" s="773" customFormat="1" ht="22.5">
      <c r="A73" s="760">
        <f t="shared" ref="A73:A98" si="21">B73-D73</f>
        <v>0</v>
      </c>
      <c r="B73" s="760">
        <f ca="1">Деталізація!S17</f>
        <v>540000</v>
      </c>
      <c r="C73" s="771" t="s">
        <v>59</v>
      </c>
      <c r="D73" s="760">
        <f t="shared" si="20"/>
        <v>540000</v>
      </c>
      <c r="E73" s="761">
        <f ca="1">Деталізація!O17</f>
        <v>135000</v>
      </c>
      <c r="F73" s="761">
        <f ca="1">Деталізація!P17</f>
        <v>135000</v>
      </c>
      <c r="G73" s="761">
        <f ca="1">Деталізація!Q17</f>
        <v>135000</v>
      </c>
      <c r="H73" s="761">
        <f ca="1">Деталізація!R17</f>
        <v>135000</v>
      </c>
      <c r="I73" s="1085" t="s">
        <v>1207</v>
      </c>
      <c r="J73" s="1085"/>
      <c r="K73" s="1085"/>
      <c r="L73" s="1085"/>
      <c r="M73" s="882"/>
      <c r="Q73" s="774"/>
      <c r="V73" s="774"/>
      <c r="AA73" s="774"/>
      <c r="AF73" s="774"/>
      <c r="AK73" s="774"/>
      <c r="AL73" s="774"/>
      <c r="AM73" s="774"/>
      <c r="AN73" s="774"/>
      <c r="AO73" s="774"/>
      <c r="AP73" s="774"/>
      <c r="AU73" s="774"/>
    </row>
    <row r="74" spans="1:47" s="773" customFormat="1" ht="22.5">
      <c r="A74" s="760">
        <f t="shared" si="21"/>
        <v>0</v>
      </c>
      <c r="B74" s="760">
        <f ca="1">+Деталізація!S24+Деталізація!S32</f>
        <v>2373870.9</v>
      </c>
      <c r="C74" s="771" t="s">
        <v>60</v>
      </c>
      <c r="D74" s="760">
        <f t="shared" si="20"/>
        <v>2373870.9</v>
      </c>
      <c r="E74" s="761">
        <f ca="1">Деталізація!O32+Деталізація!O24</f>
        <v>593300</v>
      </c>
      <c r="F74" s="761">
        <f ca="1">Деталізація!P32+Деталізація!P24</f>
        <v>598300</v>
      </c>
      <c r="G74" s="761">
        <f ca="1">Деталізація!Q32+Деталізація!Q24</f>
        <v>593970.9</v>
      </c>
      <c r="H74" s="761">
        <f ca="1">Деталізація!R32+Деталізація!R24</f>
        <v>588300</v>
      </c>
      <c r="I74" s="1085" t="s">
        <v>1208</v>
      </c>
      <c r="J74" s="1085"/>
      <c r="K74" s="1085"/>
      <c r="L74" s="1085"/>
      <c r="M74" s="882"/>
      <c r="Q74" s="774"/>
      <c r="V74" s="774"/>
      <c r="AA74" s="774"/>
      <c r="AF74" s="774"/>
      <c r="AK74" s="774"/>
      <c r="AL74" s="774"/>
      <c r="AM74" s="774"/>
      <c r="AN74" s="774"/>
      <c r="AO74" s="774"/>
      <c r="AP74" s="774"/>
      <c r="AU74" s="774"/>
    </row>
    <row r="75" spans="1:47" s="773" customFormat="1" ht="22.5">
      <c r="A75" s="760">
        <f t="shared" si="21"/>
        <v>0</v>
      </c>
      <c r="B75" s="760">
        <f ca="1">Енергоносії!S45</f>
        <v>2603999.9977048058</v>
      </c>
      <c r="C75" s="771" t="s">
        <v>62</v>
      </c>
      <c r="D75" s="760">
        <f t="shared" si="20"/>
        <v>2603999.9977048058</v>
      </c>
      <c r="E75" s="761">
        <f ca="1">Енергоносії!O71+Енергоносії!O76</f>
        <v>1294303.3646045998</v>
      </c>
      <c r="F75" s="761">
        <f ca="1">Енергоносії!P71+Енергоносії!P76</f>
        <v>215717.22743409991</v>
      </c>
      <c r="G75" s="761">
        <f ca="1">Енергоносії!Q71+Енергоносії!Q76</f>
        <v>0</v>
      </c>
      <c r="H75" s="761">
        <f ca="1">Енергоносії!R71+Енергоносії!R76</f>
        <v>1093979.4056661061</v>
      </c>
      <c r="I75" s="1085" t="s">
        <v>1209</v>
      </c>
      <c r="J75" s="1085"/>
      <c r="K75" s="1085"/>
      <c r="L75" s="1085"/>
      <c r="M75" s="882"/>
      <c r="O75" s="772"/>
      <c r="Q75" s="774"/>
      <c r="V75" s="774"/>
      <c r="AA75" s="774"/>
      <c r="AF75" s="774"/>
      <c r="AK75" s="774"/>
      <c r="AL75" s="774"/>
      <c r="AM75" s="774"/>
      <c r="AN75" s="774"/>
      <c r="AO75" s="774"/>
      <c r="AP75" s="774"/>
      <c r="AU75" s="774"/>
    </row>
    <row r="76" spans="1:47" s="773" customFormat="1" ht="22.5">
      <c r="A76" s="760">
        <f t="shared" si="21"/>
        <v>0</v>
      </c>
      <c r="B76" s="760">
        <f ca="1">Енергоносії!S66</f>
        <v>134400</v>
      </c>
      <c r="C76" s="771" t="s">
        <v>62</v>
      </c>
      <c r="D76" s="760">
        <f ca="1">SUM(E76:H76)</f>
        <v>134400</v>
      </c>
      <c r="E76" s="761">
        <f ca="1">Енергоносії!O72+Енергоносії!O77</f>
        <v>33600</v>
      </c>
      <c r="F76" s="761">
        <f ca="1">Енергоносії!P72+Енергоносії!P77</f>
        <v>33600</v>
      </c>
      <c r="G76" s="761">
        <f ca="1">Енергоносії!Q72+Енергоносії!Q77</f>
        <v>33600</v>
      </c>
      <c r="H76" s="761">
        <f ca="1">Енергоносії!R72+Енергоносії!R77</f>
        <v>33600</v>
      </c>
      <c r="I76" s="1085" t="s">
        <v>1210</v>
      </c>
      <c r="J76" s="1085"/>
      <c r="K76" s="1085"/>
      <c r="L76" s="1085"/>
      <c r="M76" s="882"/>
      <c r="O76" s="772"/>
      <c r="Q76" s="774"/>
      <c r="V76" s="774"/>
      <c r="AA76" s="774"/>
      <c r="AF76" s="774"/>
      <c r="AK76" s="774"/>
      <c r="AL76" s="774"/>
      <c r="AM76" s="774"/>
      <c r="AN76" s="774"/>
      <c r="AO76" s="774"/>
      <c r="AP76" s="774"/>
      <c r="AU76" s="774"/>
    </row>
    <row r="77" spans="1:47" s="773" customFormat="1" ht="22.5">
      <c r="A77" s="760">
        <f t="shared" si="21"/>
        <v>0</v>
      </c>
      <c r="B77" s="760"/>
      <c r="C77" s="771" t="s">
        <v>63</v>
      </c>
      <c r="D77" s="760">
        <f t="shared" si="20"/>
        <v>0</v>
      </c>
      <c r="E77" s="761">
        <v>0</v>
      </c>
      <c r="F77" s="761">
        <v>0</v>
      </c>
      <c r="G77" s="761">
        <v>0</v>
      </c>
      <c r="H77" s="761">
        <v>0</v>
      </c>
      <c r="I77" s="1085" t="s">
        <v>112</v>
      </c>
      <c r="J77" s="1085"/>
      <c r="K77" s="1085"/>
      <c r="L77" s="1085"/>
      <c r="M77" s="882"/>
      <c r="Q77" s="774"/>
      <c r="V77" s="774"/>
      <c r="AA77" s="774"/>
      <c r="AF77" s="774"/>
      <c r="AK77" s="774"/>
      <c r="AL77" s="774"/>
      <c r="AM77" s="774"/>
      <c r="AN77" s="774"/>
      <c r="AO77" s="774"/>
      <c r="AP77" s="774"/>
      <c r="AU77" s="774"/>
    </row>
    <row r="78" spans="1:47" s="773" customFormat="1" ht="45">
      <c r="A78" s="760">
        <f t="shared" si="21"/>
        <v>0</v>
      </c>
      <c r="B78" s="775"/>
      <c r="C78" s="776" t="s">
        <v>64</v>
      </c>
      <c r="D78" s="775">
        <f t="shared" si="20"/>
        <v>0</v>
      </c>
      <c r="E78" s="777">
        <v>0</v>
      </c>
      <c r="F78" s="777">
        <v>0</v>
      </c>
      <c r="G78" s="777">
        <v>0</v>
      </c>
      <c r="H78" s="777">
        <v>0</v>
      </c>
      <c r="I78" s="1090" t="s">
        <v>174</v>
      </c>
      <c r="J78" s="1090"/>
      <c r="K78" s="1090"/>
      <c r="L78" s="1090"/>
      <c r="Q78" s="774"/>
      <c r="V78" s="774"/>
      <c r="AA78" s="774"/>
      <c r="AF78" s="774"/>
      <c r="AK78" s="774"/>
      <c r="AL78" s="774"/>
      <c r="AM78" s="774"/>
      <c r="AN78" s="774"/>
      <c r="AO78" s="774"/>
      <c r="AP78" s="774"/>
      <c r="AU78" s="774"/>
    </row>
    <row r="79" spans="1:47" s="773" customFormat="1" ht="22.5">
      <c r="A79" s="760">
        <f t="shared" si="21"/>
        <v>0</v>
      </c>
      <c r="B79" s="760">
        <f ca="1">Деталізація!S7</f>
        <v>60000</v>
      </c>
      <c r="C79" s="771" t="s">
        <v>65</v>
      </c>
      <c r="D79" s="760">
        <f t="shared" si="20"/>
        <v>60000</v>
      </c>
      <c r="E79" s="761">
        <f ca="1">5000*3</f>
        <v>15000</v>
      </c>
      <c r="F79" s="761">
        <f ca="1">E79</f>
        <v>15000</v>
      </c>
      <c r="G79" s="761">
        <f ca="1">F79</f>
        <v>15000</v>
      </c>
      <c r="H79" s="761">
        <f ca="1">G79</f>
        <v>15000</v>
      </c>
      <c r="I79" s="1085" t="s">
        <v>1211</v>
      </c>
      <c r="J79" s="1085"/>
      <c r="K79" s="1085"/>
      <c r="L79" s="1085"/>
      <c r="Q79" s="774"/>
      <c r="V79" s="774"/>
      <c r="AA79" s="774"/>
      <c r="AF79" s="774"/>
      <c r="AK79" s="774"/>
      <c r="AL79" s="774"/>
      <c r="AM79" s="774"/>
      <c r="AN79" s="774"/>
      <c r="AO79" s="774"/>
      <c r="AP79" s="774"/>
      <c r="AU79" s="774"/>
    </row>
    <row r="80" spans="1:47" s="773" customFormat="1" ht="69" customHeight="1">
      <c r="A80" s="857">
        <f t="shared" si="21"/>
        <v>0</v>
      </c>
      <c r="B80" s="760">
        <f ca="1">Деталізація!S16+Деталізація!S18+Деталізація!S19+Деталізація!S22+Деталізація!S23+Деталізація!S20-B83</f>
        <v>1160000</v>
      </c>
      <c r="C80" s="771" t="s">
        <v>1213</v>
      </c>
      <c r="D80" s="760">
        <f t="shared" si="20"/>
        <v>1160000</v>
      </c>
      <c r="E80" s="761">
        <f ca="1">Деталізація!O16+Деталізація!O18+Деталізація!O19+Деталізація!O20+Деталізація!O22+Деталізація!O23-E83</f>
        <v>290000</v>
      </c>
      <c r="F80" s="761">
        <f ca="1">Деталізація!P16+Деталізація!P18+Деталізація!P19+Деталізація!P20+Деталізація!P22+Деталізація!P23-F83</f>
        <v>290000</v>
      </c>
      <c r="G80" s="761">
        <f ca="1">Деталізація!Q16+Деталізація!Q18+Деталізація!Q19+Деталізація!Q20+Деталізація!Q22+Деталізація!Q23-G83</f>
        <v>290000</v>
      </c>
      <c r="H80" s="761">
        <f ca="1">Деталізація!R16+Деталізація!R18+Деталізація!R19+Деталізація!R20+Деталізація!R22+Деталізація!R23-H83</f>
        <v>290000</v>
      </c>
      <c r="I80" s="1085" t="s">
        <v>1212</v>
      </c>
      <c r="J80" s="1085"/>
      <c r="K80" s="1085"/>
      <c r="L80" s="1085"/>
      <c r="Q80" s="774"/>
      <c r="V80" s="774"/>
      <c r="AA80" s="774"/>
      <c r="AF80" s="774"/>
      <c r="AK80" s="774"/>
      <c r="AL80" s="774"/>
      <c r="AM80" s="774"/>
      <c r="AN80" s="774"/>
      <c r="AO80" s="774"/>
      <c r="AP80" s="774"/>
      <c r="AU80" s="774"/>
    </row>
    <row r="81" spans="1:47" s="773" customFormat="1" ht="22.5">
      <c r="A81" s="760">
        <f t="shared" si="21"/>
        <v>0</v>
      </c>
      <c r="B81" s="760"/>
      <c r="C81" s="771" t="s">
        <v>1154</v>
      </c>
      <c r="D81" s="760">
        <f>SUM(E81:H81)</f>
        <v>0</v>
      </c>
      <c r="E81" s="761"/>
      <c r="F81" s="761"/>
      <c r="G81" s="761"/>
      <c r="H81" s="761"/>
      <c r="I81" s="1085"/>
      <c r="J81" s="1085"/>
      <c r="K81" s="1085"/>
      <c r="L81" s="1085"/>
      <c r="Q81" s="774"/>
      <c r="V81" s="774"/>
      <c r="AA81" s="774"/>
      <c r="AF81" s="774"/>
      <c r="AK81" s="774"/>
      <c r="AL81" s="774"/>
      <c r="AM81" s="774"/>
      <c r="AN81" s="774"/>
      <c r="AO81" s="774"/>
      <c r="AP81" s="774"/>
      <c r="AU81" s="774"/>
    </row>
    <row r="82" spans="1:47" s="773" customFormat="1" ht="22.5">
      <c r="A82" s="760">
        <f t="shared" si="21"/>
        <v>0</v>
      </c>
      <c r="B82" s="760"/>
      <c r="C82" s="771" t="s">
        <v>68</v>
      </c>
      <c r="D82" s="760">
        <f t="shared" si="20"/>
        <v>0</v>
      </c>
      <c r="E82" s="761"/>
      <c r="F82" s="761"/>
      <c r="G82" s="761"/>
      <c r="H82" s="761"/>
      <c r="I82" s="1085" t="s">
        <v>175</v>
      </c>
      <c r="J82" s="1085"/>
      <c r="K82" s="1085"/>
      <c r="L82" s="1085"/>
      <c r="Q82" s="774"/>
      <c r="V82" s="774"/>
      <c r="AA82" s="774"/>
      <c r="AF82" s="774"/>
      <c r="AK82" s="774"/>
      <c r="AL82" s="774"/>
      <c r="AM82" s="774"/>
      <c r="AN82" s="774"/>
      <c r="AO82" s="774"/>
      <c r="AP82" s="774"/>
      <c r="AU82" s="774"/>
    </row>
    <row r="83" spans="1:47" s="773" customFormat="1" ht="45.75" customHeight="1">
      <c r="A83" s="780">
        <f t="shared" si="21"/>
        <v>0</v>
      </c>
      <c r="B83" s="760">
        <f>160000</f>
        <v>160000</v>
      </c>
      <c r="C83" s="778" t="s">
        <v>183</v>
      </c>
      <c r="D83" s="760">
        <f>(32000000)*0.005</f>
        <v>160000</v>
      </c>
      <c r="E83" s="761">
        <f>$D$83/4</f>
        <v>40000</v>
      </c>
      <c r="F83" s="761">
        <f>$D$83/4</f>
        <v>40000</v>
      </c>
      <c r="G83" s="761">
        <f>$D$83/4</f>
        <v>40000</v>
      </c>
      <c r="H83" s="761">
        <f>$D$83/4</f>
        <v>40000</v>
      </c>
      <c r="I83" s="1085" t="s">
        <v>176</v>
      </c>
      <c r="J83" s="1085"/>
      <c r="K83" s="1085"/>
      <c r="L83" s="1085"/>
      <c r="Q83" s="774"/>
      <c r="V83" s="774"/>
      <c r="AA83" s="774"/>
      <c r="AF83" s="774"/>
      <c r="AK83" s="774"/>
      <c r="AL83" s="774"/>
      <c r="AM83" s="774"/>
      <c r="AN83" s="774"/>
      <c r="AO83" s="774"/>
      <c r="AP83" s="774"/>
      <c r="AU83" s="774"/>
    </row>
    <row r="84" spans="1:47" s="773" customFormat="1" ht="22.5">
      <c r="A84" s="760">
        <f t="shared" si="21"/>
        <v>0</v>
      </c>
      <c r="B84" s="760">
        <f ca="1">Деталізація!BA50-B85-B86-B87-B88-B89-B90</f>
        <v>180000</v>
      </c>
      <c r="C84" s="779" t="s">
        <v>162</v>
      </c>
      <c r="D84" s="760">
        <f t="shared" ref="D84:D98" si="22">SUM(E84:H84)</f>
        <v>180000</v>
      </c>
      <c r="E84" s="761">
        <f>15000*3</f>
        <v>45000</v>
      </c>
      <c r="F84" s="761">
        <f t="shared" ref="F84:H85" si="23">E84</f>
        <v>45000</v>
      </c>
      <c r="G84" s="761">
        <f t="shared" si="23"/>
        <v>45000</v>
      </c>
      <c r="H84" s="761">
        <f t="shared" si="23"/>
        <v>45000</v>
      </c>
      <c r="I84" s="1086" t="s">
        <v>177</v>
      </c>
      <c r="J84" s="1086"/>
      <c r="K84" s="1086"/>
      <c r="L84" s="1086"/>
      <c r="Q84" s="774"/>
      <c r="V84" s="774"/>
      <c r="AA84" s="774"/>
      <c r="AF84" s="774"/>
      <c r="AK84" s="774"/>
      <c r="AL84" s="774"/>
      <c r="AM84" s="774"/>
      <c r="AN84" s="774"/>
      <c r="AO84" s="774"/>
      <c r="AP84" s="774"/>
      <c r="AU84" s="774"/>
    </row>
    <row r="85" spans="1:47" s="773" customFormat="1" ht="22.5">
      <c r="A85" s="760">
        <f t="shared" si="21"/>
        <v>0</v>
      </c>
      <c r="B85" s="760">
        <f t="shared" ref="B85:B91" si="24">D85</f>
        <v>8400</v>
      </c>
      <c r="C85" s="779" t="s">
        <v>163</v>
      </c>
      <c r="D85" s="760">
        <f t="shared" si="22"/>
        <v>8400</v>
      </c>
      <c r="E85" s="761">
        <f>700*3</f>
        <v>2100</v>
      </c>
      <c r="F85" s="761">
        <f t="shared" si="23"/>
        <v>2100</v>
      </c>
      <c r="G85" s="761">
        <f t="shared" si="23"/>
        <v>2100</v>
      </c>
      <c r="H85" s="761">
        <f t="shared" si="23"/>
        <v>2100</v>
      </c>
      <c r="I85" s="1086" t="s">
        <v>177</v>
      </c>
      <c r="J85" s="1086"/>
      <c r="K85" s="1086"/>
      <c r="L85" s="1086"/>
      <c r="Q85" s="774"/>
      <c r="V85" s="774"/>
      <c r="AA85" s="774"/>
      <c r="AF85" s="774"/>
      <c r="AK85" s="774"/>
      <c r="AL85" s="774"/>
      <c r="AM85" s="774"/>
      <c r="AN85" s="774"/>
      <c r="AO85" s="774"/>
      <c r="AP85" s="774"/>
      <c r="AU85" s="774"/>
    </row>
    <row r="86" spans="1:47" s="773" customFormat="1" ht="22.5">
      <c r="A86" s="760">
        <f t="shared" si="21"/>
        <v>0</v>
      </c>
      <c r="B86" s="760">
        <f t="shared" si="24"/>
        <v>1800</v>
      </c>
      <c r="C86" s="779" t="s">
        <v>165</v>
      </c>
      <c r="D86" s="760">
        <f t="shared" si="22"/>
        <v>1800</v>
      </c>
      <c r="E86" s="761">
        <f>150*3</f>
        <v>450</v>
      </c>
      <c r="F86" s="761">
        <f>E86</f>
        <v>450</v>
      </c>
      <c r="G86" s="761">
        <f>F86</f>
        <v>450</v>
      </c>
      <c r="H86" s="761">
        <f>G86</f>
        <v>450</v>
      </c>
      <c r="I86" s="1086" t="s">
        <v>177</v>
      </c>
      <c r="J86" s="1086"/>
      <c r="K86" s="1086"/>
      <c r="L86" s="1086"/>
      <c r="Q86" s="774"/>
      <c r="V86" s="774"/>
      <c r="AA86" s="774"/>
      <c r="AF86" s="774"/>
      <c r="AK86" s="774"/>
      <c r="AL86" s="774"/>
      <c r="AM86" s="774"/>
      <c r="AN86" s="774"/>
      <c r="AO86" s="774"/>
      <c r="AP86" s="774"/>
      <c r="AU86" s="774"/>
    </row>
    <row r="87" spans="1:47" s="773" customFormat="1" ht="22.5">
      <c r="A87" s="760">
        <f t="shared" si="21"/>
        <v>0</v>
      </c>
      <c r="B87" s="760">
        <f t="shared" si="24"/>
        <v>0</v>
      </c>
      <c r="C87" s="779" t="s">
        <v>166</v>
      </c>
      <c r="D87" s="760">
        <f t="shared" si="22"/>
        <v>0</v>
      </c>
      <c r="E87" s="761"/>
      <c r="F87" s="761"/>
      <c r="G87" s="761"/>
      <c r="H87" s="761"/>
      <c r="I87" s="1086" t="s">
        <v>177</v>
      </c>
      <c r="J87" s="1086"/>
      <c r="K87" s="1086"/>
      <c r="L87" s="1086"/>
      <c r="Q87" s="774"/>
      <c r="V87" s="774"/>
      <c r="AA87" s="774"/>
      <c r="AF87" s="774"/>
      <c r="AK87" s="774"/>
      <c r="AL87" s="774"/>
      <c r="AM87" s="774"/>
      <c r="AN87" s="774"/>
      <c r="AO87" s="774"/>
      <c r="AP87" s="774"/>
      <c r="AU87" s="774"/>
    </row>
    <row r="88" spans="1:47" s="773" customFormat="1" ht="22.5">
      <c r="A88" s="760">
        <f t="shared" si="21"/>
        <v>0</v>
      </c>
      <c r="B88" s="760">
        <f t="shared" si="24"/>
        <v>0</v>
      </c>
      <c r="C88" s="779" t="s">
        <v>167</v>
      </c>
      <c r="D88" s="760">
        <f t="shared" si="22"/>
        <v>0</v>
      </c>
      <c r="E88" s="761"/>
      <c r="F88" s="761"/>
      <c r="G88" s="761"/>
      <c r="H88" s="761"/>
      <c r="I88" s="1086" t="s">
        <v>177</v>
      </c>
      <c r="J88" s="1086"/>
      <c r="K88" s="1086"/>
      <c r="L88" s="1086"/>
      <c r="Q88" s="774"/>
      <c r="V88" s="774"/>
      <c r="AA88" s="774"/>
      <c r="AF88" s="774"/>
      <c r="AK88" s="774"/>
      <c r="AL88" s="774"/>
      <c r="AM88" s="774"/>
      <c r="AN88" s="774"/>
      <c r="AO88" s="774"/>
      <c r="AP88" s="774"/>
      <c r="AU88" s="774"/>
    </row>
    <row r="89" spans="1:47" s="773" customFormat="1" ht="22.5">
      <c r="A89" s="760">
        <f t="shared" si="21"/>
        <v>0</v>
      </c>
      <c r="B89" s="760">
        <f t="shared" si="24"/>
        <v>12000</v>
      </c>
      <c r="C89" s="779" t="s">
        <v>75</v>
      </c>
      <c r="D89" s="760">
        <f t="shared" si="22"/>
        <v>12000</v>
      </c>
      <c r="E89" s="761">
        <f>1000*3</f>
        <v>3000</v>
      </c>
      <c r="F89" s="761">
        <f>E89</f>
        <v>3000</v>
      </c>
      <c r="G89" s="761">
        <f>F89</f>
        <v>3000</v>
      </c>
      <c r="H89" s="761">
        <f>G89</f>
        <v>3000</v>
      </c>
      <c r="I89" s="1085" t="s">
        <v>178</v>
      </c>
      <c r="J89" s="1085"/>
      <c r="K89" s="1085"/>
      <c r="L89" s="1085"/>
      <c r="Q89" s="774"/>
      <c r="V89" s="774"/>
      <c r="AA89" s="774"/>
      <c r="AF89" s="774"/>
      <c r="AK89" s="774"/>
      <c r="AL89" s="774"/>
      <c r="AM89" s="774"/>
      <c r="AN89" s="774"/>
      <c r="AO89" s="774"/>
      <c r="AP89" s="774"/>
      <c r="AU89" s="774"/>
    </row>
    <row r="90" spans="1:47" s="773" customFormat="1" ht="22.5">
      <c r="A90" s="760">
        <f t="shared" si="21"/>
        <v>0</v>
      </c>
      <c r="B90" s="760">
        <f t="shared" si="24"/>
        <v>0</v>
      </c>
      <c r="C90" s="779" t="s">
        <v>76</v>
      </c>
      <c r="D90" s="760">
        <f t="shared" si="22"/>
        <v>0</v>
      </c>
      <c r="E90" s="761"/>
      <c r="F90" s="761"/>
      <c r="G90" s="761"/>
      <c r="H90" s="761"/>
      <c r="I90" s="1086" t="s">
        <v>112</v>
      </c>
      <c r="J90" s="1086"/>
      <c r="K90" s="1086"/>
      <c r="L90" s="1086"/>
      <c r="Q90" s="774"/>
      <c r="V90" s="774"/>
      <c r="AA90" s="774"/>
      <c r="AF90" s="774"/>
      <c r="AK90" s="774"/>
      <c r="AL90" s="774"/>
      <c r="AM90" s="774"/>
      <c r="AN90" s="774"/>
      <c r="AO90" s="774"/>
      <c r="AP90" s="774"/>
      <c r="AU90" s="774"/>
    </row>
    <row r="91" spans="1:47" s="773" customFormat="1" ht="22.5">
      <c r="A91" s="760">
        <f t="shared" si="21"/>
        <v>0</v>
      </c>
      <c r="B91" s="760">
        <f t="shared" si="24"/>
        <v>0</v>
      </c>
      <c r="C91" s="329" t="s">
        <v>168</v>
      </c>
      <c r="D91" s="760">
        <f t="shared" si="22"/>
        <v>0</v>
      </c>
      <c r="E91" s="761"/>
      <c r="F91" s="761"/>
      <c r="G91" s="761"/>
      <c r="H91" s="761"/>
      <c r="I91" s="1085" t="s">
        <v>112</v>
      </c>
      <c r="J91" s="1085"/>
      <c r="K91" s="1085"/>
      <c r="L91" s="1085"/>
      <c r="Q91" s="774"/>
      <c r="V91" s="774"/>
      <c r="AA91" s="774"/>
      <c r="AF91" s="774"/>
      <c r="AK91" s="774"/>
      <c r="AL91" s="774"/>
      <c r="AM91" s="774"/>
      <c r="AN91" s="774"/>
      <c r="AO91" s="774"/>
      <c r="AP91" s="774"/>
      <c r="AU91" s="774"/>
    </row>
    <row r="92" spans="1:47" s="846" customFormat="1" ht="22.5">
      <c r="A92" s="760">
        <f t="shared" si="21"/>
        <v>0</v>
      </c>
      <c r="B92" s="760">
        <f ca="1">Деталізація!S55-B95</f>
        <v>3940264</v>
      </c>
      <c r="C92" s="329" t="s">
        <v>169</v>
      </c>
      <c r="D92" s="760">
        <f t="shared" si="22"/>
        <v>3940264</v>
      </c>
      <c r="E92" s="761">
        <f ca="1">Деталізація!O55</f>
        <v>2340264</v>
      </c>
      <c r="F92" s="761">
        <f ca="1">Деталізація!P55</f>
        <v>1600000</v>
      </c>
      <c r="G92" s="761">
        <f ca="1">Деталізація!Q55-G95</f>
        <v>0</v>
      </c>
      <c r="H92" s="761">
        <f ca="1">Деталізація!R55</f>
        <v>0</v>
      </c>
      <c r="I92" s="1085" t="s">
        <v>1260</v>
      </c>
      <c r="J92" s="1085"/>
      <c r="K92" s="1085"/>
      <c r="L92" s="1085"/>
      <c r="Q92" s="845"/>
      <c r="V92" s="845"/>
      <c r="AA92" s="845"/>
      <c r="AF92" s="845"/>
      <c r="AK92" s="845"/>
      <c r="AL92" s="845"/>
      <c r="AM92" s="845"/>
      <c r="AN92" s="845"/>
      <c r="AO92" s="845"/>
      <c r="AP92" s="845"/>
      <c r="AU92" s="845"/>
    </row>
    <row r="93" spans="1:47" s="846" customFormat="1" ht="45">
      <c r="A93" s="760">
        <f t="shared" si="21"/>
        <v>0</v>
      </c>
      <c r="B93" s="760">
        <f ca="1">Деталізація!S56-B96</f>
        <v>250000</v>
      </c>
      <c r="C93" s="329" t="s">
        <v>170</v>
      </c>
      <c r="D93" s="760">
        <f t="shared" si="22"/>
        <v>250000</v>
      </c>
      <c r="E93" s="761">
        <f ca="1">Деталізація!O56</f>
        <v>50000</v>
      </c>
      <c r="F93" s="761">
        <f ca="1">Деталізація!P56</f>
        <v>200000</v>
      </c>
      <c r="G93" s="761"/>
      <c r="H93" s="761"/>
      <c r="I93" s="1085" t="s">
        <v>1260</v>
      </c>
      <c r="J93" s="1085"/>
      <c r="K93" s="1085"/>
      <c r="L93" s="1085"/>
      <c r="Q93" s="845"/>
      <c r="V93" s="845"/>
      <c r="AA93" s="845"/>
      <c r="AF93" s="845"/>
      <c r="AK93" s="845"/>
      <c r="AL93" s="845"/>
      <c r="AM93" s="845"/>
      <c r="AN93" s="845"/>
      <c r="AO93" s="845"/>
      <c r="AP93" s="845"/>
      <c r="AU93" s="845"/>
    </row>
    <row r="94" spans="1:47" s="846" customFormat="1" ht="22.5">
      <c r="A94" s="760">
        <f t="shared" si="21"/>
        <v>0</v>
      </c>
      <c r="B94" s="760"/>
      <c r="C94" s="329" t="s">
        <v>171</v>
      </c>
      <c r="D94" s="760">
        <f t="shared" si="22"/>
        <v>0</v>
      </c>
      <c r="E94" s="761"/>
      <c r="F94" s="761"/>
      <c r="G94" s="761"/>
      <c r="H94" s="761"/>
      <c r="I94" s="1085" t="s">
        <v>1260</v>
      </c>
      <c r="J94" s="1085"/>
      <c r="K94" s="1085"/>
      <c r="L94" s="1085"/>
      <c r="Q94" s="845"/>
      <c r="V94" s="845"/>
      <c r="AA94" s="845"/>
      <c r="AF94" s="845"/>
      <c r="AK94" s="845"/>
      <c r="AL94" s="845"/>
      <c r="AM94" s="845"/>
      <c r="AN94" s="845"/>
      <c r="AO94" s="845"/>
      <c r="AP94" s="845"/>
      <c r="AU94" s="845"/>
    </row>
    <row r="95" spans="1:47" s="773" customFormat="1" ht="45">
      <c r="A95" s="760">
        <f t="shared" si="21"/>
        <v>0</v>
      </c>
      <c r="B95" s="760">
        <f>3500000-3500000</f>
        <v>0</v>
      </c>
      <c r="C95" s="329" t="s">
        <v>172</v>
      </c>
      <c r="D95" s="760">
        <f t="shared" si="22"/>
        <v>0</v>
      </c>
      <c r="E95" s="761"/>
      <c r="F95" s="761"/>
      <c r="G95" s="761">
        <f>3500000-3500000</f>
        <v>0</v>
      </c>
      <c r="H95" s="761"/>
      <c r="I95" s="1085" t="s">
        <v>182</v>
      </c>
      <c r="J95" s="1085"/>
      <c r="K95" s="1085"/>
      <c r="L95" s="1085"/>
      <c r="Q95" s="774"/>
      <c r="V95" s="774"/>
      <c r="AA95" s="774"/>
      <c r="AF95" s="774"/>
      <c r="AK95" s="774"/>
      <c r="AL95" s="774"/>
      <c r="AM95" s="774"/>
      <c r="AN95" s="774"/>
      <c r="AO95" s="774"/>
      <c r="AP95" s="774"/>
      <c r="AU95" s="774"/>
    </row>
    <row r="96" spans="1:47" s="773" customFormat="1" ht="22.5">
      <c r="A96" s="760">
        <f t="shared" si="21"/>
        <v>0</v>
      </c>
      <c r="B96" s="760"/>
      <c r="C96" s="329" t="s">
        <v>1250</v>
      </c>
      <c r="D96" s="760">
        <f t="shared" si="22"/>
        <v>0</v>
      </c>
      <c r="E96" s="761"/>
      <c r="F96" s="761"/>
      <c r="G96" s="761"/>
      <c r="H96" s="761"/>
      <c r="I96" s="1085" t="s">
        <v>112</v>
      </c>
      <c r="J96" s="1085"/>
      <c r="K96" s="1085"/>
      <c r="L96" s="1085"/>
      <c r="Q96" s="774"/>
      <c r="V96" s="774"/>
      <c r="AA96" s="774"/>
      <c r="AF96" s="774"/>
      <c r="AK96" s="774"/>
      <c r="AL96" s="774"/>
      <c r="AM96" s="774"/>
      <c r="AN96" s="774"/>
      <c r="AO96" s="774"/>
      <c r="AP96" s="774"/>
      <c r="AU96" s="774"/>
    </row>
    <row r="97" spans="1:47" s="773" customFormat="1" ht="22.5">
      <c r="A97" s="760">
        <f t="shared" si="21"/>
        <v>0</v>
      </c>
      <c r="B97" s="760"/>
      <c r="C97" s="329" t="s">
        <v>179</v>
      </c>
      <c r="D97" s="760">
        <f t="shared" si="22"/>
        <v>0</v>
      </c>
      <c r="E97" s="761"/>
      <c r="F97" s="761"/>
      <c r="G97" s="761"/>
      <c r="H97" s="761"/>
      <c r="I97" s="1085" t="s">
        <v>180</v>
      </c>
      <c r="J97" s="1085"/>
      <c r="K97" s="1085"/>
      <c r="L97" s="1085"/>
      <c r="Q97" s="774"/>
      <c r="V97" s="774"/>
      <c r="AA97" s="774"/>
      <c r="AF97" s="774"/>
      <c r="AK97" s="774"/>
      <c r="AL97" s="774"/>
      <c r="AM97" s="774"/>
      <c r="AN97" s="774"/>
      <c r="AO97" s="774"/>
      <c r="AP97" s="774"/>
      <c r="AU97" s="774"/>
    </row>
    <row r="98" spans="1:47" s="773" customFormat="1" ht="23.25" thickBot="1">
      <c r="A98" s="760">
        <f t="shared" si="21"/>
        <v>0</v>
      </c>
      <c r="B98" s="760">
        <f ca="1">Деталізація!S59</f>
        <v>2416080</v>
      </c>
      <c r="C98" s="329" t="s">
        <v>1255</v>
      </c>
      <c r="D98" s="760">
        <f t="shared" si="22"/>
        <v>2416080</v>
      </c>
      <c r="E98" s="761">
        <f>201340*3</f>
        <v>604020</v>
      </c>
      <c r="F98" s="761">
        <f>E98</f>
        <v>604020</v>
      </c>
      <c r="G98" s="761">
        <f>F98</f>
        <v>604020</v>
      </c>
      <c r="H98" s="761">
        <f>G98</f>
        <v>604020</v>
      </c>
      <c r="I98" s="1091" t="s">
        <v>181</v>
      </c>
      <c r="J98" s="1092"/>
      <c r="K98" s="1092"/>
      <c r="L98" s="1093"/>
      <c r="Q98" s="774"/>
      <c r="V98" s="774"/>
      <c r="AA98" s="774"/>
      <c r="AF98" s="774"/>
      <c r="AK98" s="774"/>
      <c r="AL98" s="774"/>
      <c r="AM98" s="774"/>
      <c r="AN98" s="774"/>
      <c r="AO98" s="774"/>
      <c r="AP98" s="774"/>
      <c r="AU98" s="774"/>
    </row>
    <row r="99" spans="1:47" s="773" customFormat="1" ht="22.5">
      <c r="A99" s="863"/>
      <c r="B99" s="868"/>
      <c r="C99" s="863" t="s">
        <v>1185</v>
      </c>
      <c r="D99" s="863"/>
      <c r="E99" s="863"/>
      <c r="F99" s="863"/>
      <c r="G99" s="863"/>
      <c r="H99" s="863"/>
      <c r="I99" s="846"/>
      <c r="Q99" s="774"/>
      <c r="V99" s="774"/>
      <c r="AA99" s="774"/>
      <c r="AF99" s="774"/>
      <c r="AK99" s="774"/>
      <c r="AL99" s="774"/>
      <c r="AM99" s="774"/>
      <c r="AN99" s="774"/>
      <c r="AO99" s="774"/>
      <c r="AP99" s="774"/>
      <c r="AU99" s="774"/>
    </row>
    <row r="100" spans="1:47" s="839" customFormat="1" ht="22.5">
      <c r="B100" s="834"/>
      <c r="I100" s="318"/>
      <c r="Q100" s="834"/>
      <c r="V100" s="834"/>
      <c r="AA100" s="834"/>
      <c r="AF100" s="834"/>
      <c r="AK100" s="834"/>
      <c r="AL100" s="774"/>
      <c r="AM100" s="774"/>
      <c r="AN100" s="774"/>
      <c r="AO100" s="774"/>
      <c r="AP100" s="774"/>
      <c r="AU100" s="834"/>
    </row>
    <row r="101" spans="1:47" s="839" customFormat="1" ht="22.5">
      <c r="B101" s="834"/>
      <c r="I101" s="318"/>
      <c r="Q101" s="834"/>
      <c r="V101" s="834"/>
      <c r="AA101" s="834"/>
      <c r="AF101" s="834"/>
      <c r="AK101" s="834"/>
      <c r="AL101" s="774"/>
      <c r="AM101" s="774"/>
      <c r="AN101" s="774"/>
      <c r="AO101" s="774"/>
      <c r="AP101" s="774"/>
      <c r="AU101" s="834"/>
    </row>
    <row r="102" spans="1:47" s="839" customFormat="1" ht="22.5">
      <c r="B102" s="834"/>
      <c r="I102" s="318"/>
      <c r="Q102" s="834"/>
      <c r="V102" s="834"/>
      <c r="AA102" s="834"/>
      <c r="AF102" s="834"/>
      <c r="AK102" s="834"/>
      <c r="AL102" s="774"/>
      <c r="AM102" s="774"/>
      <c r="AN102" s="774"/>
      <c r="AO102" s="774"/>
      <c r="AP102" s="774"/>
      <c r="AU102" s="834"/>
    </row>
    <row r="103" spans="1:47" s="839" customFormat="1" ht="22.5">
      <c r="B103" s="834"/>
      <c r="I103" s="318"/>
      <c r="Q103" s="834"/>
      <c r="V103" s="834"/>
      <c r="AA103" s="834"/>
      <c r="AF103" s="834"/>
      <c r="AK103" s="834"/>
      <c r="AL103" s="774"/>
      <c r="AM103" s="774"/>
      <c r="AN103" s="774"/>
      <c r="AO103" s="774"/>
      <c r="AP103" s="774"/>
      <c r="AU103" s="834"/>
    </row>
  </sheetData>
  <mergeCells count="54">
    <mergeCell ref="C2:I2"/>
    <mergeCell ref="C5:E5"/>
    <mergeCell ref="C7:D7"/>
    <mergeCell ref="C17:C18"/>
    <mergeCell ref="C13:C14"/>
    <mergeCell ref="C11:C12"/>
    <mergeCell ref="E7:H7"/>
    <mergeCell ref="C9:C10"/>
    <mergeCell ref="C15:C16"/>
    <mergeCell ref="AQ6:AU6"/>
    <mergeCell ref="M7:Q7"/>
    <mergeCell ref="AQ7:AU7"/>
    <mergeCell ref="AB7:AF7"/>
    <mergeCell ref="AG7:AK7"/>
    <mergeCell ref="R7:V7"/>
    <mergeCell ref="I94:L94"/>
    <mergeCell ref="AV7:AZ7"/>
    <mergeCell ref="I7:L7"/>
    <mergeCell ref="W7:AA7"/>
    <mergeCell ref="AL7:AP7"/>
    <mergeCell ref="C33:H33"/>
    <mergeCell ref="C27:H27"/>
    <mergeCell ref="C25:E25"/>
    <mergeCell ref="C19:C20"/>
    <mergeCell ref="I76:L76"/>
    <mergeCell ref="I98:L98"/>
    <mergeCell ref="I85:L85"/>
    <mergeCell ref="I86:L86"/>
    <mergeCell ref="I87:L87"/>
    <mergeCell ref="I88:L88"/>
    <mergeCell ref="I97:L97"/>
    <mergeCell ref="I96:L96"/>
    <mergeCell ref="I93:L93"/>
    <mergeCell ref="I91:L91"/>
    <mergeCell ref="I73:L73"/>
    <mergeCell ref="I89:L89"/>
    <mergeCell ref="I95:L95"/>
    <mergeCell ref="I92:L92"/>
    <mergeCell ref="I74:L74"/>
    <mergeCell ref="I80:L80"/>
    <mergeCell ref="I84:L84"/>
    <mergeCell ref="I82:L82"/>
    <mergeCell ref="I81:L81"/>
    <mergeCell ref="I79:L79"/>
    <mergeCell ref="I83:L83"/>
    <mergeCell ref="I90:L90"/>
    <mergeCell ref="C45:H45"/>
    <mergeCell ref="C58:H58"/>
    <mergeCell ref="C69:H69"/>
    <mergeCell ref="I72:L72"/>
    <mergeCell ref="I71:L71"/>
    <mergeCell ref="I78:L78"/>
    <mergeCell ref="I77:L77"/>
    <mergeCell ref="I75:L75"/>
  </mergeCells>
  <phoneticPr fontId="0" type="noConversion"/>
  <conditionalFormatting sqref="E29:H30 E35:H36 E38:H39 E41:H42 E47:H48 E60:H61 AL19:AO19 AL9:AO9 AL11:AO11 AL13:AO13 AL15:AO15 AL17:AO17 E9:P9 E11:P11 E13:P13 E15:P15 E17:P17 E19:P19 R9:U9 R11:U11 R13:U13 R15:U15 R17:U17 R19:U19 W9:Z9 W11:Z11 W13:Z13 W15:Z15 W17:Z17 W19:Z19 AB9:AE9 AB11:AE11 AB13:AE13 AB15:AE15 AB17:AE17 AB19:AE19 E53:H54 E72:H82 E84:H98">
    <cfRule type="notContainsBlanks" dxfId="998" priority="24">
      <formula>LEN(TRIM(E9))&gt;0</formula>
    </cfRule>
  </conditionalFormatting>
  <conditionalFormatting sqref="E50:H51">
    <cfRule type="notContainsBlanks" dxfId="997" priority="2">
      <formula>LEN(TRIM(E50))&gt;0</formula>
    </cfRule>
  </conditionalFormatting>
  <conditionalFormatting sqref="F50:H50">
    <cfRule type="notContainsBlanks" dxfId="996" priority="1">
      <formula>LEN(TRIM(F50))&gt;0</formula>
    </cfRule>
  </conditionalFormatting>
  <pageMargins left="0" right="0" top="0" bottom="0" header="0" footer="0"/>
  <pageSetup paperSize="9" scale="13" fitToHeight="10" orientation="landscape" r:id="rId1"/>
  <ignoredErrors>
    <ignoredError sqref="AQ10:AT1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0"/>
  <sheetViews>
    <sheetView view="pageBreakPreview" zoomScale="60" zoomScaleNormal="75" workbookViewId="0">
      <selection activeCell="BS60" sqref="BS60"/>
    </sheetView>
  </sheetViews>
  <sheetFormatPr defaultRowHeight="15.75"/>
  <cols>
    <col min="1" max="1" width="5.28515625" style="352" customWidth="1"/>
    <col min="2" max="2" width="44.7109375" style="352" bestFit="1" customWidth="1"/>
    <col min="3" max="14" width="11.5703125" style="352" hidden="1" customWidth="1"/>
    <col min="15" max="19" width="15.5703125" style="416" bestFit="1" customWidth="1"/>
    <col min="20" max="20" width="13" style="352" hidden="1" customWidth="1"/>
    <col min="21" max="21" width="11.28515625" style="352" hidden="1" customWidth="1"/>
    <col min="22" max="24" width="10.140625" style="352" hidden="1" customWidth="1"/>
    <col min="25" max="25" width="11.5703125" style="352" hidden="1" customWidth="1"/>
    <col min="26" max="31" width="10.140625" style="352" hidden="1" customWidth="1"/>
    <col min="32" max="32" width="11.7109375" style="352" bestFit="1" customWidth="1"/>
    <col min="33" max="35" width="11.5703125" style="352" bestFit="1" customWidth="1"/>
    <col min="36" max="36" width="11.7109375" style="352" bestFit="1" customWidth="1"/>
    <col min="37" max="48" width="10" style="352" hidden="1" customWidth="1"/>
    <col min="49" max="49" width="10" style="352" customWidth="1"/>
    <col min="50" max="50" width="10.7109375" style="352" bestFit="1" customWidth="1"/>
    <col min="51" max="51" width="11.5703125" style="352" bestFit="1" customWidth="1"/>
    <col min="52" max="52" width="11.28515625" style="352" bestFit="1" customWidth="1"/>
    <col min="53" max="53" width="11.42578125" style="352" customWidth="1"/>
    <col min="54" max="54" width="11.5703125" style="352" hidden="1" customWidth="1"/>
    <col min="55" max="56" width="9.85546875" style="352" hidden="1" customWidth="1"/>
    <col min="57" max="57" width="11.28515625" style="352" hidden="1" customWidth="1"/>
    <col min="58" max="58" width="9.85546875" style="352" hidden="1" customWidth="1"/>
    <col min="59" max="59" width="11.5703125" style="352" hidden="1" customWidth="1"/>
    <col min="60" max="62" width="11.28515625" style="352" hidden="1" customWidth="1"/>
    <col min="63" max="64" width="9.85546875" style="352" hidden="1" customWidth="1"/>
    <col min="65" max="65" width="11.5703125" style="352" hidden="1" customWidth="1"/>
    <col min="66" max="68" width="11.7109375" style="352" bestFit="1" customWidth="1"/>
    <col min="69" max="69" width="11.42578125" style="352" bestFit="1" customWidth="1"/>
    <col min="70" max="70" width="12.42578125" style="352" bestFit="1" customWidth="1"/>
    <col min="71" max="71" width="15.140625" bestFit="1" customWidth="1"/>
    <col min="72" max="72" width="15" bestFit="1" customWidth="1"/>
  </cols>
  <sheetData>
    <row r="1" spans="1:70">
      <c r="A1" s="1023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410"/>
      <c r="P1" s="410"/>
      <c r="Q1" s="410"/>
      <c r="R1" s="895">
        <f>S3-S1</f>
        <v>0</v>
      </c>
      <c r="S1" s="758">
        <f ca="1">'!!! ФІНАНСОВИЙ ПЛАН ЗМІНИ !!!'!G81</f>
        <v>64617719.581050873</v>
      </c>
      <c r="T1" s="353" t="s">
        <v>1152</v>
      </c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53" t="s">
        <v>466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53" t="s">
        <v>940</v>
      </c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</row>
    <row r="2" spans="1:70">
      <c r="A2" s="1024"/>
      <c r="B2" s="354" t="s">
        <v>876</v>
      </c>
      <c r="C2" s="333" t="s">
        <v>893</v>
      </c>
      <c r="D2" s="333" t="s">
        <v>1290</v>
      </c>
      <c r="E2" s="333" t="s">
        <v>1291</v>
      </c>
      <c r="F2" s="333" t="s">
        <v>1292</v>
      </c>
      <c r="G2" s="333" t="s">
        <v>1293</v>
      </c>
      <c r="H2" s="333" t="s">
        <v>1294</v>
      </c>
      <c r="I2" s="333" t="s">
        <v>894</v>
      </c>
      <c r="J2" s="333" t="s">
        <v>1296</v>
      </c>
      <c r="K2" s="333" t="s">
        <v>1297</v>
      </c>
      <c r="L2" s="333" t="s">
        <v>1298</v>
      </c>
      <c r="M2" s="333" t="s">
        <v>1299</v>
      </c>
      <c r="N2" s="333" t="s">
        <v>1300</v>
      </c>
      <c r="O2" s="896" t="s">
        <v>106</v>
      </c>
      <c r="P2" s="896" t="s">
        <v>107</v>
      </c>
      <c r="Q2" s="896" t="s">
        <v>108</v>
      </c>
      <c r="R2" s="896" t="s">
        <v>109</v>
      </c>
      <c r="S2" s="411">
        <v>2022</v>
      </c>
      <c r="T2" s="333" t="s">
        <v>893</v>
      </c>
      <c r="U2" s="333" t="s">
        <v>1290</v>
      </c>
      <c r="V2" s="333" t="s">
        <v>1291</v>
      </c>
      <c r="W2" s="333" t="s">
        <v>1292</v>
      </c>
      <c r="X2" s="333" t="s">
        <v>1293</v>
      </c>
      <c r="Y2" s="333" t="s">
        <v>1294</v>
      </c>
      <c r="Z2" s="333" t="s">
        <v>894</v>
      </c>
      <c r="AA2" s="333" t="s">
        <v>1296</v>
      </c>
      <c r="AB2" s="333" t="s">
        <v>1297</v>
      </c>
      <c r="AC2" s="333" t="s">
        <v>1298</v>
      </c>
      <c r="AD2" s="333" t="s">
        <v>1299</v>
      </c>
      <c r="AE2" s="333" t="s">
        <v>1300</v>
      </c>
      <c r="AF2" s="355" t="s">
        <v>106</v>
      </c>
      <c r="AG2" s="355" t="s">
        <v>107</v>
      </c>
      <c r="AH2" s="355" t="s">
        <v>108</v>
      </c>
      <c r="AI2" s="355" t="s">
        <v>109</v>
      </c>
      <c r="AJ2" s="356">
        <v>2022</v>
      </c>
      <c r="AK2" s="883" t="s">
        <v>893</v>
      </c>
      <c r="AL2" s="883" t="s">
        <v>1290</v>
      </c>
      <c r="AM2" s="883" t="s">
        <v>1291</v>
      </c>
      <c r="AN2" s="884" t="s">
        <v>1292</v>
      </c>
      <c r="AO2" s="884" t="s">
        <v>1293</v>
      </c>
      <c r="AP2" s="884" t="s">
        <v>1294</v>
      </c>
      <c r="AQ2" s="883" t="s">
        <v>894</v>
      </c>
      <c r="AR2" s="883" t="s">
        <v>1296</v>
      </c>
      <c r="AS2" s="883" t="s">
        <v>1297</v>
      </c>
      <c r="AT2" s="884" t="s">
        <v>1298</v>
      </c>
      <c r="AU2" s="884" t="s">
        <v>1299</v>
      </c>
      <c r="AV2" s="884" t="s">
        <v>1300</v>
      </c>
      <c r="AW2" s="355" t="s">
        <v>106</v>
      </c>
      <c r="AX2" s="355" t="s">
        <v>107</v>
      </c>
      <c r="AY2" s="355" t="s">
        <v>108</v>
      </c>
      <c r="AZ2" s="355" t="s">
        <v>109</v>
      </c>
      <c r="BA2" s="356">
        <v>2022</v>
      </c>
      <c r="BB2" s="333" t="s">
        <v>893</v>
      </c>
      <c r="BC2" s="333" t="s">
        <v>1290</v>
      </c>
      <c r="BD2" s="333" t="s">
        <v>1291</v>
      </c>
      <c r="BE2" s="333" t="s">
        <v>1292</v>
      </c>
      <c r="BF2" s="333" t="s">
        <v>1293</v>
      </c>
      <c r="BG2" s="333" t="s">
        <v>1294</v>
      </c>
      <c r="BH2" s="333" t="s">
        <v>894</v>
      </c>
      <c r="BI2" s="333" t="s">
        <v>1296</v>
      </c>
      <c r="BJ2" s="333" t="s">
        <v>1297</v>
      </c>
      <c r="BK2" s="333" t="s">
        <v>1298</v>
      </c>
      <c r="BL2" s="333" t="s">
        <v>1299</v>
      </c>
      <c r="BM2" s="333" t="s">
        <v>1300</v>
      </c>
      <c r="BN2" s="355" t="s">
        <v>106</v>
      </c>
      <c r="BO2" s="355" t="s">
        <v>107</v>
      </c>
      <c r="BP2" s="355" t="s">
        <v>108</v>
      </c>
      <c r="BQ2" s="355" t="s">
        <v>109</v>
      </c>
      <c r="BR2" s="356">
        <v>2022</v>
      </c>
    </row>
    <row r="3" spans="1:70">
      <c r="A3" s="1025"/>
      <c r="B3" s="334" t="s">
        <v>937</v>
      </c>
      <c r="C3" s="335">
        <f t="shared" ref="C3:N3" si="0">C4+C54</f>
        <v>7796452.4972892627</v>
      </c>
      <c r="D3" s="335">
        <f t="shared" si="0"/>
        <v>5236662.4360059062</v>
      </c>
      <c r="E3" s="335">
        <f t="shared" si="0"/>
        <v>5287841.5222512539</v>
      </c>
      <c r="F3" s="335">
        <f t="shared" si="0"/>
        <v>4982621.6821728824</v>
      </c>
      <c r="G3" s="335">
        <f t="shared" si="0"/>
        <v>4801465.1266000085</v>
      </c>
      <c r="H3" s="335">
        <f t="shared" si="0"/>
        <v>6608078.9567945972</v>
      </c>
      <c r="I3" s="335">
        <f t="shared" si="0"/>
        <v>4720095.0652457401</v>
      </c>
      <c r="J3" s="335">
        <f t="shared" si="0"/>
        <v>4750626.8964890204</v>
      </c>
      <c r="K3" s="335">
        <f t="shared" si="0"/>
        <v>4774904.6508277263</v>
      </c>
      <c r="L3" s="335">
        <f t="shared" si="0"/>
        <v>5139017.4824065622</v>
      </c>
      <c r="M3" s="335">
        <f t="shared" si="0"/>
        <v>5277984.2393707763</v>
      </c>
      <c r="N3" s="335">
        <f t="shared" si="0"/>
        <v>5241969.0255971383</v>
      </c>
      <c r="O3" s="412">
        <f t="shared" ref="O3:AE3" si="1">O4+O54</f>
        <v>18320956.455546424</v>
      </c>
      <c r="P3" s="412">
        <f t="shared" si="1"/>
        <v>16392165.765567489</v>
      </c>
      <c r="Q3" s="412">
        <f t="shared" si="1"/>
        <v>14245626.612562487</v>
      </c>
      <c r="R3" s="412">
        <f t="shared" si="1"/>
        <v>15658970.747374479</v>
      </c>
      <c r="S3" s="412">
        <f t="shared" si="1"/>
        <v>64617719.581050865</v>
      </c>
      <c r="T3" s="756">
        <f t="shared" si="1"/>
        <v>6932434.6299254559</v>
      </c>
      <c r="U3" s="756">
        <f t="shared" si="1"/>
        <v>4480557.2141289199</v>
      </c>
      <c r="V3" s="756">
        <f t="shared" si="1"/>
        <v>4519777.4548874479</v>
      </c>
      <c r="W3" s="756">
        <f t="shared" si="1"/>
        <v>4510625.1907387823</v>
      </c>
      <c r="X3" s="756">
        <f t="shared" si="1"/>
        <v>4545185.862600009</v>
      </c>
      <c r="Y3" s="756">
        <f t="shared" si="1"/>
        <v>5330349.6927945968</v>
      </c>
      <c r="Z3" s="756">
        <f t="shared" si="1"/>
        <v>4477575.66124574</v>
      </c>
      <c r="AA3" s="756">
        <f t="shared" si="1"/>
        <v>4513778.3924890198</v>
      </c>
      <c r="AB3" s="756">
        <f t="shared" si="1"/>
        <v>4478563.8668277264</v>
      </c>
      <c r="AC3" s="756">
        <f t="shared" si="1"/>
        <v>4537482.5909724627</v>
      </c>
      <c r="AD3" s="756">
        <f t="shared" si="1"/>
        <v>4525501.3205025773</v>
      </c>
      <c r="AE3" s="756">
        <f t="shared" si="1"/>
        <v>4537662.0382333323</v>
      </c>
      <c r="AF3" s="756">
        <f t="shared" ref="AF3:AV3" si="2">AF4+AF54</f>
        <v>15932769.298941823</v>
      </c>
      <c r="AG3" s="756">
        <f t="shared" si="2"/>
        <v>14386160.746133389</v>
      </c>
      <c r="AH3" s="756">
        <f t="shared" si="2"/>
        <v>13469917.920562487</v>
      </c>
      <c r="AI3" s="756">
        <f t="shared" si="2"/>
        <v>13600645.949708372</v>
      </c>
      <c r="AJ3" s="756">
        <f t="shared" si="2"/>
        <v>57389493.915346064</v>
      </c>
      <c r="AK3" s="335">
        <f t="shared" si="2"/>
        <v>151595.02197154131</v>
      </c>
      <c r="AL3" s="335">
        <f t="shared" si="2"/>
        <v>147899.09029687603</v>
      </c>
      <c r="AM3" s="335">
        <f t="shared" si="2"/>
        <v>152795.02197154131</v>
      </c>
      <c r="AN3" s="335">
        <f t="shared" si="2"/>
        <v>131883.38637332644</v>
      </c>
      <c r="AO3" s="335">
        <f t="shared" si="2"/>
        <v>113403.728</v>
      </c>
      <c r="AP3" s="335">
        <f t="shared" si="2"/>
        <v>114603.728</v>
      </c>
      <c r="AQ3" s="335">
        <f t="shared" si="2"/>
        <v>119074.628</v>
      </c>
      <c r="AR3" s="335">
        <f t="shared" si="2"/>
        <v>113403.728</v>
      </c>
      <c r="AS3" s="335">
        <f t="shared" si="2"/>
        <v>114603.728</v>
      </c>
      <c r="AT3" s="335">
        <f t="shared" si="2"/>
        <v>131883.38637332644</v>
      </c>
      <c r="AU3" s="335">
        <f t="shared" si="2"/>
        <v>150363.04474665289</v>
      </c>
      <c r="AV3" s="335">
        <f t="shared" si="2"/>
        <v>164607.14197154134</v>
      </c>
      <c r="AW3" s="335">
        <f t="shared" ref="AW3:BM3" si="3">AW4+AW54</f>
        <v>452289.13423995866</v>
      </c>
      <c r="AX3" s="335">
        <f t="shared" si="3"/>
        <v>359890.84237332642</v>
      </c>
      <c r="AY3" s="335">
        <f t="shared" si="3"/>
        <v>347082.08400000003</v>
      </c>
      <c r="AZ3" s="335">
        <f t="shared" si="3"/>
        <v>446853.57309152064</v>
      </c>
      <c r="BA3" s="335">
        <f t="shared" si="3"/>
        <v>1606115.6337048057</v>
      </c>
      <c r="BB3" s="335">
        <f t="shared" si="3"/>
        <v>712422.84539226524</v>
      </c>
      <c r="BC3" s="335">
        <f t="shared" si="3"/>
        <v>608206.13158011052</v>
      </c>
      <c r="BD3" s="335">
        <f t="shared" si="3"/>
        <v>615269.04539226519</v>
      </c>
      <c r="BE3" s="335">
        <f t="shared" si="3"/>
        <v>340113.10506077344</v>
      </c>
      <c r="BF3" s="335">
        <f t="shared" si="3"/>
        <v>142875.53599999999</v>
      </c>
      <c r="BG3" s="335">
        <f t="shared" si="3"/>
        <v>1163125.5360000001</v>
      </c>
      <c r="BH3" s="335">
        <f t="shared" si="3"/>
        <v>123444.776</v>
      </c>
      <c r="BI3" s="335">
        <f t="shared" si="3"/>
        <v>123444.776</v>
      </c>
      <c r="BJ3" s="335">
        <f t="shared" si="3"/>
        <v>181737.05600000001</v>
      </c>
      <c r="BK3" s="335">
        <f t="shared" si="3"/>
        <v>469651.50506077346</v>
      </c>
      <c r="BL3" s="335">
        <f t="shared" si="3"/>
        <v>602119.87412154698</v>
      </c>
      <c r="BM3" s="335">
        <f t="shared" si="3"/>
        <v>539699.84539226524</v>
      </c>
      <c r="BN3" s="335">
        <f>BN4+BN54</f>
        <v>1935898.0223646411</v>
      </c>
      <c r="BO3" s="335">
        <f>BO4+BO54</f>
        <v>1646114.1770607734</v>
      </c>
      <c r="BP3" s="335">
        <f>BP4+BP54</f>
        <v>428626.60800000001</v>
      </c>
      <c r="BQ3" s="335">
        <f>BQ4+BQ54</f>
        <v>1611471.2245745859</v>
      </c>
      <c r="BR3" s="335">
        <f>BR4+BR54</f>
        <v>5622110.0319999997</v>
      </c>
    </row>
    <row r="4" spans="1:70">
      <c r="A4" s="1026"/>
      <c r="B4" s="334" t="s">
        <v>938</v>
      </c>
      <c r="C4" s="336">
        <f t="shared" ref="C4:N4" si="4">SUM(C5,C6,C8,C32,C7)</f>
        <v>5406188.4972892627</v>
      </c>
      <c r="D4" s="336">
        <f t="shared" si="4"/>
        <v>5236662.4360059062</v>
      </c>
      <c r="E4" s="336">
        <f t="shared" si="4"/>
        <v>5287841.5222512539</v>
      </c>
      <c r="F4" s="336">
        <f t="shared" si="4"/>
        <v>4982621.6821728824</v>
      </c>
      <c r="G4" s="336">
        <f t="shared" si="4"/>
        <v>4801465.1266000085</v>
      </c>
      <c r="H4" s="336">
        <f t="shared" si="4"/>
        <v>4808078.9567945972</v>
      </c>
      <c r="I4" s="336">
        <f t="shared" si="4"/>
        <v>4720095.0652457401</v>
      </c>
      <c r="J4" s="336">
        <f t="shared" si="4"/>
        <v>4750626.8964890204</v>
      </c>
      <c r="K4" s="336">
        <f t="shared" si="4"/>
        <v>4774904.6508277263</v>
      </c>
      <c r="L4" s="336">
        <f t="shared" si="4"/>
        <v>5139017.4824065622</v>
      </c>
      <c r="M4" s="336">
        <f t="shared" si="4"/>
        <v>5277984.2393707763</v>
      </c>
      <c r="N4" s="336">
        <f t="shared" si="4"/>
        <v>5241969.0255971383</v>
      </c>
      <c r="O4" s="413">
        <f t="shared" ref="O4:AE4" si="5">SUM(O5,O6,O8,O32,O7)</f>
        <v>15930692.455546422</v>
      </c>
      <c r="P4" s="413">
        <f t="shared" si="5"/>
        <v>14592165.765567489</v>
      </c>
      <c r="Q4" s="413">
        <f t="shared" si="5"/>
        <v>14245626.612562487</v>
      </c>
      <c r="R4" s="413">
        <f t="shared" si="5"/>
        <v>15658970.747374479</v>
      </c>
      <c r="S4" s="413">
        <f t="shared" si="5"/>
        <v>60427455.581050865</v>
      </c>
      <c r="T4" s="757">
        <f t="shared" si="5"/>
        <v>4542170.6299254559</v>
      </c>
      <c r="U4" s="757">
        <f t="shared" si="5"/>
        <v>4480557.2141289199</v>
      </c>
      <c r="V4" s="757">
        <f t="shared" si="5"/>
        <v>4519777.4548874479</v>
      </c>
      <c r="W4" s="757">
        <f t="shared" si="5"/>
        <v>4510625.1907387823</v>
      </c>
      <c r="X4" s="757">
        <f t="shared" si="5"/>
        <v>4545185.862600009</v>
      </c>
      <c r="Y4" s="757">
        <f t="shared" si="5"/>
        <v>4550599.6927945968</v>
      </c>
      <c r="Z4" s="757">
        <f t="shared" si="5"/>
        <v>4477575.66124574</v>
      </c>
      <c r="AA4" s="757">
        <f t="shared" si="5"/>
        <v>4513778.3924890198</v>
      </c>
      <c r="AB4" s="757">
        <f t="shared" si="5"/>
        <v>4478563.8668277264</v>
      </c>
      <c r="AC4" s="757">
        <f t="shared" si="5"/>
        <v>4537482.5909724627</v>
      </c>
      <c r="AD4" s="757">
        <f t="shared" si="5"/>
        <v>4525501.3205025773</v>
      </c>
      <c r="AE4" s="757">
        <f t="shared" si="5"/>
        <v>4537662.0382333323</v>
      </c>
      <c r="AF4" s="757">
        <f t="shared" ref="AF4:AV4" si="6">SUM(AF5,AF6,AF8,AF32,AF7)</f>
        <v>13542505.298941823</v>
      </c>
      <c r="AG4" s="757">
        <f t="shared" si="6"/>
        <v>13606410.746133389</v>
      </c>
      <c r="AH4" s="757">
        <f t="shared" si="6"/>
        <v>13469917.920562487</v>
      </c>
      <c r="AI4" s="757">
        <f t="shared" si="6"/>
        <v>13600645.949708372</v>
      </c>
      <c r="AJ4" s="757">
        <f t="shared" si="6"/>
        <v>54219479.915346064</v>
      </c>
      <c r="AK4" s="336">
        <f t="shared" si="6"/>
        <v>151595.02197154131</v>
      </c>
      <c r="AL4" s="336">
        <f t="shared" si="6"/>
        <v>147899.09029687603</v>
      </c>
      <c r="AM4" s="336">
        <f t="shared" si="6"/>
        <v>152795.02197154131</v>
      </c>
      <c r="AN4" s="336">
        <f t="shared" si="6"/>
        <v>131883.38637332644</v>
      </c>
      <c r="AO4" s="336">
        <f t="shared" si="6"/>
        <v>113403.728</v>
      </c>
      <c r="AP4" s="336">
        <f t="shared" si="6"/>
        <v>114603.728</v>
      </c>
      <c r="AQ4" s="336">
        <f t="shared" si="6"/>
        <v>119074.628</v>
      </c>
      <c r="AR4" s="336">
        <f t="shared" si="6"/>
        <v>113403.728</v>
      </c>
      <c r="AS4" s="336">
        <f t="shared" si="6"/>
        <v>114603.728</v>
      </c>
      <c r="AT4" s="336">
        <f t="shared" si="6"/>
        <v>131883.38637332644</v>
      </c>
      <c r="AU4" s="336">
        <f t="shared" si="6"/>
        <v>150363.04474665289</v>
      </c>
      <c r="AV4" s="336">
        <f t="shared" si="6"/>
        <v>164607.14197154134</v>
      </c>
      <c r="AW4" s="336">
        <f t="shared" ref="AW4:BM4" si="7">SUM(AW5,AW6,AW8,AW32,AW7)</f>
        <v>452289.13423995866</v>
      </c>
      <c r="AX4" s="336">
        <f t="shared" si="7"/>
        <v>359890.84237332642</v>
      </c>
      <c r="AY4" s="336">
        <f t="shared" si="7"/>
        <v>347082.08400000003</v>
      </c>
      <c r="AZ4" s="336">
        <f t="shared" si="7"/>
        <v>446853.57309152064</v>
      </c>
      <c r="BA4" s="336">
        <f t="shared" si="7"/>
        <v>1606115.6337048057</v>
      </c>
      <c r="BB4" s="336">
        <f t="shared" si="7"/>
        <v>712422.84539226524</v>
      </c>
      <c r="BC4" s="336">
        <f t="shared" si="7"/>
        <v>608206.13158011052</v>
      </c>
      <c r="BD4" s="336">
        <f t="shared" si="7"/>
        <v>615269.04539226519</v>
      </c>
      <c r="BE4" s="336">
        <f t="shared" si="7"/>
        <v>340113.10506077344</v>
      </c>
      <c r="BF4" s="336">
        <f t="shared" si="7"/>
        <v>142875.53599999999</v>
      </c>
      <c r="BG4" s="336">
        <f t="shared" si="7"/>
        <v>142875.53599999999</v>
      </c>
      <c r="BH4" s="336">
        <f t="shared" si="7"/>
        <v>123444.776</v>
      </c>
      <c r="BI4" s="336">
        <f t="shared" si="7"/>
        <v>123444.776</v>
      </c>
      <c r="BJ4" s="336">
        <f t="shared" si="7"/>
        <v>181737.05600000001</v>
      </c>
      <c r="BK4" s="336">
        <f t="shared" si="7"/>
        <v>469651.50506077346</v>
      </c>
      <c r="BL4" s="336">
        <f t="shared" si="7"/>
        <v>602119.87412154698</v>
      </c>
      <c r="BM4" s="336">
        <f t="shared" si="7"/>
        <v>539699.84539226524</v>
      </c>
      <c r="BN4" s="336">
        <f>SUM(BN5,BN6,BN8,BN32,BN7)</f>
        <v>1935898.0223646411</v>
      </c>
      <c r="BO4" s="336">
        <f>SUM(BO5,BO6,BO8,BO32,BO7)</f>
        <v>625864.17706077336</v>
      </c>
      <c r="BP4" s="336">
        <f>SUM(BP5,BP6,BP8,BP32,BP7)</f>
        <v>428626.60800000001</v>
      </c>
      <c r="BQ4" s="336">
        <f>SUM(BQ5,BQ6,BQ8,BQ32,BQ7)</f>
        <v>1611471.2245745859</v>
      </c>
      <c r="BR4" s="336">
        <f>SUM(BR5,BR6,BR8,BR32,BR7)</f>
        <v>4601860.0319999997</v>
      </c>
    </row>
    <row r="5" spans="1:70">
      <c r="A5" s="1027"/>
      <c r="B5" s="337" t="s">
        <v>56</v>
      </c>
      <c r="C5" s="338">
        <f>T5+AK5+BB5</f>
        <v>3176697.2376438165</v>
      </c>
      <c r="D5" s="338">
        <f t="shared" ref="D5:N5" si="8">U5+AL5+BC5</f>
        <v>3130292.7984663276</v>
      </c>
      <c r="E5" s="338">
        <f t="shared" si="8"/>
        <v>3162440.5367929903</v>
      </c>
      <c r="F5" s="338">
        <f t="shared" si="8"/>
        <v>3154938.680933428</v>
      </c>
      <c r="G5" s="338">
        <f t="shared" si="8"/>
        <v>3183267.1004918106</v>
      </c>
      <c r="H5" s="338">
        <f t="shared" si="8"/>
        <v>3179507.9449136043</v>
      </c>
      <c r="I5" s="338">
        <f t="shared" si="8"/>
        <v>3127848.9026604425</v>
      </c>
      <c r="J5" s="338">
        <f t="shared" si="8"/>
        <v>3157523.2725319839</v>
      </c>
      <c r="K5" s="338">
        <f t="shared" si="8"/>
        <v>3128658.9072358408</v>
      </c>
      <c r="L5" s="338">
        <f t="shared" si="8"/>
        <v>3176952.9434200511</v>
      </c>
      <c r="M5" s="338">
        <f t="shared" si="8"/>
        <v>3167132.2299201451</v>
      </c>
      <c r="N5" s="338">
        <f t="shared" si="8"/>
        <v>3177100.031338797</v>
      </c>
      <c r="O5" s="414">
        <f>SUM(C5:E5)</f>
        <v>9469430.5729031339</v>
      </c>
      <c r="P5" s="414">
        <f>SUM(F5:H5)</f>
        <v>9517713.7263388429</v>
      </c>
      <c r="Q5" s="414">
        <f>SUM(I5:K5)</f>
        <v>9414031.0824282672</v>
      </c>
      <c r="R5" s="414">
        <f>SUM(L5:N5)</f>
        <v>9521185.2046789937</v>
      </c>
      <c r="S5" s="414">
        <f>O5+P5+Q5+R5</f>
        <v>37922360.586349234</v>
      </c>
      <c r="T5" s="403">
        <f ca="1">ФОП!C33</f>
        <v>3176697.2376438165</v>
      </c>
      <c r="U5" s="403">
        <f ca="1">ФОП!D33</f>
        <v>3130292.7984663276</v>
      </c>
      <c r="V5" s="403">
        <f ca="1">ФОП!E33</f>
        <v>3162440.5367929903</v>
      </c>
      <c r="W5" s="403">
        <f ca="1">ФОП!F33</f>
        <v>3154938.680933428</v>
      </c>
      <c r="X5" s="403">
        <f ca="1">ФОП!G33</f>
        <v>3183267.1004918106</v>
      </c>
      <c r="Y5" s="403">
        <f ca="1">ФОП!H33</f>
        <v>3179507.9449136043</v>
      </c>
      <c r="Z5" s="403">
        <f ca="1">ФОП!I33</f>
        <v>3127848.9026604425</v>
      </c>
      <c r="AA5" s="403">
        <f ca="1">ФОП!J33</f>
        <v>3157523.2725319839</v>
      </c>
      <c r="AB5" s="403">
        <f ca="1">ФОП!K33</f>
        <v>3128658.9072358408</v>
      </c>
      <c r="AC5" s="403">
        <f ca="1">ФОП!L33</f>
        <v>3176952.9434200511</v>
      </c>
      <c r="AD5" s="403">
        <f ca="1">ФОП!M33</f>
        <v>3167132.2299201451</v>
      </c>
      <c r="AE5" s="403">
        <f ca="1">ФОП!N33</f>
        <v>3177100.031338797</v>
      </c>
      <c r="AF5" s="404">
        <f>SUM(T5:V5)</f>
        <v>9469430.5729031339</v>
      </c>
      <c r="AG5" s="404">
        <f>SUM(W5:Y5)</f>
        <v>9517713.7263388429</v>
      </c>
      <c r="AH5" s="404">
        <f>SUM(Z5:AB5)</f>
        <v>9414031.0824282672</v>
      </c>
      <c r="AI5" s="404">
        <f>SUM(AC5:AE5)</f>
        <v>9521185.2046789937</v>
      </c>
      <c r="AJ5" s="404">
        <f>AF5+AG5+AH5+AI5</f>
        <v>37922360.586349234</v>
      </c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>
        <f>SUM(AK5:AM5)</f>
        <v>0</v>
      </c>
      <c r="AX5" s="339">
        <f>SUM(AN5:AP5)</f>
        <v>0</v>
      </c>
      <c r="AY5" s="339">
        <f>SUM(AQ5:AS5)</f>
        <v>0</v>
      </c>
      <c r="AZ5" s="339">
        <f>SUM(AT5:AV5)</f>
        <v>0</v>
      </c>
      <c r="BA5" s="339">
        <f>AW5+AX5+AY5+AZ5</f>
        <v>0</v>
      </c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9">
        <f>SUM(BB5:BD5)</f>
        <v>0</v>
      </c>
      <c r="BO5" s="339">
        <f>SUM(BE5:BG5)</f>
        <v>0</v>
      </c>
      <c r="BP5" s="339">
        <f>SUM(BH5:BJ5)</f>
        <v>0</v>
      </c>
      <c r="BQ5" s="339">
        <f>SUM(BK5:BM5)</f>
        <v>0</v>
      </c>
      <c r="BR5" s="339">
        <f>BN5+BO5+BP5+BQ5</f>
        <v>0</v>
      </c>
    </row>
    <row r="6" spans="1:70">
      <c r="A6" s="1027"/>
      <c r="B6" s="337" t="s">
        <v>57</v>
      </c>
      <c r="C6" s="338">
        <f>T6+AK6+BB6</f>
        <v>698873.39228163962</v>
      </c>
      <c r="D6" s="338">
        <f t="shared" ref="D6:N7" si="9">U6+AL6+BC6</f>
        <v>688664.41566259204</v>
      </c>
      <c r="E6" s="338">
        <f t="shared" si="9"/>
        <v>695736.91809445783</v>
      </c>
      <c r="F6" s="338">
        <f t="shared" si="9"/>
        <v>694086.50980535417</v>
      </c>
      <c r="G6" s="338">
        <f t="shared" si="9"/>
        <v>700318.76210819837</v>
      </c>
      <c r="H6" s="338">
        <f t="shared" si="9"/>
        <v>699491.74788099295</v>
      </c>
      <c r="I6" s="338">
        <f t="shared" si="9"/>
        <v>688126.75858529739</v>
      </c>
      <c r="J6" s="338">
        <f t="shared" si="9"/>
        <v>694655.11995703646</v>
      </c>
      <c r="K6" s="338">
        <f t="shared" si="9"/>
        <v>688304.95959188498</v>
      </c>
      <c r="L6" s="338">
        <f t="shared" si="9"/>
        <v>698929.6475524113</v>
      </c>
      <c r="M6" s="338">
        <f t="shared" si="9"/>
        <v>696769.09058243188</v>
      </c>
      <c r="N6" s="338">
        <f t="shared" si="9"/>
        <v>698962.00689453539</v>
      </c>
      <c r="O6" s="414">
        <f>SUM(C6:E6)</f>
        <v>2083274.7260386895</v>
      </c>
      <c r="P6" s="414">
        <f>SUM(F6:H6)</f>
        <v>2093897.0197945456</v>
      </c>
      <c r="Q6" s="414">
        <f>SUM(I6:K6)</f>
        <v>2071086.8381342189</v>
      </c>
      <c r="R6" s="414">
        <f>SUM(L6:N6)</f>
        <v>2094660.7450293787</v>
      </c>
      <c r="S6" s="414">
        <f>O6+P6+Q6+R6</f>
        <v>8342919.3289968325</v>
      </c>
      <c r="T6" s="403">
        <f ca="1">ФОП!C34</f>
        <v>698873.39228163962</v>
      </c>
      <c r="U6" s="403">
        <f ca="1">ФОП!D34</f>
        <v>688664.41566259204</v>
      </c>
      <c r="V6" s="403">
        <f ca="1">ФОП!E34</f>
        <v>695736.91809445783</v>
      </c>
      <c r="W6" s="403">
        <f ca="1">ФОП!F34</f>
        <v>694086.50980535417</v>
      </c>
      <c r="X6" s="403">
        <f ca="1">ФОП!G34</f>
        <v>700318.76210819837</v>
      </c>
      <c r="Y6" s="403">
        <f ca="1">ФОП!H34</f>
        <v>699491.74788099295</v>
      </c>
      <c r="Z6" s="403">
        <f ca="1">ФОП!I34</f>
        <v>688126.75858529739</v>
      </c>
      <c r="AA6" s="403">
        <f ca="1">ФОП!J34</f>
        <v>694655.11995703646</v>
      </c>
      <c r="AB6" s="403">
        <f ca="1">ФОП!K34</f>
        <v>688304.95959188498</v>
      </c>
      <c r="AC6" s="403">
        <f ca="1">ФОП!L34</f>
        <v>698929.6475524113</v>
      </c>
      <c r="AD6" s="403">
        <f ca="1">ФОП!M34</f>
        <v>696769.09058243188</v>
      </c>
      <c r="AE6" s="403">
        <f ca="1">ФОП!N34</f>
        <v>698962.00689453539</v>
      </c>
      <c r="AF6" s="404">
        <f>SUM(T6:V6)</f>
        <v>2083274.7260386895</v>
      </c>
      <c r="AG6" s="404">
        <f>SUM(W6:Y6)</f>
        <v>2093897.0197945456</v>
      </c>
      <c r="AH6" s="404">
        <f>SUM(Z6:AB6)</f>
        <v>2071086.8381342189</v>
      </c>
      <c r="AI6" s="404">
        <f>SUM(AC6:AE6)</f>
        <v>2094660.7450293787</v>
      </c>
      <c r="AJ6" s="404">
        <f>AF6+AG6+AH6+AI6</f>
        <v>8342919.3289968325</v>
      </c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9">
        <f>SUM(AK6:AM6)</f>
        <v>0</v>
      </c>
      <c r="AX6" s="339">
        <f>SUM(AN6:AP6)</f>
        <v>0</v>
      </c>
      <c r="AY6" s="339">
        <f>SUM(AQ6:AS6)</f>
        <v>0</v>
      </c>
      <c r="AZ6" s="339">
        <f>SUM(AT6:AV6)</f>
        <v>0</v>
      </c>
      <c r="BA6" s="339">
        <f>AW6+AX6+AY6+AZ6</f>
        <v>0</v>
      </c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9">
        <f>SUM(BB6:BD6)</f>
        <v>0</v>
      </c>
      <c r="BO6" s="339">
        <f>SUM(BE6:BG6)</f>
        <v>0</v>
      </c>
      <c r="BP6" s="339">
        <f>SUM(BH6:BJ6)</f>
        <v>0</v>
      </c>
      <c r="BQ6" s="339">
        <f>SUM(BK6:BM6)</f>
        <v>0</v>
      </c>
      <c r="BR6" s="339">
        <f>BN6+BO6+BP6+BQ6</f>
        <v>0</v>
      </c>
    </row>
    <row r="7" spans="1:70">
      <c r="A7" s="1027"/>
      <c r="B7" s="340" t="s">
        <v>65</v>
      </c>
      <c r="C7" s="338">
        <f>T7+AK7+BB7</f>
        <v>5000</v>
      </c>
      <c r="D7" s="338">
        <f t="shared" si="9"/>
        <v>5000</v>
      </c>
      <c r="E7" s="338">
        <f t="shared" si="9"/>
        <v>5000</v>
      </c>
      <c r="F7" s="338">
        <f t="shared" si="9"/>
        <v>5000</v>
      </c>
      <c r="G7" s="338">
        <f t="shared" si="9"/>
        <v>5000</v>
      </c>
      <c r="H7" s="338">
        <f t="shared" si="9"/>
        <v>5000</v>
      </c>
      <c r="I7" s="338">
        <f t="shared" si="9"/>
        <v>5000</v>
      </c>
      <c r="J7" s="338">
        <f t="shared" si="9"/>
        <v>5000</v>
      </c>
      <c r="K7" s="338">
        <f t="shared" si="9"/>
        <v>5000</v>
      </c>
      <c r="L7" s="338">
        <f t="shared" si="9"/>
        <v>5000</v>
      </c>
      <c r="M7" s="338">
        <f t="shared" si="9"/>
        <v>5000</v>
      </c>
      <c r="N7" s="338">
        <f t="shared" si="9"/>
        <v>5000</v>
      </c>
      <c r="O7" s="414">
        <f>SUM(C7:E7)</f>
        <v>15000</v>
      </c>
      <c r="P7" s="414">
        <f>SUM(F7:H7)</f>
        <v>15000</v>
      </c>
      <c r="Q7" s="414">
        <f>SUM(I7:K7)</f>
        <v>15000</v>
      </c>
      <c r="R7" s="414">
        <f>SUM(L7:N7)</f>
        <v>15000</v>
      </c>
      <c r="S7" s="414">
        <f>O7+P7+Q7+R7</f>
        <v>60000</v>
      </c>
      <c r="T7" s="338">
        <f>5000</f>
        <v>5000</v>
      </c>
      <c r="U7" s="338">
        <f t="shared" ref="U7:AE7" si="10">T7</f>
        <v>5000</v>
      </c>
      <c r="V7" s="338">
        <f t="shared" si="10"/>
        <v>5000</v>
      </c>
      <c r="W7" s="338">
        <f t="shared" si="10"/>
        <v>5000</v>
      </c>
      <c r="X7" s="338">
        <f t="shared" si="10"/>
        <v>5000</v>
      </c>
      <c r="Y7" s="338">
        <f t="shared" si="10"/>
        <v>5000</v>
      </c>
      <c r="Z7" s="338">
        <f t="shared" si="10"/>
        <v>5000</v>
      </c>
      <c r="AA7" s="338">
        <f t="shared" si="10"/>
        <v>5000</v>
      </c>
      <c r="AB7" s="338">
        <f t="shared" si="10"/>
        <v>5000</v>
      </c>
      <c r="AC7" s="338">
        <f t="shared" si="10"/>
        <v>5000</v>
      </c>
      <c r="AD7" s="338">
        <f t="shared" si="10"/>
        <v>5000</v>
      </c>
      <c r="AE7" s="338">
        <f t="shared" si="10"/>
        <v>5000</v>
      </c>
      <c r="AF7" s="339">
        <f>SUM(T7:V7)</f>
        <v>15000</v>
      </c>
      <c r="AG7" s="339">
        <f>SUM(W7:Y7)</f>
        <v>15000</v>
      </c>
      <c r="AH7" s="339">
        <f>SUM(Z7:AB7)</f>
        <v>15000</v>
      </c>
      <c r="AI7" s="339">
        <f>SUM(AC7:AE7)</f>
        <v>15000</v>
      </c>
      <c r="AJ7" s="339">
        <f>AF7+AG7+AH7+AI7</f>
        <v>60000</v>
      </c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9">
        <f>SUM(AK7:AM7)</f>
        <v>0</v>
      </c>
      <c r="AX7" s="339">
        <f>SUM(AN7:AP7)</f>
        <v>0</v>
      </c>
      <c r="AY7" s="339">
        <f>SUM(AQ7:AS7)</f>
        <v>0</v>
      </c>
      <c r="AZ7" s="339">
        <f>SUM(AT7:AV7)</f>
        <v>0</v>
      </c>
      <c r="BA7" s="339">
        <f>AW7+AX7+AY7+AZ7</f>
        <v>0</v>
      </c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9">
        <f>SUM(BB7:BD7)</f>
        <v>0</v>
      </c>
      <c r="BO7" s="339">
        <f>SUM(BE7:BG7)</f>
        <v>0</v>
      </c>
      <c r="BP7" s="339">
        <f>SUM(BH7:BJ7)</f>
        <v>0</v>
      </c>
      <c r="BQ7" s="339">
        <f>SUM(BK7:BM7)</f>
        <v>0</v>
      </c>
      <c r="BR7" s="339">
        <f>BN7+BO7+BP7+BQ7</f>
        <v>0</v>
      </c>
    </row>
    <row r="8" spans="1:70">
      <c r="A8" s="1026"/>
      <c r="B8" s="341" t="s">
        <v>895</v>
      </c>
      <c r="C8" s="336">
        <f>SUM(C9,C18,C17,C19,C20,C21,C22,C23,C16,C24,C31)</f>
        <v>1391517.8673638066</v>
      </c>
      <c r="D8" s="336">
        <f t="shared" ref="D8:N8" si="11">SUM(D9,D18,D17,D19,D20,D21,D22,D23,D16,D24,D31)</f>
        <v>1283605.2218769866</v>
      </c>
      <c r="E8" s="336">
        <f t="shared" si="11"/>
        <v>1295564.0673638065</v>
      </c>
      <c r="F8" s="336">
        <f t="shared" si="11"/>
        <v>999496.49143409985</v>
      </c>
      <c r="G8" s="336">
        <f t="shared" si="11"/>
        <v>783779.26399999997</v>
      </c>
      <c r="H8" s="336">
        <f t="shared" si="11"/>
        <v>784979.26399999997</v>
      </c>
      <c r="I8" s="336">
        <f t="shared" si="11"/>
        <v>764348.50399999996</v>
      </c>
      <c r="J8" s="336">
        <f t="shared" si="11"/>
        <v>764348.50399999996</v>
      </c>
      <c r="K8" s="336">
        <f t="shared" si="11"/>
        <v>823840.78399999999</v>
      </c>
      <c r="L8" s="336">
        <f t="shared" si="11"/>
        <v>1129034.8914341</v>
      </c>
      <c r="M8" s="336">
        <f t="shared" si="11"/>
        <v>1279982.9188681999</v>
      </c>
      <c r="N8" s="336">
        <f t="shared" si="11"/>
        <v>1231806.9873638065</v>
      </c>
      <c r="O8" s="413">
        <f t="shared" ref="O8:T8" si="12">SUM(O9,O18,O17,O19,O20,O21,O22,O23,O16,O24,O31)</f>
        <v>3970687.1566045997</v>
      </c>
      <c r="P8" s="413">
        <f t="shared" si="12"/>
        <v>2568255.0194341</v>
      </c>
      <c r="Q8" s="413">
        <f t="shared" si="12"/>
        <v>2352537.7919999999</v>
      </c>
      <c r="R8" s="413">
        <f t="shared" si="12"/>
        <v>3640824.7976661064</v>
      </c>
      <c r="S8" s="413">
        <f t="shared" si="12"/>
        <v>12532304.765704805</v>
      </c>
      <c r="T8" s="336">
        <f t="shared" si="12"/>
        <v>574500</v>
      </c>
      <c r="U8" s="336">
        <f t="shared" ref="U8:AJ8" si="13">SUM(U9,U18,U17,U19,U20,U21,U22,U23,U16,U24,U31)</f>
        <v>574500</v>
      </c>
      <c r="V8" s="336">
        <f t="shared" si="13"/>
        <v>574500</v>
      </c>
      <c r="W8" s="336">
        <f t="shared" si="13"/>
        <v>574500</v>
      </c>
      <c r="X8" s="336">
        <f t="shared" si="13"/>
        <v>574500</v>
      </c>
      <c r="Y8" s="336">
        <f t="shared" si="13"/>
        <v>574500</v>
      </c>
      <c r="Z8" s="336">
        <f t="shared" si="13"/>
        <v>574500</v>
      </c>
      <c r="AA8" s="336">
        <f t="shared" si="13"/>
        <v>574500</v>
      </c>
      <c r="AB8" s="336">
        <f t="shared" si="13"/>
        <v>574500</v>
      </c>
      <c r="AC8" s="336">
        <f t="shared" si="13"/>
        <v>574500</v>
      </c>
      <c r="AD8" s="336">
        <f t="shared" si="13"/>
        <v>574500</v>
      </c>
      <c r="AE8" s="336">
        <f t="shared" si="13"/>
        <v>574500</v>
      </c>
      <c r="AF8" s="336">
        <f t="shared" si="13"/>
        <v>1723500</v>
      </c>
      <c r="AG8" s="336">
        <f t="shared" si="13"/>
        <v>1723500</v>
      </c>
      <c r="AH8" s="336">
        <f t="shared" si="13"/>
        <v>1723500</v>
      </c>
      <c r="AI8" s="336">
        <f t="shared" si="13"/>
        <v>1723500</v>
      </c>
      <c r="AJ8" s="336">
        <f t="shared" si="13"/>
        <v>6894000</v>
      </c>
      <c r="AK8" s="336">
        <f>SUM(AK9,AK18,AK17,AK19,AK20,AK21,AK22,AK23,AK16,AK24,AK31)</f>
        <v>104595.02197154131</v>
      </c>
      <c r="AL8" s="336">
        <f t="shared" ref="AL8:BA8" si="14">SUM(AL9,AL18,AL17,AL19,AL20,AL21,AL22,AL23,AL16,AL24,AL31)</f>
        <v>100899.09029687602</v>
      </c>
      <c r="AM8" s="336">
        <f t="shared" si="14"/>
        <v>105795.02197154131</v>
      </c>
      <c r="AN8" s="336">
        <f t="shared" si="14"/>
        <v>84883.386373326444</v>
      </c>
      <c r="AO8" s="336">
        <f t="shared" si="14"/>
        <v>66403.728000000003</v>
      </c>
      <c r="AP8" s="336">
        <f t="shared" si="14"/>
        <v>67603.728000000003</v>
      </c>
      <c r="AQ8" s="336">
        <f t="shared" si="14"/>
        <v>66403.728000000003</v>
      </c>
      <c r="AR8" s="336">
        <f t="shared" si="14"/>
        <v>66403.728000000003</v>
      </c>
      <c r="AS8" s="336">
        <f t="shared" si="14"/>
        <v>67603.728000000003</v>
      </c>
      <c r="AT8" s="336">
        <f t="shared" si="14"/>
        <v>84883.386373326444</v>
      </c>
      <c r="AU8" s="336">
        <f t="shared" si="14"/>
        <v>103363.04474665289</v>
      </c>
      <c r="AV8" s="336">
        <f t="shared" si="14"/>
        <v>117607.14197154132</v>
      </c>
      <c r="AW8" s="336">
        <f t="shared" si="14"/>
        <v>311289.13423995866</v>
      </c>
      <c r="AX8" s="336">
        <f t="shared" si="14"/>
        <v>218890.84237332645</v>
      </c>
      <c r="AY8" s="336">
        <f t="shared" si="14"/>
        <v>200411.18400000001</v>
      </c>
      <c r="AZ8" s="336">
        <f t="shared" si="14"/>
        <v>305853.57309152064</v>
      </c>
      <c r="BA8" s="336">
        <f t="shared" si="14"/>
        <v>1036444.7337048057</v>
      </c>
      <c r="BB8" s="336">
        <f>SUM(BB9,BB18,BB17,BB19,BB20,BB21,BB22,BB23,BB16,BB24,BB31)</f>
        <v>712422.84539226524</v>
      </c>
      <c r="BC8" s="336">
        <f t="shared" ref="BC8:BM8" si="15">SUM(BC9,BC18,BC17,BC19,BC20,BC21,BC22,BC23,BC16,BC24,BC31)</f>
        <v>608206.13158011052</v>
      </c>
      <c r="BD8" s="336">
        <f t="shared" si="15"/>
        <v>615269.04539226519</v>
      </c>
      <c r="BE8" s="336">
        <f t="shared" si="15"/>
        <v>340113.10506077344</v>
      </c>
      <c r="BF8" s="336">
        <f t="shared" si="15"/>
        <v>142875.53599999999</v>
      </c>
      <c r="BG8" s="336">
        <f t="shared" si="15"/>
        <v>142875.53599999999</v>
      </c>
      <c r="BH8" s="336">
        <f t="shared" si="15"/>
        <v>123444.776</v>
      </c>
      <c r="BI8" s="336">
        <f t="shared" si="15"/>
        <v>123444.776</v>
      </c>
      <c r="BJ8" s="336">
        <f t="shared" si="15"/>
        <v>181737.05600000001</v>
      </c>
      <c r="BK8" s="336">
        <f t="shared" si="15"/>
        <v>469651.50506077346</v>
      </c>
      <c r="BL8" s="336">
        <f t="shared" si="15"/>
        <v>602119.87412154698</v>
      </c>
      <c r="BM8" s="336">
        <f t="shared" si="15"/>
        <v>539699.84539226524</v>
      </c>
      <c r="BN8" s="336">
        <f>SUM(BN9,BN18,BN17,BN19,BN20,BN21,BN22,BN23,BN16,BN24,BN31)</f>
        <v>1935898.0223646411</v>
      </c>
      <c r="BO8" s="336">
        <f>SUM(BO9,BO18,BO17,BO19,BO20,BO21,BO22,BO23,BO16,BO24,BO31)</f>
        <v>625864.17706077336</v>
      </c>
      <c r="BP8" s="336">
        <f>SUM(BP9,BP18,BP17,BP19,BP20,BP21,BP22,BP23,BP16,BP24,BP31)</f>
        <v>428626.60800000001</v>
      </c>
      <c r="BQ8" s="336">
        <f>SUM(BQ9,BQ18,BQ17,BQ19,BQ20,BQ21,BQ22,BQ23,BQ16,BQ24,BQ31)</f>
        <v>1611471.2245745859</v>
      </c>
      <c r="BR8" s="336">
        <f>SUM(BR9,BR18,BR17,BR19,BR20,BR21,BR22,BR23,BR16,BR24,BR31)</f>
        <v>4601860.0319999997</v>
      </c>
    </row>
    <row r="9" spans="1:70">
      <c r="A9" s="1026"/>
      <c r="B9" s="342" t="s">
        <v>58</v>
      </c>
      <c r="C9" s="336">
        <f>SUM(C10:C15)</f>
        <v>402500</v>
      </c>
      <c r="D9" s="336">
        <f t="shared" ref="D9:M9" si="16">SUM(D10:D15)</f>
        <v>402500</v>
      </c>
      <c r="E9" s="336">
        <f t="shared" si="16"/>
        <v>402500</v>
      </c>
      <c r="F9" s="336">
        <f t="shared" si="16"/>
        <v>402500</v>
      </c>
      <c r="G9" s="336">
        <f t="shared" si="16"/>
        <v>402500</v>
      </c>
      <c r="H9" s="336">
        <f t="shared" si="16"/>
        <v>402500</v>
      </c>
      <c r="I9" s="336">
        <f t="shared" si="16"/>
        <v>402500</v>
      </c>
      <c r="J9" s="336">
        <f t="shared" si="16"/>
        <v>402500</v>
      </c>
      <c r="K9" s="336">
        <f t="shared" si="16"/>
        <v>402500</v>
      </c>
      <c r="L9" s="336">
        <f t="shared" si="16"/>
        <v>402500</v>
      </c>
      <c r="M9" s="336">
        <f t="shared" si="16"/>
        <v>402500</v>
      </c>
      <c r="N9" s="336">
        <f t="shared" ref="N9:T9" si="17">SUM(N10:N15)</f>
        <v>402500</v>
      </c>
      <c r="O9" s="413">
        <f t="shared" si="17"/>
        <v>1207500</v>
      </c>
      <c r="P9" s="413">
        <f t="shared" si="17"/>
        <v>1207500</v>
      </c>
      <c r="Q9" s="413">
        <f t="shared" si="17"/>
        <v>1207500</v>
      </c>
      <c r="R9" s="413">
        <f t="shared" si="17"/>
        <v>1207500</v>
      </c>
      <c r="S9" s="413">
        <f t="shared" si="17"/>
        <v>4830000</v>
      </c>
      <c r="T9" s="336">
        <f t="shared" si="17"/>
        <v>352500</v>
      </c>
      <c r="U9" s="336">
        <f t="shared" ref="U9:AD9" si="18">SUM(U10:U15)</f>
        <v>352500</v>
      </c>
      <c r="V9" s="336">
        <f t="shared" si="18"/>
        <v>352500</v>
      </c>
      <c r="W9" s="336">
        <f t="shared" si="18"/>
        <v>352500</v>
      </c>
      <c r="X9" s="336">
        <f t="shared" si="18"/>
        <v>352500</v>
      </c>
      <c r="Y9" s="336">
        <f t="shared" si="18"/>
        <v>352500</v>
      </c>
      <c r="Z9" s="336">
        <f t="shared" si="18"/>
        <v>352500</v>
      </c>
      <c r="AA9" s="336">
        <f t="shared" si="18"/>
        <v>352500</v>
      </c>
      <c r="AB9" s="336">
        <f t="shared" si="18"/>
        <v>352500</v>
      </c>
      <c r="AC9" s="336">
        <f t="shared" si="18"/>
        <v>352500</v>
      </c>
      <c r="AD9" s="336">
        <f t="shared" si="18"/>
        <v>352500</v>
      </c>
      <c r="AE9" s="336">
        <f t="shared" ref="AE9:AK9" si="19">SUM(AE10:AE15)</f>
        <v>352500</v>
      </c>
      <c r="AF9" s="336">
        <f t="shared" si="19"/>
        <v>1057500</v>
      </c>
      <c r="AG9" s="336">
        <f t="shared" si="19"/>
        <v>1057500</v>
      </c>
      <c r="AH9" s="336">
        <f t="shared" si="19"/>
        <v>1057500</v>
      </c>
      <c r="AI9" s="336">
        <f t="shared" si="19"/>
        <v>1057500</v>
      </c>
      <c r="AJ9" s="336">
        <f t="shared" si="19"/>
        <v>4230000</v>
      </c>
      <c r="AK9" s="336">
        <f t="shared" si="19"/>
        <v>50000</v>
      </c>
      <c r="AL9" s="336">
        <f t="shared" ref="AL9:AU9" si="20">SUM(AL10:AL15)</f>
        <v>50000</v>
      </c>
      <c r="AM9" s="336">
        <f t="shared" si="20"/>
        <v>50000</v>
      </c>
      <c r="AN9" s="336">
        <f t="shared" si="20"/>
        <v>50000</v>
      </c>
      <c r="AO9" s="336">
        <f t="shared" si="20"/>
        <v>50000</v>
      </c>
      <c r="AP9" s="336">
        <f t="shared" si="20"/>
        <v>50000</v>
      </c>
      <c r="AQ9" s="336">
        <f t="shared" si="20"/>
        <v>50000</v>
      </c>
      <c r="AR9" s="336">
        <f t="shared" si="20"/>
        <v>50000</v>
      </c>
      <c r="AS9" s="336">
        <f t="shared" si="20"/>
        <v>50000</v>
      </c>
      <c r="AT9" s="336">
        <f t="shared" si="20"/>
        <v>50000</v>
      </c>
      <c r="AU9" s="336">
        <f t="shared" si="20"/>
        <v>50000</v>
      </c>
      <c r="AV9" s="336">
        <f t="shared" ref="AV9:BB9" si="21">SUM(AV10:AV15)</f>
        <v>50000</v>
      </c>
      <c r="AW9" s="336">
        <f t="shared" si="21"/>
        <v>150000</v>
      </c>
      <c r="AX9" s="336">
        <f t="shared" si="21"/>
        <v>150000</v>
      </c>
      <c r="AY9" s="336">
        <f t="shared" si="21"/>
        <v>150000</v>
      </c>
      <c r="AZ9" s="336">
        <f t="shared" si="21"/>
        <v>150000</v>
      </c>
      <c r="BA9" s="336">
        <f t="shared" si="21"/>
        <v>600000</v>
      </c>
      <c r="BB9" s="336">
        <f t="shared" si="21"/>
        <v>0</v>
      </c>
      <c r="BC9" s="336">
        <f t="shared" ref="BC9:BL9" si="22">SUM(BC10:BC15)</f>
        <v>0</v>
      </c>
      <c r="BD9" s="336">
        <f t="shared" si="22"/>
        <v>0</v>
      </c>
      <c r="BE9" s="336">
        <f t="shared" si="22"/>
        <v>0</v>
      </c>
      <c r="BF9" s="336">
        <f t="shared" si="22"/>
        <v>0</v>
      </c>
      <c r="BG9" s="336">
        <f t="shared" si="22"/>
        <v>0</v>
      </c>
      <c r="BH9" s="336">
        <f t="shared" si="22"/>
        <v>0</v>
      </c>
      <c r="BI9" s="336">
        <f t="shared" si="22"/>
        <v>0</v>
      </c>
      <c r="BJ9" s="336">
        <f t="shared" si="22"/>
        <v>0</v>
      </c>
      <c r="BK9" s="336">
        <f t="shared" si="22"/>
        <v>0</v>
      </c>
      <c r="BL9" s="336">
        <f t="shared" si="22"/>
        <v>0</v>
      </c>
      <c r="BM9" s="336">
        <f t="shared" ref="BM9:BR9" si="23">SUM(BM10:BM15)</f>
        <v>0</v>
      </c>
      <c r="BN9" s="336">
        <f t="shared" si="23"/>
        <v>0</v>
      </c>
      <c r="BO9" s="336">
        <f t="shared" si="23"/>
        <v>0</v>
      </c>
      <c r="BP9" s="336">
        <f t="shared" si="23"/>
        <v>0</v>
      </c>
      <c r="BQ9" s="336">
        <f t="shared" si="23"/>
        <v>0</v>
      </c>
      <c r="BR9" s="336">
        <f t="shared" si="23"/>
        <v>0</v>
      </c>
    </row>
    <row r="10" spans="1:70">
      <c r="A10" s="1027"/>
      <c r="B10" s="343" t="s">
        <v>896</v>
      </c>
      <c r="C10" s="338">
        <f t="shared" ref="C10:N12" si="24">T10+AK10+BB10</f>
        <v>270000</v>
      </c>
      <c r="D10" s="338">
        <f t="shared" si="24"/>
        <v>270000</v>
      </c>
      <c r="E10" s="338">
        <f t="shared" si="24"/>
        <v>270000</v>
      </c>
      <c r="F10" s="338">
        <f t="shared" si="24"/>
        <v>270000</v>
      </c>
      <c r="G10" s="338">
        <f t="shared" si="24"/>
        <v>270000</v>
      </c>
      <c r="H10" s="338">
        <f t="shared" si="24"/>
        <v>270000</v>
      </c>
      <c r="I10" s="338">
        <f t="shared" si="24"/>
        <v>270000</v>
      </c>
      <c r="J10" s="338">
        <f t="shared" si="24"/>
        <v>270000</v>
      </c>
      <c r="K10" s="338">
        <f t="shared" si="24"/>
        <v>270000</v>
      </c>
      <c r="L10" s="338">
        <f t="shared" si="24"/>
        <v>270000</v>
      </c>
      <c r="M10" s="338">
        <f t="shared" si="24"/>
        <v>270000</v>
      </c>
      <c r="N10" s="338">
        <f t="shared" si="24"/>
        <v>270000</v>
      </c>
      <c r="O10" s="414">
        <f>SUM(C10:E10)</f>
        <v>810000</v>
      </c>
      <c r="P10" s="414">
        <f>SUM(F10:H10)</f>
        <v>810000</v>
      </c>
      <c r="Q10" s="414">
        <f>SUM(I10:K10)</f>
        <v>810000</v>
      </c>
      <c r="R10" s="414">
        <f>SUM(L10:N10)</f>
        <v>810000</v>
      </c>
      <c r="S10" s="414">
        <f>O10+P10+Q10+R10</f>
        <v>3240000</v>
      </c>
      <c r="T10" s="338">
        <f>50000+200000</f>
        <v>250000</v>
      </c>
      <c r="U10" s="338">
        <f t="shared" ref="U10:AE10" si="25">T10</f>
        <v>250000</v>
      </c>
      <c r="V10" s="338">
        <f t="shared" si="25"/>
        <v>250000</v>
      </c>
      <c r="W10" s="338">
        <f t="shared" si="25"/>
        <v>250000</v>
      </c>
      <c r="X10" s="338">
        <f t="shared" si="25"/>
        <v>250000</v>
      </c>
      <c r="Y10" s="338">
        <f t="shared" si="25"/>
        <v>250000</v>
      </c>
      <c r="Z10" s="338">
        <f t="shared" si="25"/>
        <v>250000</v>
      </c>
      <c r="AA10" s="338">
        <f t="shared" si="25"/>
        <v>250000</v>
      </c>
      <c r="AB10" s="338">
        <f t="shared" si="25"/>
        <v>250000</v>
      </c>
      <c r="AC10" s="338">
        <f t="shared" si="25"/>
        <v>250000</v>
      </c>
      <c r="AD10" s="338">
        <f t="shared" si="25"/>
        <v>250000</v>
      </c>
      <c r="AE10" s="338">
        <f t="shared" si="25"/>
        <v>250000</v>
      </c>
      <c r="AF10" s="339">
        <f>SUM(T10:V10)</f>
        <v>750000</v>
      </c>
      <c r="AG10" s="339">
        <f>SUM(W10:Y10)</f>
        <v>750000</v>
      </c>
      <c r="AH10" s="339">
        <f>SUM(Z10:AB10)</f>
        <v>750000</v>
      </c>
      <c r="AI10" s="339">
        <f>SUM(AC10:AE10)</f>
        <v>750000</v>
      </c>
      <c r="AJ10" s="339">
        <f>AF10+AG10+AH10+AI10</f>
        <v>3000000</v>
      </c>
      <c r="AK10" s="338">
        <v>20000</v>
      </c>
      <c r="AL10" s="338">
        <f t="shared" ref="AL10:AV10" si="26">AK10</f>
        <v>20000</v>
      </c>
      <c r="AM10" s="338">
        <f t="shared" si="26"/>
        <v>20000</v>
      </c>
      <c r="AN10" s="338">
        <f t="shared" si="26"/>
        <v>20000</v>
      </c>
      <c r="AO10" s="338">
        <f t="shared" si="26"/>
        <v>20000</v>
      </c>
      <c r="AP10" s="338">
        <f t="shared" si="26"/>
        <v>20000</v>
      </c>
      <c r="AQ10" s="338">
        <f t="shared" si="26"/>
        <v>20000</v>
      </c>
      <c r="AR10" s="338">
        <f t="shared" si="26"/>
        <v>20000</v>
      </c>
      <c r="AS10" s="338">
        <f t="shared" si="26"/>
        <v>20000</v>
      </c>
      <c r="AT10" s="338">
        <f t="shared" si="26"/>
        <v>20000</v>
      </c>
      <c r="AU10" s="338">
        <f t="shared" si="26"/>
        <v>20000</v>
      </c>
      <c r="AV10" s="338">
        <f t="shared" si="26"/>
        <v>20000</v>
      </c>
      <c r="AW10" s="339">
        <f>SUM(AK10:AM10)</f>
        <v>60000</v>
      </c>
      <c r="AX10" s="339">
        <f>SUM(AN10:AP10)</f>
        <v>60000</v>
      </c>
      <c r="AY10" s="339">
        <f>SUM(AQ10:AS10)</f>
        <v>60000</v>
      </c>
      <c r="AZ10" s="339">
        <f>SUM(AT10:AV10)</f>
        <v>60000</v>
      </c>
      <c r="BA10" s="339">
        <f>AW10+AX10+AY10+AZ10</f>
        <v>240000</v>
      </c>
      <c r="BB10" s="338"/>
      <c r="BC10" s="338">
        <f t="shared" ref="BC10:BM10" si="27">BB10</f>
        <v>0</v>
      </c>
      <c r="BD10" s="338">
        <f t="shared" si="27"/>
        <v>0</v>
      </c>
      <c r="BE10" s="338">
        <f t="shared" si="27"/>
        <v>0</v>
      </c>
      <c r="BF10" s="338">
        <f t="shared" si="27"/>
        <v>0</v>
      </c>
      <c r="BG10" s="338">
        <f t="shared" si="27"/>
        <v>0</v>
      </c>
      <c r="BH10" s="338">
        <f t="shared" si="27"/>
        <v>0</v>
      </c>
      <c r="BI10" s="338">
        <f t="shared" si="27"/>
        <v>0</v>
      </c>
      <c r="BJ10" s="338">
        <f t="shared" si="27"/>
        <v>0</v>
      </c>
      <c r="BK10" s="338">
        <f t="shared" si="27"/>
        <v>0</v>
      </c>
      <c r="BL10" s="338">
        <f t="shared" si="27"/>
        <v>0</v>
      </c>
      <c r="BM10" s="338">
        <f t="shared" si="27"/>
        <v>0</v>
      </c>
      <c r="BN10" s="339">
        <f>SUM(BB10:BD10)</f>
        <v>0</v>
      </c>
      <c r="BO10" s="339">
        <f>SUM(BE10:BG10)</f>
        <v>0</v>
      </c>
      <c r="BP10" s="339">
        <f>SUM(BH10:BJ10)</f>
        <v>0</v>
      </c>
      <c r="BQ10" s="339">
        <f>SUM(BK10:BM10)</f>
        <v>0</v>
      </c>
      <c r="BR10" s="339">
        <f>BN10+BO10+BP10+BQ10</f>
        <v>0</v>
      </c>
    </row>
    <row r="11" spans="1:70">
      <c r="A11" s="1027"/>
      <c r="B11" s="343" t="s">
        <v>897</v>
      </c>
      <c r="C11" s="338">
        <f t="shared" si="24"/>
        <v>0</v>
      </c>
      <c r="D11" s="338">
        <f t="shared" si="24"/>
        <v>0</v>
      </c>
      <c r="E11" s="338">
        <f t="shared" si="24"/>
        <v>0</v>
      </c>
      <c r="F11" s="338">
        <f t="shared" si="24"/>
        <v>0</v>
      </c>
      <c r="G11" s="338">
        <f t="shared" si="24"/>
        <v>0</v>
      </c>
      <c r="H11" s="338">
        <f t="shared" si="24"/>
        <v>0</v>
      </c>
      <c r="I11" s="338">
        <f t="shared" si="24"/>
        <v>0</v>
      </c>
      <c r="J11" s="338">
        <f t="shared" si="24"/>
        <v>0</v>
      </c>
      <c r="K11" s="338">
        <f t="shared" si="24"/>
        <v>0</v>
      </c>
      <c r="L11" s="338">
        <f t="shared" si="24"/>
        <v>0</v>
      </c>
      <c r="M11" s="338">
        <f t="shared" si="24"/>
        <v>0</v>
      </c>
      <c r="N11" s="338">
        <f t="shared" si="24"/>
        <v>0</v>
      </c>
      <c r="O11" s="414">
        <f>SUM(C11:E11)</f>
        <v>0</v>
      </c>
      <c r="P11" s="414">
        <f>SUM(F11:H11)</f>
        <v>0</v>
      </c>
      <c r="Q11" s="414">
        <f>SUM(I11:K11)</f>
        <v>0</v>
      </c>
      <c r="R11" s="414">
        <f>SUM(L11:N11)</f>
        <v>0</v>
      </c>
      <c r="S11" s="414">
        <f>O11+P11+Q11+R11</f>
        <v>0</v>
      </c>
      <c r="T11" s="338"/>
      <c r="U11" s="338">
        <f t="shared" ref="U11:AE11" si="28">T11</f>
        <v>0</v>
      </c>
      <c r="V11" s="338">
        <f t="shared" si="28"/>
        <v>0</v>
      </c>
      <c r="W11" s="338">
        <f t="shared" si="28"/>
        <v>0</v>
      </c>
      <c r="X11" s="338">
        <f t="shared" si="28"/>
        <v>0</v>
      </c>
      <c r="Y11" s="338">
        <f t="shared" si="28"/>
        <v>0</v>
      </c>
      <c r="Z11" s="338">
        <f t="shared" si="28"/>
        <v>0</v>
      </c>
      <c r="AA11" s="338">
        <f t="shared" si="28"/>
        <v>0</v>
      </c>
      <c r="AB11" s="338">
        <f t="shared" si="28"/>
        <v>0</v>
      </c>
      <c r="AC11" s="338">
        <f t="shared" si="28"/>
        <v>0</v>
      </c>
      <c r="AD11" s="338">
        <f t="shared" si="28"/>
        <v>0</v>
      </c>
      <c r="AE11" s="338">
        <f t="shared" si="28"/>
        <v>0</v>
      </c>
      <c r="AF11" s="339">
        <f t="shared" ref="AF11:AF23" si="29">SUM(T11:V11)</f>
        <v>0</v>
      </c>
      <c r="AG11" s="339">
        <f t="shared" ref="AG11:AG23" si="30">SUM(W11:Y11)</f>
        <v>0</v>
      </c>
      <c r="AH11" s="339">
        <f t="shared" ref="AH11:AH23" si="31">SUM(Z11:AB11)</f>
        <v>0</v>
      </c>
      <c r="AI11" s="339">
        <f t="shared" ref="AI11:AI23" si="32">SUM(AC11:AE11)</f>
        <v>0</v>
      </c>
      <c r="AJ11" s="339">
        <f t="shared" ref="AJ11:AJ23" si="33">AF11+AG11+AH11+AI11</f>
        <v>0</v>
      </c>
      <c r="AK11" s="338"/>
      <c r="AL11" s="338">
        <f t="shared" ref="AL11:AV11" si="34">AK11</f>
        <v>0</v>
      </c>
      <c r="AM11" s="338">
        <f t="shared" si="34"/>
        <v>0</v>
      </c>
      <c r="AN11" s="338">
        <f t="shared" si="34"/>
        <v>0</v>
      </c>
      <c r="AO11" s="338">
        <f t="shared" si="34"/>
        <v>0</v>
      </c>
      <c r="AP11" s="338">
        <f t="shared" si="34"/>
        <v>0</v>
      </c>
      <c r="AQ11" s="338">
        <f t="shared" si="34"/>
        <v>0</v>
      </c>
      <c r="AR11" s="338">
        <f t="shared" si="34"/>
        <v>0</v>
      </c>
      <c r="AS11" s="338">
        <f t="shared" si="34"/>
        <v>0</v>
      </c>
      <c r="AT11" s="338">
        <f t="shared" si="34"/>
        <v>0</v>
      </c>
      <c r="AU11" s="338">
        <f t="shared" si="34"/>
        <v>0</v>
      </c>
      <c r="AV11" s="338">
        <f t="shared" si="34"/>
        <v>0</v>
      </c>
      <c r="AW11" s="339">
        <f t="shared" ref="AW11:AW23" si="35">SUM(AK11:AM11)</f>
        <v>0</v>
      </c>
      <c r="AX11" s="339">
        <f t="shared" ref="AX11:AX23" si="36">SUM(AN11:AP11)</f>
        <v>0</v>
      </c>
      <c r="AY11" s="339">
        <f t="shared" ref="AY11:AY23" si="37">SUM(AQ11:AS11)</f>
        <v>0</v>
      </c>
      <c r="AZ11" s="339">
        <f t="shared" ref="AZ11:AZ23" si="38">SUM(AT11:AV11)</f>
        <v>0</v>
      </c>
      <c r="BA11" s="339">
        <f t="shared" ref="BA11:BA23" si="39">AW11+AX11+AY11+AZ11</f>
        <v>0</v>
      </c>
      <c r="BB11" s="338"/>
      <c r="BC11" s="338">
        <f t="shared" ref="BC11:BM11" si="40">BB11</f>
        <v>0</v>
      </c>
      <c r="BD11" s="338">
        <f t="shared" si="40"/>
        <v>0</v>
      </c>
      <c r="BE11" s="338">
        <f t="shared" si="40"/>
        <v>0</v>
      </c>
      <c r="BF11" s="338">
        <f t="shared" si="40"/>
        <v>0</v>
      </c>
      <c r="BG11" s="338">
        <f t="shared" si="40"/>
        <v>0</v>
      </c>
      <c r="BH11" s="338">
        <f t="shared" si="40"/>
        <v>0</v>
      </c>
      <c r="BI11" s="338">
        <f t="shared" si="40"/>
        <v>0</v>
      </c>
      <c r="BJ11" s="338">
        <f t="shared" si="40"/>
        <v>0</v>
      </c>
      <c r="BK11" s="338">
        <f t="shared" si="40"/>
        <v>0</v>
      </c>
      <c r="BL11" s="338">
        <f t="shared" si="40"/>
        <v>0</v>
      </c>
      <c r="BM11" s="338">
        <f t="shared" si="40"/>
        <v>0</v>
      </c>
      <c r="BN11" s="339">
        <f t="shared" ref="BN11:BN23" si="41">SUM(BB11:BD11)</f>
        <v>0</v>
      </c>
      <c r="BO11" s="339">
        <f t="shared" ref="BO11:BO23" si="42">SUM(BE11:BG11)</f>
        <v>0</v>
      </c>
      <c r="BP11" s="339">
        <f t="shared" ref="BP11:BP23" si="43">SUM(BH11:BJ11)</f>
        <v>0</v>
      </c>
      <c r="BQ11" s="339">
        <f t="shared" ref="BQ11:BQ23" si="44">SUM(BK11:BM11)</f>
        <v>0</v>
      </c>
      <c r="BR11" s="339">
        <f t="shared" ref="BR11:BR23" si="45">BN11+BO11+BP11+BQ11</f>
        <v>0</v>
      </c>
    </row>
    <row r="12" spans="1:70" ht="25.5">
      <c r="A12" s="1027"/>
      <c r="B12" s="343" t="s">
        <v>898</v>
      </c>
      <c r="C12" s="338">
        <f t="shared" si="24"/>
        <v>120000</v>
      </c>
      <c r="D12" s="338">
        <f t="shared" si="24"/>
        <v>120000</v>
      </c>
      <c r="E12" s="338">
        <f t="shared" si="24"/>
        <v>120000</v>
      </c>
      <c r="F12" s="338">
        <f t="shared" si="24"/>
        <v>120000</v>
      </c>
      <c r="G12" s="338">
        <f t="shared" si="24"/>
        <v>120000</v>
      </c>
      <c r="H12" s="338">
        <f t="shared" si="24"/>
        <v>120000</v>
      </c>
      <c r="I12" s="338">
        <f t="shared" si="24"/>
        <v>120000</v>
      </c>
      <c r="J12" s="338">
        <f t="shared" si="24"/>
        <v>120000</v>
      </c>
      <c r="K12" s="338">
        <f t="shared" si="24"/>
        <v>120000</v>
      </c>
      <c r="L12" s="338">
        <f t="shared" si="24"/>
        <v>120000</v>
      </c>
      <c r="M12" s="338">
        <f t="shared" si="24"/>
        <v>120000</v>
      </c>
      <c r="N12" s="338">
        <f t="shared" si="24"/>
        <v>120000</v>
      </c>
      <c r="O12" s="414">
        <f>SUM(C12:E12)</f>
        <v>360000</v>
      </c>
      <c r="P12" s="414">
        <f>SUM(F12:H12)</f>
        <v>360000</v>
      </c>
      <c r="Q12" s="414">
        <f>SUM(I12:K12)</f>
        <v>360000</v>
      </c>
      <c r="R12" s="414">
        <f>SUM(L12:N12)</f>
        <v>360000</v>
      </c>
      <c r="S12" s="414">
        <f>O12+P12+Q12+R12</f>
        <v>1440000</v>
      </c>
      <c r="T12" s="338">
        <f>50000+40000</f>
        <v>90000</v>
      </c>
      <c r="U12" s="338">
        <f t="shared" ref="U12:AE12" si="46">T12</f>
        <v>90000</v>
      </c>
      <c r="V12" s="338">
        <f t="shared" si="46"/>
        <v>90000</v>
      </c>
      <c r="W12" s="338">
        <f t="shared" si="46"/>
        <v>90000</v>
      </c>
      <c r="X12" s="338">
        <f t="shared" si="46"/>
        <v>90000</v>
      </c>
      <c r="Y12" s="338">
        <f t="shared" si="46"/>
        <v>90000</v>
      </c>
      <c r="Z12" s="338">
        <f t="shared" si="46"/>
        <v>90000</v>
      </c>
      <c r="AA12" s="338">
        <f t="shared" si="46"/>
        <v>90000</v>
      </c>
      <c r="AB12" s="338">
        <f t="shared" si="46"/>
        <v>90000</v>
      </c>
      <c r="AC12" s="338">
        <f t="shared" si="46"/>
        <v>90000</v>
      </c>
      <c r="AD12" s="338">
        <f t="shared" si="46"/>
        <v>90000</v>
      </c>
      <c r="AE12" s="338">
        <f t="shared" si="46"/>
        <v>90000</v>
      </c>
      <c r="AF12" s="339">
        <f t="shared" si="29"/>
        <v>270000</v>
      </c>
      <c r="AG12" s="339">
        <f t="shared" si="30"/>
        <v>270000</v>
      </c>
      <c r="AH12" s="339">
        <f t="shared" si="31"/>
        <v>270000</v>
      </c>
      <c r="AI12" s="339">
        <f t="shared" si="32"/>
        <v>270000</v>
      </c>
      <c r="AJ12" s="339">
        <f t="shared" si="33"/>
        <v>1080000</v>
      </c>
      <c r="AK12" s="338">
        <f>30000</f>
        <v>30000</v>
      </c>
      <c r="AL12" s="338">
        <f t="shared" ref="AL12:AV12" si="47">AK12</f>
        <v>30000</v>
      </c>
      <c r="AM12" s="338">
        <f t="shared" si="47"/>
        <v>30000</v>
      </c>
      <c r="AN12" s="338">
        <f t="shared" si="47"/>
        <v>30000</v>
      </c>
      <c r="AO12" s="338">
        <f t="shared" si="47"/>
        <v>30000</v>
      </c>
      <c r="AP12" s="338">
        <f t="shared" si="47"/>
        <v>30000</v>
      </c>
      <c r="AQ12" s="338">
        <f t="shared" si="47"/>
        <v>30000</v>
      </c>
      <c r="AR12" s="338">
        <f t="shared" si="47"/>
        <v>30000</v>
      </c>
      <c r="AS12" s="338">
        <f t="shared" si="47"/>
        <v>30000</v>
      </c>
      <c r="AT12" s="338">
        <f t="shared" si="47"/>
        <v>30000</v>
      </c>
      <c r="AU12" s="338">
        <f t="shared" si="47"/>
        <v>30000</v>
      </c>
      <c r="AV12" s="338">
        <f t="shared" si="47"/>
        <v>30000</v>
      </c>
      <c r="AW12" s="339">
        <f t="shared" si="35"/>
        <v>90000</v>
      </c>
      <c r="AX12" s="339">
        <f t="shared" si="36"/>
        <v>90000</v>
      </c>
      <c r="AY12" s="339">
        <f t="shared" si="37"/>
        <v>90000</v>
      </c>
      <c r="AZ12" s="339">
        <f t="shared" si="38"/>
        <v>90000</v>
      </c>
      <c r="BA12" s="339">
        <f t="shared" si="39"/>
        <v>360000</v>
      </c>
      <c r="BB12" s="338"/>
      <c r="BC12" s="338">
        <f t="shared" ref="BC12:BM12" si="48">BB12</f>
        <v>0</v>
      </c>
      <c r="BD12" s="338">
        <f t="shared" si="48"/>
        <v>0</v>
      </c>
      <c r="BE12" s="338">
        <f t="shared" si="48"/>
        <v>0</v>
      </c>
      <c r="BF12" s="338">
        <f t="shared" si="48"/>
        <v>0</v>
      </c>
      <c r="BG12" s="338">
        <f t="shared" si="48"/>
        <v>0</v>
      </c>
      <c r="BH12" s="338">
        <f t="shared" si="48"/>
        <v>0</v>
      </c>
      <c r="BI12" s="338">
        <f t="shared" si="48"/>
        <v>0</v>
      </c>
      <c r="BJ12" s="338">
        <f t="shared" si="48"/>
        <v>0</v>
      </c>
      <c r="BK12" s="338">
        <f t="shared" si="48"/>
        <v>0</v>
      </c>
      <c r="BL12" s="338">
        <f t="shared" si="48"/>
        <v>0</v>
      </c>
      <c r="BM12" s="338">
        <f t="shared" si="48"/>
        <v>0</v>
      </c>
      <c r="BN12" s="339">
        <f t="shared" si="41"/>
        <v>0</v>
      </c>
      <c r="BO12" s="339">
        <f t="shared" si="42"/>
        <v>0</v>
      </c>
      <c r="BP12" s="339">
        <f t="shared" si="43"/>
        <v>0</v>
      </c>
      <c r="BQ12" s="339">
        <f t="shared" si="44"/>
        <v>0</v>
      </c>
      <c r="BR12" s="339">
        <f t="shared" si="45"/>
        <v>0</v>
      </c>
    </row>
    <row r="13" spans="1:70">
      <c r="A13" s="1027"/>
      <c r="B13" s="343" t="s">
        <v>899</v>
      </c>
      <c r="C13" s="338">
        <f>T13+AK13+BB13</f>
        <v>2500</v>
      </c>
      <c r="D13" s="338">
        <f t="shared" ref="D13:D23" si="49">U13+AL13+BC13</f>
        <v>2500</v>
      </c>
      <c r="E13" s="338">
        <f t="shared" ref="E13:E23" si="50">V13+AM13+BD13</f>
        <v>2500</v>
      </c>
      <c r="F13" s="338">
        <f t="shared" ref="F13:F23" si="51">W13+AN13+BE13</f>
        <v>2500</v>
      </c>
      <c r="G13" s="338">
        <f t="shared" ref="G13:G23" si="52">X13+AO13+BF13</f>
        <v>2500</v>
      </c>
      <c r="H13" s="338">
        <f t="shared" ref="H13:H23" si="53">Y13+AP13+BG13</f>
        <v>2500</v>
      </c>
      <c r="I13" s="338">
        <f t="shared" ref="I13:I23" si="54">Z13+AQ13+BH13</f>
        <v>2500</v>
      </c>
      <c r="J13" s="338">
        <f t="shared" ref="J13:J23" si="55">AA13+AR13+BI13</f>
        <v>2500</v>
      </c>
      <c r="K13" s="338">
        <f t="shared" ref="K13:K23" si="56">AB13+AS13+BJ13</f>
        <v>2500</v>
      </c>
      <c r="L13" s="338">
        <f t="shared" ref="L13:L23" si="57">AC13+AT13+BK13</f>
        <v>2500</v>
      </c>
      <c r="M13" s="338">
        <f t="shared" ref="M13:M23" si="58">AD13+AU13+BL13</f>
        <v>2500</v>
      </c>
      <c r="N13" s="338">
        <f t="shared" ref="N13:N23" si="59">AE13+AV13+BM13</f>
        <v>2500</v>
      </c>
      <c r="O13" s="414">
        <f>SUM(C13:E13)</f>
        <v>7500</v>
      </c>
      <c r="P13" s="414">
        <f>SUM(F13:H13)</f>
        <v>7500</v>
      </c>
      <c r="Q13" s="414">
        <f>SUM(I13:K13)</f>
        <v>7500</v>
      </c>
      <c r="R13" s="414">
        <f>SUM(L13:N13)</f>
        <v>7500</v>
      </c>
      <c r="S13" s="414">
        <f>O13+P13+Q13+R13</f>
        <v>30000</v>
      </c>
      <c r="T13" s="338">
        <f>2500</f>
        <v>2500</v>
      </c>
      <c r="U13" s="338">
        <f t="shared" ref="U13:AE13" si="60">T13</f>
        <v>2500</v>
      </c>
      <c r="V13" s="338">
        <f t="shared" si="60"/>
        <v>2500</v>
      </c>
      <c r="W13" s="338">
        <f t="shared" si="60"/>
        <v>2500</v>
      </c>
      <c r="X13" s="338">
        <f t="shared" si="60"/>
        <v>2500</v>
      </c>
      <c r="Y13" s="338">
        <f t="shared" si="60"/>
        <v>2500</v>
      </c>
      <c r="Z13" s="338">
        <f t="shared" si="60"/>
        <v>2500</v>
      </c>
      <c r="AA13" s="338">
        <f t="shared" si="60"/>
        <v>2500</v>
      </c>
      <c r="AB13" s="338">
        <f t="shared" si="60"/>
        <v>2500</v>
      </c>
      <c r="AC13" s="338">
        <f t="shared" si="60"/>
        <v>2500</v>
      </c>
      <c r="AD13" s="338">
        <f t="shared" si="60"/>
        <v>2500</v>
      </c>
      <c r="AE13" s="338">
        <f t="shared" si="60"/>
        <v>2500</v>
      </c>
      <c r="AF13" s="339">
        <f t="shared" si="29"/>
        <v>7500</v>
      </c>
      <c r="AG13" s="339">
        <f t="shared" si="30"/>
        <v>7500</v>
      </c>
      <c r="AH13" s="339">
        <f t="shared" si="31"/>
        <v>7500</v>
      </c>
      <c r="AI13" s="339">
        <f t="shared" si="32"/>
        <v>7500</v>
      </c>
      <c r="AJ13" s="339">
        <f t="shared" si="33"/>
        <v>30000</v>
      </c>
      <c r="AK13" s="338"/>
      <c r="AL13" s="338">
        <f t="shared" ref="AL13:AV13" si="61">AK13</f>
        <v>0</v>
      </c>
      <c r="AM13" s="338">
        <f t="shared" si="61"/>
        <v>0</v>
      </c>
      <c r="AN13" s="338">
        <f t="shared" si="61"/>
        <v>0</v>
      </c>
      <c r="AO13" s="338">
        <f t="shared" si="61"/>
        <v>0</v>
      </c>
      <c r="AP13" s="338">
        <f t="shared" si="61"/>
        <v>0</v>
      </c>
      <c r="AQ13" s="338">
        <f t="shared" si="61"/>
        <v>0</v>
      </c>
      <c r="AR13" s="338">
        <f t="shared" si="61"/>
        <v>0</v>
      </c>
      <c r="AS13" s="338">
        <f t="shared" si="61"/>
        <v>0</v>
      </c>
      <c r="AT13" s="338">
        <f t="shared" si="61"/>
        <v>0</v>
      </c>
      <c r="AU13" s="338">
        <f t="shared" si="61"/>
        <v>0</v>
      </c>
      <c r="AV13" s="338">
        <f t="shared" si="61"/>
        <v>0</v>
      </c>
      <c r="AW13" s="339">
        <f t="shared" si="35"/>
        <v>0</v>
      </c>
      <c r="AX13" s="339">
        <f t="shared" si="36"/>
        <v>0</v>
      </c>
      <c r="AY13" s="339">
        <f t="shared" si="37"/>
        <v>0</v>
      </c>
      <c r="AZ13" s="339">
        <f t="shared" si="38"/>
        <v>0</v>
      </c>
      <c r="BA13" s="339">
        <f t="shared" si="39"/>
        <v>0</v>
      </c>
      <c r="BB13" s="338"/>
      <c r="BC13" s="338">
        <f t="shared" ref="BC13:BM13" si="62">BB13</f>
        <v>0</v>
      </c>
      <c r="BD13" s="338">
        <f t="shared" si="62"/>
        <v>0</v>
      </c>
      <c r="BE13" s="338">
        <f t="shared" si="62"/>
        <v>0</v>
      </c>
      <c r="BF13" s="338">
        <f t="shared" si="62"/>
        <v>0</v>
      </c>
      <c r="BG13" s="338">
        <f t="shared" si="62"/>
        <v>0</v>
      </c>
      <c r="BH13" s="338">
        <f t="shared" si="62"/>
        <v>0</v>
      </c>
      <c r="BI13" s="338">
        <f t="shared" si="62"/>
        <v>0</v>
      </c>
      <c r="BJ13" s="338">
        <f t="shared" si="62"/>
        <v>0</v>
      </c>
      <c r="BK13" s="338">
        <f t="shared" si="62"/>
        <v>0</v>
      </c>
      <c r="BL13" s="338">
        <f t="shared" si="62"/>
        <v>0</v>
      </c>
      <c r="BM13" s="338">
        <f t="shared" si="62"/>
        <v>0</v>
      </c>
      <c r="BN13" s="339">
        <f t="shared" si="41"/>
        <v>0</v>
      </c>
      <c r="BO13" s="339">
        <f t="shared" si="42"/>
        <v>0</v>
      </c>
      <c r="BP13" s="339">
        <f t="shared" si="43"/>
        <v>0</v>
      </c>
      <c r="BQ13" s="339">
        <f t="shared" si="44"/>
        <v>0</v>
      </c>
      <c r="BR13" s="339">
        <f t="shared" si="45"/>
        <v>0</v>
      </c>
    </row>
    <row r="14" spans="1:70">
      <c r="A14" s="1027"/>
      <c r="B14" s="343" t="s">
        <v>900</v>
      </c>
      <c r="C14" s="338">
        <f t="shared" ref="C14:C23" si="63">T14+AK14+BB14</f>
        <v>0</v>
      </c>
      <c r="D14" s="338">
        <f t="shared" si="49"/>
        <v>0</v>
      </c>
      <c r="E14" s="338">
        <f t="shared" si="50"/>
        <v>0</v>
      </c>
      <c r="F14" s="338">
        <f t="shared" si="51"/>
        <v>0</v>
      </c>
      <c r="G14" s="338">
        <f t="shared" si="52"/>
        <v>0</v>
      </c>
      <c r="H14" s="338">
        <f t="shared" si="53"/>
        <v>0</v>
      </c>
      <c r="I14" s="338">
        <f t="shared" si="54"/>
        <v>0</v>
      </c>
      <c r="J14" s="338">
        <f t="shared" si="55"/>
        <v>0</v>
      </c>
      <c r="K14" s="338">
        <f t="shared" si="56"/>
        <v>0</v>
      </c>
      <c r="L14" s="338">
        <f t="shared" si="57"/>
        <v>0</v>
      </c>
      <c r="M14" s="338">
        <f t="shared" si="58"/>
        <v>0</v>
      </c>
      <c r="N14" s="338">
        <f t="shared" si="59"/>
        <v>0</v>
      </c>
      <c r="O14" s="414">
        <f t="shared" ref="O14:O23" si="64">SUM(C14:E14)</f>
        <v>0</v>
      </c>
      <c r="P14" s="414">
        <f t="shared" ref="P14:P23" si="65">SUM(F14:H14)</f>
        <v>0</v>
      </c>
      <c r="Q14" s="414">
        <f t="shared" ref="Q14:Q23" si="66">SUM(I14:K14)</f>
        <v>0</v>
      </c>
      <c r="R14" s="414">
        <f t="shared" ref="R14:R23" si="67">SUM(L14:N14)</f>
        <v>0</v>
      </c>
      <c r="S14" s="414">
        <f t="shared" ref="S14:S23" si="68">O14+P14+Q14+R14</f>
        <v>0</v>
      </c>
      <c r="T14" s="338"/>
      <c r="U14" s="338">
        <f t="shared" ref="U14:AE14" si="69">T14</f>
        <v>0</v>
      </c>
      <c r="V14" s="338">
        <f t="shared" si="69"/>
        <v>0</v>
      </c>
      <c r="W14" s="338">
        <f t="shared" si="69"/>
        <v>0</v>
      </c>
      <c r="X14" s="338">
        <f t="shared" si="69"/>
        <v>0</v>
      </c>
      <c r="Y14" s="338">
        <f t="shared" si="69"/>
        <v>0</v>
      </c>
      <c r="Z14" s="338">
        <f t="shared" si="69"/>
        <v>0</v>
      </c>
      <c r="AA14" s="338">
        <f t="shared" si="69"/>
        <v>0</v>
      </c>
      <c r="AB14" s="338">
        <f t="shared" si="69"/>
        <v>0</v>
      </c>
      <c r="AC14" s="338">
        <f t="shared" si="69"/>
        <v>0</v>
      </c>
      <c r="AD14" s="338">
        <f t="shared" si="69"/>
        <v>0</v>
      </c>
      <c r="AE14" s="338">
        <f t="shared" si="69"/>
        <v>0</v>
      </c>
      <c r="AF14" s="339">
        <f t="shared" si="29"/>
        <v>0</v>
      </c>
      <c r="AG14" s="339">
        <f t="shared" si="30"/>
        <v>0</v>
      </c>
      <c r="AH14" s="339">
        <f t="shared" si="31"/>
        <v>0</v>
      </c>
      <c r="AI14" s="339">
        <f t="shared" si="32"/>
        <v>0</v>
      </c>
      <c r="AJ14" s="339">
        <f t="shared" si="33"/>
        <v>0</v>
      </c>
      <c r="AK14" s="338"/>
      <c r="AL14" s="338">
        <f t="shared" ref="AL14:AV14" si="70">AK14</f>
        <v>0</v>
      </c>
      <c r="AM14" s="338">
        <f t="shared" si="70"/>
        <v>0</v>
      </c>
      <c r="AN14" s="338">
        <f t="shared" si="70"/>
        <v>0</v>
      </c>
      <c r="AO14" s="338">
        <f t="shared" si="70"/>
        <v>0</v>
      </c>
      <c r="AP14" s="338">
        <f t="shared" si="70"/>
        <v>0</v>
      </c>
      <c r="AQ14" s="338">
        <f t="shared" si="70"/>
        <v>0</v>
      </c>
      <c r="AR14" s="338">
        <f t="shared" si="70"/>
        <v>0</v>
      </c>
      <c r="AS14" s="338">
        <f t="shared" si="70"/>
        <v>0</v>
      </c>
      <c r="AT14" s="338">
        <f t="shared" si="70"/>
        <v>0</v>
      </c>
      <c r="AU14" s="338">
        <f t="shared" si="70"/>
        <v>0</v>
      </c>
      <c r="AV14" s="338">
        <f t="shared" si="70"/>
        <v>0</v>
      </c>
      <c r="AW14" s="339">
        <f t="shared" si="35"/>
        <v>0</v>
      </c>
      <c r="AX14" s="339">
        <f t="shared" si="36"/>
        <v>0</v>
      </c>
      <c r="AY14" s="339">
        <f t="shared" si="37"/>
        <v>0</v>
      </c>
      <c r="AZ14" s="339">
        <f t="shared" si="38"/>
        <v>0</v>
      </c>
      <c r="BA14" s="339">
        <f t="shared" si="39"/>
        <v>0</v>
      </c>
      <c r="BB14" s="338"/>
      <c r="BC14" s="338">
        <f t="shared" ref="BC14:BM14" si="71">BB14</f>
        <v>0</v>
      </c>
      <c r="BD14" s="338">
        <f t="shared" si="71"/>
        <v>0</v>
      </c>
      <c r="BE14" s="338">
        <f t="shared" si="71"/>
        <v>0</v>
      </c>
      <c r="BF14" s="338">
        <f t="shared" si="71"/>
        <v>0</v>
      </c>
      <c r="BG14" s="338">
        <f t="shared" si="71"/>
        <v>0</v>
      </c>
      <c r="BH14" s="338">
        <f t="shared" si="71"/>
        <v>0</v>
      </c>
      <c r="BI14" s="338">
        <f t="shared" si="71"/>
        <v>0</v>
      </c>
      <c r="BJ14" s="338">
        <f t="shared" si="71"/>
        <v>0</v>
      </c>
      <c r="BK14" s="338">
        <f t="shared" si="71"/>
        <v>0</v>
      </c>
      <c r="BL14" s="338">
        <f t="shared" si="71"/>
        <v>0</v>
      </c>
      <c r="BM14" s="338">
        <f t="shared" si="71"/>
        <v>0</v>
      </c>
      <c r="BN14" s="339">
        <f t="shared" si="41"/>
        <v>0</v>
      </c>
      <c r="BO14" s="339">
        <f t="shared" si="42"/>
        <v>0</v>
      </c>
      <c r="BP14" s="339">
        <f t="shared" si="43"/>
        <v>0</v>
      </c>
      <c r="BQ14" s="339">
        <f t="shared" si="44"/>
        <v>0</v>
      </c>
      <c r="BR14" s="339">
        <f t="shared" si="45"/>
        <v>0</v>
      </c>
    </row>
    <row r="15" spans="1:70">
      <c r="A15" s="1027"/>
      <c r="B15" s="343" t="s">
        <v>901</v>
      </c>
      <c r="C15" s="338">
        <f t="shared" si="63"/>
        <v>10000</v>
      </c>
      <c r="D15" s="338">
        <f t="shared" si="49"/>
        <v>10000</v>
      </c>
      <c r="E15" s="338">
        <f t="shared" si="50"/>
        <v>10000</v>
      </c>
      <c r="F15" s="338">
        <f t="shared" si="51"/>
        <v>10000</v>
      </c>
      <c r="G15" s="338">
        <f t="shared" si="52"/>
        <v>10000</v>
      </c>
      <c r="H15" s="338">
        <f t="shared" si="53"/>
        <v>10000</v>
      </c>
      <c r="I15" s="338">
        <f t="shared" si="54"/>
        <v>10000</v>
      </c>
      <c r="J15" s="338">
        <f t="shared" si="55"/>
        <v>10000</v>
      </c>
      <c r="K15" s="338">
        <f t="shared" si="56"/>
        <v>10000</v>
      </c>
      <c r="L15" s="338">
        <f t="shared" si="57"/>
        <v>10000</v>
      </c>
      <c r="M15" s="338">
        <f t="shared" si="58"/>
        <v>10000</v>
      </c>
      <c r="N15" s="338">
        <f t="shared" si="59"/>
        <v>10000</v>
      </c>
      <c r="O15" s="414">
        <f t="shared" si="64"/>
        <v>30000</v>
      </c>
      <c r="P15" s="414">
        <f t="shared" si="65"/>
        <v>30000</v>
      </c>
      <c r="Q15" s="414">
        <f t="shared" si="66"/>
        <v>30000</v>
      </c>
      <c r="R15" s="414">
        <f t="shared" si="67"/>
        <v>30000</v>
      </c>
      <c r="S15" s="414">
        <f t="shared" si="68"/>
        <v>120000</v>
      </c>
      <c r="T15" s="338">
        <v>10000</v>
      </c>
      <c r="U15" s="338">
        <f t="shared" ref="U15:AE15" si="72">T15</f>
        <v>10000</v>
      </c>
      <c r="V15" s="338">
        <f t="shared" si="72"/>
        <v>10000</v>
      </c>
      <c r="W15" s="338">
        <f t="shared" si="72"/>
        <v>10000</v>
      </c>
      <c r="X15" s="338">
        <f t="shared" si="72"/>
        <v>10000</v>
      </c>
      <c r="Y15" s="338">
        <f t="shared" si="72"/>
        <v>10000</v>
      </c>
      <c r="Z15" s="338">
        <f t="shared" si="72"/>
        <v>10000</v>
      </c>
      <c r="AA15" s="338">
        <f t="shared" si="72"/>
        <v>10000</v>
      </c>
      <c r="AB15" s="338">
        <f t="shared" si="72"/>
        <v>10000</v>
      </c>
      <c r="AC15" s="338">
        <f t="shared" si="72"/>
        <v>10000</v>
      </c>
      <c r="AD15" s="338">
        <f t="shared" si="72"/>
        <v>10000</v>
      </c>
      <c r="AE15" s="338">
        <f t="shared" si="72"/>
        <v>10000</v>
      </c>
      <c r="AF15" s="339">
        <f t="shared" si="29"/>
        <v>30000</v>
      </c>
      <c r="AG15" s="339">
        <f t="shared" si="30"/>
        <v>30000</v>
      </c>
      <c r="AH15" s="339">
        <f t="shared" si="31"/>
        <v>30000</v>
      </c>
      <c r="AI15" s="339">
        <f t="shared" si="32"/>
        <v>30000</v>
      </c>
      <c r="AJ15" s="339">
        <f t="shared" si="33"/>
        <v>120000</v>
      </c>
      <c r="AK15" s="338"/>
      <c r="AL15" s="338">
        <f t="shared" ref="AL15:AV15" si="73">AK15</f>
        <v>0</v>
      </c>
      <c r="AM15" s="338">
        <f t="shared" si="73"/>
        <v>0</v>
      </c>
      <c r="AN15" s="338">
        <f t="shared" si="73"/>
        <v>0</v>
      </c>
      <c r="AO15" s="338">
        <f t="shared" si="73"/>
        <v>0</v>
      </c>
      <c r="AP15" s="338">
        <f t="shared" si="73"/>
        <v>0</v>
      </c>
      <c r="AQ15" s="338">
        <f t="shared" si="73"/>
        <v>0</v>
      </c>
      <c r="AR15" s="338">
        <f t="shared" si="73"/>
        <v>0</v>
      </c>
      <c r="AS15" s="338">
        <f t="shared" si="73"/>
        <v>0</v>
      </c>
      <c r="AT15" s="338">
        <f t="shared" si="73"/>
        <v>0</v>
      </c>
      <c r="AU15" s="338">
        <f t="shared" si="73"/>
        <v>0</v>
      </c>
      <c r="AV15" s="338">
        <f t="shared" si="73"/>
        <v>0</v>
      </c>
      <c r="AW15" s="339">
        <f t="shared" si="35"/>
        <v>0</v>
      </c>
      <c r="AX15" s="339">
        <f t="shared" si="36"/>
        <v>0</v>
      </c>
      <c r="AY15" s="339">
        <f t="shared" si="37"/>
        <v>0</v>
      </c>
      <c r="AZ15" s="339">
        <f t="shared" si="38"/>
        <v>0</v>
      </c>
      <c r="BA15" s="339">
        <f t="shared" si="39"/>
        <v>0</v>
      </c>
      <c r="BB15" s="338"/>
      <c r="BC15" s="338">
        <f t="shared" ref="BC15:BM15" si="74">BB15</f>
        <v>0</v>
      </c>
      <c r="BD15" s="338">
        <f t="shared" si="74"/>
        <v>0</v>
      </c>
      <c r="BE15" s="338">
        <f t="shared" si="74"/>
        <v>0</v>
      </c>
      <c r="BF15" s="338">
        <f t="shared" si="74"/>
        <v>0</v>
      </c>
      <c r="BG15" s="338">
        <f t="shared" si="74"/>
        <v>0</v>
      </c>
      <c r="BH15" s="338">
        <f t="shared" si="74"/>
        <v>0</v>
      </c>
      <c r="BI15" s="338">
        <f t="shared" si="74"/>
        <v>0</v>
      </c>
      <c r="BJ15" s="338">
        <f t="shared" si="74"/>
        <v>0</v>
      </c>
      <c r="BK15" s="338">
        <f t="shared" si="74"/>
        <v>0</v>
      </c>
      <c r="BL15" s="338">
        <f t="shared" si="74"/>
        <v>0</v>
      </c>
      <c r="BM15" s="338">
        <f t="shared" si="74"/>
        <v>0</v>
      </c>
      <c r="BN15" s="339">
        <f t="shared" si="41"/>
        <v>0</v>
      </c>
      <c r="BO15" s="339">
        <f t="shared" si="42"/>
        <v>0</v>
      </c>
      <c r="BP15" s="339">
        <f t="shared" si="43"/>
        <v>0</v>
      </c>
      <c r="BQ15" s="339">
        <f t="shared" si="44"/>
        <v>0</v>
      </c>
      <c r="BR15" s="339">
        <f t="shared" si="45"/>
        <v>0</v>
      </c>
    </row>
    <row r="16" spans="1:70">
      <c r="A16" s="1027"/>
      <c r="B16" s="344" t="s">
        <v>902</v>
      </c>
      <c r="C16" s="338">
        <f t="shared" si="63"/>
        <v>30000</v>
      </c>
      <c r="D16" s="338">
        <f t="shared" si="49"/>
        <v>30000</v>
      </c>
      <c r="E16" s="338">
        <f t="shared" si="50"/>
        <v>30000</v>
      </c>
      <c r="F16" s="338">
        <f t="shared" si="51"/>
        <v>30000</v>
      </c>
      <c r="G16" s="338">
        <f t="shared" si="52"/>
        <v>30000</v>
      </c>
      <c r="H16" s="338">
        <f t="shared" si="53"/>
        <v>30000</v>
      </c>
      <c r="I16" s="338">
        <f t="shared" si="54"/>
        <v>30000</v>
      </c>
      <c r="J16" s="338">
        <f t="shared" si="55"/>
        <v>30000</v>
      </c>
      <c r="K16" s="338">
        <f t="shared" si="56"/>
        <v>30000</v>
      </c>
      <c r="L16" s="338">
        <f t="shared" si="57"/>
        <v>30000</v>
      </c>
      <c r="M16" s="338">
        <f t="shared" si="58"/>
        <v>30000</v>
      </c>
      <c r="N16" s="338">
        <f t="shared" si="59"/>
        <v>30000</v>
      </c>
      <c r="O16" s="414">
        <f t="shared" si="64"/>
        <v>90000</v>
      </c>
      <c r="P16" s="414">
        <f t="shared" si="65"/>
        <v>90000</v>
      </c>
      <c r="Q16" s="414">
        <f t="shared" si="66"/>
        <v>90000</v>
      </c>
      <c r="R16" s="414">
        <f t="shared" si="67"/>
        <v>90000</v>
      </c>
      <c r="S16" s="414">
        <f t="shared" si="68"/>
        <v>360000</v>
      </c>
      <c r="T16" s="338">
        <v>30000</v>
      </c>
      <c r="U16" s="338">
        <f t="shared" ref="U16:AE16" si="75">T16</f>
        <v>30000</v>
      </c>
      <c r="V16" s="338">
        <f t="shared" si="75"/>
        <v>30000</v>
      </c>
      <c r="W16" s="338">
        <f t="shared" si="75"/>
        <v>30000</v>
      </c>
      <c r="X16" s="338">
        <f t="shared" si="75"/>
        <v>30000</v>
      </c>
      <c r="Y16" s="338">
        <f t="shared" si="75"/>
        <v>30000</v>
      </c>
      <c r="Z16" s="338">
        <f t="shared" si="75"/>
        <v>30000</v>
      </c>
      <c r="AA16" s="338">
        <f t="shared" si="75"/>
        <v>30000</v>
      </c>
      <c r="AB16" s="338">
        <f t="shared" si="75"/>
        <v>30000</v>
      </c>
      <c r="AC16" s="338">
        <f t="shared" si="75"/>
        <v>30000</v>
      </c>
      <c r="AD16" s="338">
        <f t="shared" si="75"/>
        <v>30000</v>
      </c>
      <c r="AE16" s="338">
        <f t="shared" si="75"/>
        <v>30000</v>
      </c>
      <c r="AF16" s="339">
        <f t="shared" si="29"/>
        <v>90000</v>
      </c>
      <c r="AG16" s="339">
        <f t="shared" si="30"/>
        <v>90000</v>
      </c>
      <c r="AH16" s="339">
        <f t="shared" si="31"/>
        <v>90000</v>
      </c>
      <c r="AI16" s="339">
        <f t="shared" si="32"/>
        <v>90000</v>
      </c>
      <c r="AJ16" s="339">
        <f t="shared" si="33"/>
        <v>360000</v>
      </c>
      <c r="AK16" s="338"/>
      <c r="AL16" s="338">
        <f t="shared" ref="AL16:AV16" si="76">AK16</f>
        <v>0</v>
      </c>
      <c r="AM16" s="338">
        <f t="shared" si="76"/>
        <v>0</v>
      </c>
      <c r="AN16" s="338">
        <f t="shared" si="76"/>
        <v>0</v>
      </c>
      <c r="AO16" s="338">
        <f t="shared" si="76"/>
        <v>0</v>
      </c>
      <c r="AP16" s="338">
        <f t="shared" si="76"/>
        <v>0</v>
      </c>
      <c r="AQ16" s="338">
        <f t="shared" si="76"/>
        <v>0</v>
      </c>
      <c r="AR16" s="338">
        <f t="shared" si="76"/>
        <v>0</v>
      </c>
      <c r="AS16" s="338">
        <f t="shared" si="76"/>
        <v>0</v>
      </c>
      <c r="AT16" s="338">
        <f t="shared" si="76"/>
        <v>0</v>
      </c>
      <c r="AU16" s="338">
        <f t="shared" si="76"/>
        <v>0</v>
      </c>
      <c r="AV16" s="338">
        <f t="shared" si="76"/>
        <v>0</v>
      </c>
      <c r="AW16" s="339">
        <f t="shared" si="35"/>
        <v>0</v>
      </c>
      <c r="AX16" s="339">
        <f t="shared" si="36"/>
        <v>0</v>
      </c>
      <c r="AY16" s="339">
        <f t="shared" si="37"/>
        <v>0</v>
      </c>
      <c r="AZ16" s="339">
        <f t="shared" si="38"/>
        <v>0</v>
      </c>
      <c r="BA16" s="339">
        <f t="shared" si="39"/>
        <v>0</v>
      </c>
      <c r="BB16" s="338"/>
      <c r="BC16" s="338">
        <f t="shared" ref="BC16:BM16" si="77">BB16</f>
        <v>0</v>
      </c>
      <c r="BD16" s="338">
        <f t="shared" si="77"/>
        <v>0</v>
      </c>
      <c r="BE16" s="338">
        <f t="shared" si="77"/>
        <v>0</v>
      </c>
      <c r="BF16" s="338">
        <f t="shared" si="77"/>
        <v>0</v>
      </c>
      <c r="BG16" s="338">
        <f t="shared" si="77"/>
        <v>0</v>
      </c>
      <c r="BH16" s="338">
        <f t="shared" si="77"/>
        <v>0</v>
      </c>
      <c r="BI16" s="338">
        <f t="shared" si="77"/>
        <v>0</v>
      </c>
      <c r="BJ16" s="338">
        <f t="shared" si="77"/>
        <v>0</v>
      </c>
      <c r="BK16" s="338">
        <f t="shared" si="77"/>
        <v>0</v>
      </c>
      <c r="BL16" s="338">
        <f t="shared" si="77"/>
        <v>0</v>
      </c>
      <c r="BM16" s="338">
        <f t="shared" si="77"/>
        <v>0</v>
      </c>
      <c r="BN16" s="339">
        <f t="shared" si="41"/>
        <v>0</v>
      </c>
      <c r="BO16" s="339">
        <f t="shared" si="42"/>
        <v>0</v>
      </c>
      <c r="BP16" s="339">
        <f t="shared" si="43"/>
        <v>0</v>
      </c>
      <c r="BQ16" s="339">
        <f t="shared" si="44"/>
        <v>0</v>
      </c>
      <c r="BR16" s="339">
        <f t="shared" si="45"/>
        <v>0</v>
      </c>
    </row>
    <row r="17" spans="1:72">
      <c r="A17" s="1027"/>
      <c r="B17" s="344" t="s">
        <v>903</v>
      </c>
      <c r="C17" s="338">
        <f t="shared" si="63"/>
        <v>45000</v>
      </c>
      <c r="D17" s="338">
        <f t="shared" si="49"/>
        <v>45000</v>
      </c>
      <c r="E17" s="338">
        <f t="shared" si="50"/>
        <v>45000</v>
      </c>
      <c r="F17" s="338">
        <f t="shared" si="51"/>
        <v>45000</v>
      </c>
      <c r="G17" s="338">
        <f t="shared" si="52"/>
        <v>45000</v>
      </c>
      <c r="H17" s="338">
        <f t="shared" si="53"/>
        <v>45000</v>
      </c>
      <c r="I17" s="338">
        <f t="shared" si="54"/>
        <v>45000</v>
      </c>
      <c r="J17" s="338">
        <f t="shared" si="55"/>
        <v>45000</v>
      </c>
      <c r="K17" s="338">
        <f t="shared" si="56"/>
        <v>45000</v>
      </c>
      <c r="L17" s="338">
        <f t="shared" si="57"/>
        <v>45000</v>
      </c>
      <c r="M17" s="338">
        <f t="shared" si="58"/>
        <v>45000</v>
      </c>
      <c r="N17" s="338">
        <f t="shared" si="59"/>
        <v>45000</v>
      </c>
      <c r="O17" s="414">
        <f t="shared" si="64"/>
        <v>135000</v>
      </c>
      <c r="P17" s="414">
        <f t="shared" si="65"/>
        <v>135000</v>
      </c>
      <c r="Q17" s="414">
        <f t="shared" si="66"/>
        <v>135000</v>
      </c>
      <c r="R17" s="414">
        <f t="shared" si="67"/>
        <v>135000</v>
      </c>
      <c r="S17" s="414">
        <f t="shared" si="68"/>
        <v>540000</v>
      </c>
      <c r="T17" s="338">
        <f>45000</f>
        <v>45000</v>
      </c>
      <c r="U17" s="338">
        <f t="shared" ref="U17:AE17" si="78">T17</f>
        <v>45000</v>
      </c>
      <c r="V17" s="338">
        <f t="shared" si="78"/>
        <v>45000</v>
      </c>
      <c r="W17" s="338">
        <f t="shared" si="78"/>
        <v>45000</v>
      </c>
      <c r="X17" s="338">
        <f t="shared" si="78"/>
        <v>45000</v>
      </c>
      <c r="Y17" s="338">
        <f t="shared" si="78"/>
        <v>45000</v>
      </c>
      <c r="Z17" s="338">
        <f t="shared" si="78"/>
        <v>45000</v>
      </c>
      <c r="AA17" s="338">
        <f t="shared" si="78"/>
        <v>45000</v>
      </c>
      <c r="AB17" s="338">
        <f t="shared" si="78"/>
        <v>45000</v>
      </c>
      <c r="AC17" s="338">
        <f t="shared" si="78"/>
        <v>45000</v>
      </c>
      <c r="AD17" s="338">
        <f t="shared" si="78"/>
        <v>45000</v>
      </c>
      <c r="AE17" s="338">
        <f t="shared" si="78"/>
        <v>45000</v>
      </c>
      <c r="AF17" s="339">
        <f t="shared" si="29"/>
        <v>135000</v>
      </c>
      <c r="AG17" s="339">
        <f t="shared" si="30"/>
        <v>135000</v>
      </c>
      <c r="AH17" s="339">
        <f t="shared" si="31"/>
        <v>135000</v>
      </c>
      <c r="AI17" s="339">
        <f t="shared" si="32"/>
        <v>135000</v>
      </c>
      <c r="AJ17" s="339">
        <f t="shared" si="33"/>
        <v>540000</v>
      </c>
      <c r="AK17" s="338"/>
      <c r="AL17" s="338">
        <f t="shared" ref="AL17:AV17" si="79">AK17</f>
        <v>0</v>
      </c>
      <c r="AM17" s="338">
        <f t="shared" si="79"/>
        <v>0</v>
      </c>
      <c r="AN17" s="338">
        <f t="shared" si="79"/>
        <v>0</v>
      </c>
      <c r="AO17" s="338">
        <f t="shared" si="79"/>
        <v>0</v>
      </c>
      <c r="AP17" s="338">
        <f t="shared" si="79"/>
        <v>0</v>
      </c>
      <c r="AQ17" s="338">
        <f t="shared" si="79"/>
        <v>0</v>
      </c>
      <c r="AR17" s="338">
        <f t="shared" si="79"/>
        <v>0</v>
      </c>
      <c r="AS17" s="338">
        <f t="shared" si="79"/>
        <v>0</v>
      </c>
      <c r="AT17" s="338">
        <f t="shared" si="79"/>
        <v>0</v>
      </c>
      <c r="AU17" s="338">
        <f t="shared" si="79"/>
        <v>0</v>
      </c>
      <c r="AV17" s="338">
        <f t="shared" si="79"/>
        <v>0</v>
      </c>
      <c r="AW17" s="339">
        <f t="shared" si="35"/>
        <v>0</v>
      </c>
      <c r="AX17" s="339">
        <f t="shared" si="36"/>
        <v>0</v>
      </c>
      <c r="AY17" s="339">
        <f t="shared" si="37"/>
        <v>0</v>
      </c>
      <c r="AZ17" s="339">
        <f t="shared" si="38"/>
        <v>0</v>
      </c>
      <c r="BA17" s="339">
        <f t="shared" si="39"/>
        <v>0</v>
      </c>
      <c r="BB17" s="338"/>
      <c r="BC17" s="338">
        <f t="shared" ref="BC17:BM17" si="80">BB17</f>
        <v>0</v>
      </c>
      <c r="BD17" s="338">
        <f t="shared" si="80"/>
        <v>0</v>
      </c>
      <c r="BE17" s="338">
        <f t="shared" si="80"/>
        <v>0</v>
      </c>
      <c r="BF17" s="338">
        <f t="shared" si="80"/>
        <v>0</v>
      </c>
      <c r="BG17" s="338">
        <f t="shared" si="80"/>
        <v>0</v>
      </c>
      <c r="BH17" s="338">
        <f t="shared" si="80"/>
        <v>0</v>
      </c>
      <c r="BI17" s="338">
        <f t="shared" si="80"/>
        <v>0</v>
      </c>
      <c r="BJ17" s="338">
        <f t="shared" si="80"/>
        <v>0</v>
      </c>
      <c r="BK17" s="338">
        <f t="shared" si="80"/>
        <v>0</v>
      </c>
      <c r="BL17" s="338">
        <f t="shared" si="80"/>
        <v>0</v>
      </c>
      <c r="BM17" s="338">
        <f t="shared" si="80"/>
        <v>0</v>
      </c>
      <c r="BN17" s="339">
        <f t="shared" si="41"/>
        <v>0</v>
      </c>
      <c r="BO17" s="339">
        <f t="shared" si="42"/>
        <v>0</v>
      </c>
      <c r="BP17" s="339">
        <f t="shared" si="43"/>
        <v>0</v>
      </c>
      <c r="BQ17" s="339">
        <f t="shared" si="44"/>
        <v>0</v>
      </c>
      <c r="BR17" s="339">
        <f t="shared" si="45"/>
        <v>0</v>
      </c>
    </row>
    <row r="18" spans="1:72">
      <c r="A18" s="1027"/>
      <c r="B18" s="337" t="s">
        <v>904</v>
      </c>
      <c r="C18" s="338">
        <f t="shared" si="63"/>
        <v>47000</v>
      </c>
      <c r="D18" s="338">
        <f t="shared" si="49"/>
        <v>47000</v>
      </c>
      <c r="E18" s="338">
        <f t="shared" si="50"/>
        <v>47000</v>
      </c>
      <c r="F18" s="338">
        <f t="shared" si="51"/>
        <v>47000</v>
      </c>
      <c r="G18" s="338">
        <f t="shared" si="52"/>
        <v>47000</v>
      </c>
      <c r="H18" s="338">
        <f t="shared" si="53"/>
        <v>47000</v>
      </c>
      <c r="I18" s="338">
        <f t="shared" si="54"/>
        <v>47000</v>
      </c>
      <c r="J18" s="338">
        <f t="shared" si="55"/>
        <v>47000</v>
      </c>
      <c r="K18" s="338">
        <f t="shared" si="56"/>
        <v>47000</v>
      </c>
      <c r="L18" s="338">
        <f t="shared" si="57"/>
        <v>47000</v>
      </c>
      <c r="M18" s="338">
        <f t="shared" si="58"/>
        <v>47000</v>
      </c>
      <c r="N18" s="338">
        <f t="shared" si="59"/>
        <v>47000</v>
      </c>
      <c r="O18" s="414">
        <f t="shared" si="64"/>
        <v>141000</v>
      </c>
      <c r="P18" s="414">
        <f t="shared" si="65"/>
        <v>141000</v>
      </c>
      <c r="Q18" s="414">
        <f t="shared" si="66"/>
        <v>141000</v>
      </c>
      <c r="R18" s="414">
        <f t="shared" si="67"/>
        <v>141000</v>
      </c>
      <c r="S18" s="414">
        <f t="shared" si="68"/>
        <v>564000</v>
      </c>
      <c r="T18" s="338">
        <v>47000</v>
      </c>
      <c r="U18" s="338">
        <f t="shared" ref="U18:AE18" si="81">T18</f>
        <v>47000</v>
      </c>
      <c r="V18" s="338">
        <f t="shared" si="81"/>
        <v>47000</v>
      </c>
      <c r="W18" s="338">
        <f t="shared" si="81"/>
        <v>47000</v>
      </c>
      <c r="X18" s="338">
        <f t="shared" si="81"/>
        <v>47000</v>
      </c>
      <c r="Y18" s="338">
        <f t="shared" si="81"/>
        <v>47000</v>
      </c>
      <c r="Z18" s="338">
        <f t="shared" si="81"/>
        <v>47000</v>
      </c>
      <c r="AA18" s="338">
        <f t="shared" si="81"/>
        <v>47000</v>
      </c>
      <c r="AB18" s="338">
        <f t="shared" si="81"/>
        <v>47000</v>
      </c>
      <c r="AC18" s="338">
        <f t="shared" si="81"/>
        <v>47000</v>
      </c>
      <c r="AD18" s="338">
        <f t="shared" si="81"/>
        <v>47000</v>
      </c>
      <c r="AE18" s="338">
        <f t="shared" si="81"/>
        <v>47000</v>
      </c>
      <c r="AF18" s="339">
        <f t="shared" si="29"/>
        <v>141000</v>
      </c>
      <c r="AG18" s="339">
        <f t="shared" si="30"/>
        <v>141000</v>
      </c>
      <c r="AH18" s="339">
        <f t="shared" si="31"/>
        <v>141000</v>
      </c>
      <c r="AI18" s="339">
        <f t="shared" si="32"/>
        <v>141000</v>
      </c>
      <c r="AJ18" s="339">
        <f t="shared" si="33"/>
        <v>564000</v>
      </c>
      <c r="AK18" s="338"/>
      <c r="AL18" s="338">
        <f t="shared" ref="AL18:AV18" si="82">AK18</f>
        <v>0</v>
      </c>
      <c r="AM18" s="338">
        <f t="shared" si="82"/>
        <v>0</v>
      </c>
      <c r="AN18" s="338">
        <f t="shared" si="82"/>
        <v>0</v>
      </c>
      <c r="AO18" s="338">
        <f t="shared" si="82"/>
        <v>0</v>
      </c>
      <c r="AP18" s="338">
        <f t="shared" si="82"/>
        <v>0</v>
      </c>
      <c r="AQ18" s="338">
        <f t="shared" si="82"/>
        <v>0</v>
      </c>
      <c r="AR18" s="338">
        <f t="shared" si="82"/>
        <v>0</v>
      </c>
      <c r="AS18" s="338">
        <f t="shared" si="82"/>
        <v>0</v>
      </c>
      <c r="AT18" s="338">
        <f t="shared" si="82"/>
        <v>0</v>
      </c>
      <c r="AU18" s="338">
        <f t="shared" si="82"/>
        <v>0</v>
      </c>
      <c r="AV18" s="338">
        <f t="shared" si="82"/>
        <v>0</v>
      </c>
      <c r="AW18" s="339">
        <f t="shared" si="35"/>
        <v>0</v>
      </c>
      <c r="AX18" s="339">
        <f t="shared" si="36"/>
        <v>0</v>
      </c>
      <c r="AY18" s="339">
        <f t="shared" si="37"/>
        <v>0</v>
      </c>
      <c r="AZ18" s="339">
        <f t="shared" si="38"/>
        <v>0</v>
      </c>
      <c r="BA18" s="339">
        <f t="shared" si="39"/>
        <v>0</v>
      </c>
      <c r="BB18" s="338"/>
      <c r="BC18" s="338">
        <f t="shared" ref="BC18:BM18" si="83">BB18</f>
        <v>0</v>
      </c>
      <c r="BD18" s="338">
        <f t="shared" si="83"/>
        <v>0</v>
      </c>
      <c r="BE18" s="338">
        <f t="shared" si="83"/>
        <v>0</v>
      </c>
      <c r="BF18" s="338">
        <f t="shared" si="83"/>
        <v>0</v>
      </c>
      <c r="BG18" s="338">
        <f t="shared" si="83"/>
        <v>0</v>
      </c>
      <c r="BH18" s="338">
        <f t="shared" si="83"/>
        <v>0</v>
      </c>
      <c r="BI18" s="338">
        <f t="shared" si="83"/>
        <v>0</v>
      </c>
      <c r="BJ18" s="338">
        <f t="shared" si="83"/>
        <v>0</v>
      </c>
      <c r="BK18" s="338">
        <f t="shared" si="83"/>
        <v>0</v>
      </c>
      <c r="BL18" s="338">
        <f t="shared" si="83"/>
        <v>0</v>
      </c>
      <c r="BM18" s="338">
        <f t="shared" si="83"/>
        <v>0</v>
      </c>
      <c r="BN18" s="339">
        <f t="shared" si="41"/>
        <v>0</v>
      </c>
      <c r="BO18" s="339">
        <f t="shared" si="42"/>
        <v>0</v>
      </c>
      <c r="BP18" s="339">
        <f t="shared" si="43"/>
        <v>0</v>
      </c>
      <c r="BQ18" s="339">
        <f t="shared" si="44"/>
        <v>0</v>
      </c>
      <c r="BR18" s="339">
        <f t="shared" si="45"/>
        <v>0</v>
      </c>
    </row>
    <row r="19" spans="1:72">
      <c r="A19" s="1027"/>
      <c r="B19" s="337" t="s">
        <v>905</v>
      </c>
      <c r="C19" s="338">
        <f t="shared" si="63"/>
        <v>3000</v>
      </c>
      <c r="D19" s="338">
        <f t="shared" si="49"/>
        <v>3000</v>
      </c>
      <c r="E19" s="338">
        <f t="shared" si="50"/>
        <v>3000</v>
      </c>
      <c r="F19" s="338">
        <f t="shared" si="51"/>
        <v>3000</v>
      </c>
      <c r="G19" s="338">
        <f t="shared" si="52"/>
        <v>3000</v>
      </c>
      <c r="H19" s="338">
        <f t="shared" si="53"/>
        <v>3000</v>
      </c>
      <c r="I19" s="338">
        <f t="shared" si="54"/>
        <v>3000</v>
      </c>
      <c r="J19" s="338">
        <f t="shared" si="55"/>
        <v>3000</v>
      </c>
      <c r="K19" s="338">
        <f t="shared" si="56"/>
        <v>3000</v>
      </c>
      <c r="L19" s="338">
        <f t="shared" si="57"/>
        <v>3000</v>
      </c>
      <c r="M19" s="338">
        <f t="shared" si="58"/>
        <v>3000</v>
      </c>
      <c r="N19" s="338">
        <f t="shared" si="59"/>
        <v>3000</v>
      </c>
      <c r="O19" s="414">
        <f t="shared" si="64"/>
        <v>9000</v>
      </c>
      <c r="P19" s="414">
        <f t="shared" si="65"/>
        <v>9000</v>
      </c>
      <c r="Q19" s="414">
        <f t="shared" si="66"/>
        <v>9000</v>
      </c>
      <c r="R19" s="414">
        <f t="shared" si="67"/>
        <v>9000</v>
      </c>
      <c r="S19" s="414">
        <f t="shared" si="68"/>
        <v>36000</v>
      </c>
      <c r="T19" s="338">
        <f>3000</f>
        <v>3000</v>
      </c>
      <c r="U19" s="338">
        <f t="shared" ref="U19:AE19" si="84">T19</f>
        <v>3000</v>
      </c>
      <c r="V19" s="338">
        <f t="shared" si="84"/>
        <v>3000</v>
      </c>
      <c r="W19" s="338">
        <f t="shared" si="84"/>
        <v>3000</v>
      </c>
      <c r="X19" s="338">
        <f t="shared" si="84"/>
        <v>3000</v>
      </c>
      <c r="Y19" s="338">
        <f t="shared" si="84"/>
        <v>3000</v>
      </c>
      <c r="Z19" s="338">
        <f t="shared" si="84"/>
        <v>3000</v>
      </c>
      <c r="AA19" s="338">
        <f t="shared" si="84"/>
        <v>3000</v>
      </c>
      <c r="AB19" s="338">
        <f t="shared" si="84"/>
        <v>3000</v>
      </c>
      <c r="AC19" s="338">
        <f t="shared" si="84"/>
        <v>3000</v>
      </c>
      <c r="AD19" s="338">
        <f t="shared" si="84"/>
        <v>3000</v>
      </c>
      <c r="AE19" s="338">
        <f t="shared" si="84"/>
        <v>3000</v>
      </c>
      <c r="AF19" s="339">
        <f t="shared" si="29"/>
        <v>9000</v>
      </c>
      <c r="AG19" s="339">
        <f t="shared" si="30"/>
        <v>9000</v>
      </c>
      <c r="AH19" s="339">
        <f t="shared" si="31"/>
        <v>9000</v>
      </c>
      <c r="AI19" s="339">
        <f t="shared" si="32"/>
        <v>9000</v>
      </c>
      <c r="AJ19" s="339">
        <f t="shared" si="33"/>
        <v>36000</v>
      </c>
      <c r="AK19" s="338"/>
      <c r="AL19" s="338">
        <f t="shared" ref="AL19:AV19" si="85">AK19</f>
        <v>0</v>
      </c>
      <c r="AM19" s="338">
        <f t="shared" si="85"/>
        <v>0</v>
      </c>
      <c r="AN19" s="338">
        <f t="shared" si="85"/>
        <v>0</v>
      </c>
      <c r="AO19" s="338">
        <f t="shared" si="85"/>
        <v>0</v>
      </c>
      <c r="AP19" s="338">
        <f t="shared" si="85"/>
        <v>0</v>
      </c>
      <c r="AQ19" s="338">
        <f t="shared" si="85"/>
        <v>0</v>
      </c>
      <c r="AR19" s="338">
        <f t="shared" si="85"/>
        <v>0</v>
      </c>
      <c r="AS19" s="338">
        <f t="shared" si="85"/>
        <v>0</v>
      </c>
      <c r="AT19" s="338">
        <f t="shared" si="85"/>
        <v>0</v>
      </c>
      <c r="AU19" s="338">
        <f t="shared" si="85"/>
        <v>0</v>
      </c>
      <c r="AV19" s="338">
        <f t="shared" si="85"/>
        <v>0</v>
      </c>
      <c r="AW19" s="339">
        <f t="shared" si="35"/>
        <v>0</v>
      </c>
      <c r="AX19" s="339">
        <f t="shared" si="36"/>
        <v>0</v>
      </c>
      <c r="AY19" s="339">
        <f t="shared" si="37"/>
        <v>0</v>
      </c>
      <c r="AZ19" s="339">
        <f t="shared" si="38"/>
        <v>0</v>
      </c>
      <c r="BA19" s="339">
        <f t="shared" si="39"/>
        <v>0</v>
      </c>
      <c r="BB19" s="338"/>
      <c r="BC19" s="338">
        <f t="shared" ref="BC19:BM19" si="86">BB19</f>
        <v>0</v>
      </c>
      <c r="BD19" s="338">
        <f t="shared" si="86"/>
        <v>0</v>
      </c>
      <c r="BE19" s="338">
        <f t="shared" si="86"/>
        <v>0</v>
      </c>
      <c r="BF19" s="338">
        <f t="shared" si="86"/>
        <v>0</v>
      </c>
      <c r="BG19" s="338">
        <f t="shared" si="86"/>
        <v>0</v>
      </c>
      <c r="BH19" s="338">
        <f t="shared" si="86"/>
        <v>0</v>
      </c>
      <c r="BI19" s="338">
        <f t="shared" si="86"/>
        <v>0</v>
      </c>
      <c r="BJ19" s="338">
        <f t="shared" si="86"/>
        <v>0</v>
      </c>
      <c r="BK19" s="338">
        <f t="shared" si="86"/>
        <v>0</v>
      </c>
      <c r="BL19" s="338">
        <f t="shared" si="86"/>
        <v>0</v>
      </c>
      <c r="BM19" s="338">
        <f t="shared" si="86"/>
        <v>0</v>
      </c>
      <c r="BN19" s="339">
        <f t="shared" si="41"/>
        <v>0</v>
      </c>
      <c r="BO19" s="339">
        <f t="shared" si="42"/>
        <v>0</v>
      </c>
      <c r="BP19" s="339">
        <f t="shared" si="43"/>
        <v>0</v>
      </c>
      <c r="BQ19" s="339">
        <f t="shared" si="44"/>
        <v>0</v>
      </c>
      <c r="BR19" s="339">
        <f t="shared" si="45"/>
        <v>0</v>
      </c>
    </row>
    <row r="20" spans="1:72">
      <c r="A20" s="1027"/>
      <c r="B20" s="337" t="s">
        <v>906</v>
      </c>
      <c r="C20" s="338">
        <f t="shared" si="63"/>
        <v>15000</v>
      </c>
      <c r="D20" s="338">
        <f t="shared" si="49"/>
        <v>15000</v>
      </c>
      <c r="E20" s="338">
        <f t="shared" si="50"/>
        <v>15000</v>
      </c>
      <c r="F20" s="338">
        <f t="shared" si="51"/>
        <v>15000</v>
      </c>
      <c r="G20" s="338">
        <f t="shared" si="52"/>
        <v>15000</v>
      </c>
      <c r="H20" s="338">
        <f t="shared" si="53"/>
        <v>15000</v>
      </c>
      <c r="I20" s="338">
        <f t="shared" si="54"/>
        <v>15000</v>
      </c>
      <c r="J20" s="338">
        <f t="shared" si="55"/>
        <v>15000</v>
      </c>
      <c r="K20" s="338">
        <f t="shared" si="56"/>
        <v>15000</v>
      </c>
      <c r="L20" s="338">
        <f t="shared" si="57"/>
        <v>15000</v>
      </c>
      <c r="M20" s="338">
        <f t="shared" si="58"/>
        <v>15000</v>
      </c>
      <c r="N20" s="338">
        <f t="shared" si="59"/>
        <v>15000</v>
      </c>
      <c r="O20" s="414">
        <f t="shared" si="64"/>
        <v>45000</v>
      </c>
      <c r="P20" s="414">
        <f t="shared" si="65"/>
        <v>45000</v>
      </c>
      <c r="Q20" s="414">
        <f t="shared" si="66"/>
        <v>45000</v>
      </c>
      <c r="R20" s="414">
        <f t="shared" si="67"/>
        <v>45000</v>
      </c>
      <c r="S20" s="414">
        <f t="shared" si="68"/>
        <v>180000</v>
      </c>
      <c r="T20" s="338">
        <f>500*30</f>
        <v>15000</v>
      </c>
      <c r="U20" s="338">
        <f t="shared" ref="U20:AE20" si="87">T20</f>
        <v>15000</v>
      </c>
      <c r="V20" s="338">
        <f t="shared" si="87"/>
        <v>15000</v>
      </c>
      <c r="W20" s="338">
        <f t="shared" si="87"/>
        <v>15000</v>
      </c>
      <c r="X20" s="338">
        <f t="shared" si="87"/>
        <v>15000</v>
      </c>
      <c r="Y20" s="338">
        <f t="shared" si="87"/>
        <v>15000</v>
      </c>
      <c r="Z20" s="338">
        <f t="shared" si="87"/>
        <v>15000</v>
      </c>
      <c r="AA20" s="338">
        <f t="shared" si="87"/>
        <v>15000</v>
      </c>
      <c r="AB20" s="338">
        <f t="shared" si="87"/>
        <v>15000</v>
      </c>
      <c r="AC20" s="338">
        <f t="shared" si="87"/>
        <v>15000</v>
      </c>
      <c r="AD20" s="338">
        <f t="shared" si="87"/>
        <v>15000</v>
      </c>
      <c r="AE20" s="338">
        <f t="shared" si="87"/>
        <v>15000</v>
      </c>
      <c r="AF20" s="339">
        <f t="shared" si="29"/>
        <v>45000</v>
      </c>
      <c r="AG20" s="339">
        <f t="shared" si="30"/>
        <v>45000</v>
      </c>
      <c r="AH20" s="339">
        <f t="shared" si="31"/>
        <v>45000</v>
      </c>
      <c r="AI20" s="339">
        <f t="shared" si="32"/>
        <v>45000</v>
      </c>
      <c r="AJ20" s="339">
        <f t="shared" si="33"/>
        <v>180000</v>
      </c>
      <c r="AK20" s="338"/>
      <c r="AL20" s="338">
        <f t="shared" ref="AL20:AV20" si="88">AK20</f>
        <v>0</v>
      </c>
      <c r="AM20" s="338">
        <f t="shared" si="88"/>
        <v>0</v>
      </c>
      <c r="AN20" s="338">
        <f t="shared" si="88"/>
        <v>0</v>
      </c>
      <c r="AO20" s="338">
        <f t="shared" si="88"/>
        <v>0</v>
      </c>
      <c r="AP20" s="338">
        <f t="shared" si="88"/>
        <v>0</v>
      </c>
      <c r="AQ20" s="338">
        <f t="shared" si="88"/>
        <v>0</v>
      </c>
      <c r="AR20" s="338">
        <f t="shared" si="88"/>
        <v>0</v>
      </c>
      <c r="AS20" s="338">
        <f t="shared" si="88"/>
        <v>0</v>
      </c>
      <c r="AT20" s="338">
        <f t="shared" si="88"/>
        <v>0</v>
      </c>
      <c r="AU20" s="338">
        <f t="shared" si="88"/>
        <v>0</v>
      </c>
      <c r="AV20" s="338">
        <f t="shared" si="88"/>
        <v>0</v>
      </c>
      <c r="AW20" s="339">
        <f t="shared" si="35"/>
        <v>0</v>
      </c>
      <c r="AX20" s="339">
        <f t="shared" si="36"/>
        <v>0</v>
      </c>
      <c r="AY20" s="339">
        <f t="shared" si="37"/>
        <v>0</v>
      </c>
      <c r="AZ20" s="339">
        <f t="shared" si="38"/>
        <v>0</v>
      </c>
      <c r="BA20" s="339">
        <f t="shared" si="39"/>
        <v>0</v>
      </c>
      <c r="BB20" s="338"/>
      <c r="BC20" s="338">
        <f t="shared" ref="BC20:BM20" si="89">BB20</f>
        <v>0</v>
      </c>
      <c r="BD20" s="338">
        <f t="shared" si="89"/>
        <v>0</v>
      </c>
      <c r="BE20" s="338">
        <f t="shared" si="89"/>
        <v>0</v>
      </c>
      <c r="BF20" s="338">
        <f t="shared" si="89"/>
        <v>0</v>
      </c>
      <c r="BG20" s="338">
        <f t="shared" si="89"/>
        <v>0</v>
      </c>
      <c r="BH20" s="338">
        <f t="shared" si="89"/>
        <v>0</v>
      </c>
      <c r="BI20" s="338">
        <f t="shared" si="89"/>
        <v>0</v>
      </c>
      <c r="BJ20" s="338">
        <f t="shared" si="89"/>
        <v>0</v>
      </c>
      <c r="BK20" s="338">
        <f t="shared" si="89"/>
        <v>0</v>
      </c>
      <c r="BL20" s="338">
        <f t="shared" si="89"/>
        <v>0</v>
      </c>
      <c r="BM20" s="338">
        <f t="shared" si="89"/>
        <v>0</v>
      </c>
      <c r="BN20" s="339">
        <f t="shared" si="41"/>
        <v>0</v>
      </c>
      <c r="BO20" s="339">
        <f t="shared" si="42"/>
        <v>0</v>
      </c>
      <c r="BP20" s="339">
        <f t="shared" si="43"/>
        <v>0</v>
      </c>
      <c r="BQ20" s="339">
        <f t="shared" si="44"/>
        <v>0</v>
      </c>
      <c r="BR20" s="339">
        <f t="shared" si="45"/>
        <v>0</v>
      </c>
    </row>
    <row r="21" spans="1:72" ht="25.5">
      <c r="A21" s="1027"/>
      <c r="B21" s="337" t="s">
        <v>907</v>
      </c>
      <c r="C21" s="338">
        <f t="shared" si="63"/>
        <v>767017.86736380658</v>
      </c>
      <c r="D21" s="338">
        <f t="shared" si="49"/>
        <v>659105.22187698656</v>
      </c>
      <c r="E21" s="338">
        <f t="shared" si="50"/>
        <v>671064.06736380653</v>
      </c>
      <c r="F21" s="338">
        <f t="shared" si="51"/>
        <v>374996.49143409985</v>
      </c>
      <c r="G21" s="338">
        <f t="shared" si="52"/>
        <v>159279.264</v>
      </c>
      <c r="H21" s="338">
        <f t="shared" si="53"/>
        <v>160479.264</v>
      </c>
      <c r="I21" s="338">
        <f t="shared" si="54"/>
        <v>139848.50399999999</v>
      </c>
      <c r="J21" s="338">
        <f t="shared" si="55"/>
        <v>139848.50399999999</v>
      </c>
      <c r="K21" s="338">
        <f t="shared" si="56"/>
        <v>199340.78400000001</v>
      </c>
      <c r="L21" s="338">
        <f t="shared" si="57"/>
        <v>504534.89143409987</v>
      </c>
      <c r="M21" s="338">
        <f t="shared" si="58"/>
        <v>655482.91886819992</v>
      </c>
      <c r="N21" s="338">
        <f t="shared" si="59"/>
        <v>607306.98736380658</v>
      </c>
      <c r="O21" s="414">
        <f t="shared" si="64"/>
        <v>2097187.1566045997</v>
      </c>
      <c r="P21" s="414">
        <f t="shared" si="65"/>
        <v>694755.01943409978</v>
      </c>
      <c r="Q21" s="414">
        <f t="shared" si="66"/>
        <v>479037.79200000002</v>
      </c>
      <c r="R21" s="414">
        <f t="shared" si="67"/>
        <v>1767324.7976661064</v>
      </c>
      <c r="S21" s="414">
        <f t="shared" si="68"/>
        <v>5038304.765704805</v>
      </c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9">
        <f t="shared" si="29"/>
        <v>0</v>
      </c>
      <c r="AG21" s="339">
        <f t="shared" si="30"/>
        <v>0</v>
      </c>
      <c r="AH21" s="339">
        <f t="shared" si="31"/>
        <v>0</v>
      </c>
      <c r="AI21" s="339">
        <f t="shared" si="32"/>
        <v>0</v>
      </c>
      <c r="AJ21" s="339">
        <f t="shared" si="33"/>
        <v>0</v>
      </c>
      <c r="AK21" s="338">
        <f ca="1">Енергоносії!C74</f>
        <v>54595.021971541311</v>
      </c>
      <c r="AL21" s="338">
        <f ca="1">Енергоносії!D74</f>
        <v>50899.09029687602</v>
      </c>
      <c r="AM21" s="338">
        <f ca="1">Енергоносії!E74</f>
        <v>55795.021971541311</v>
      </c>
      <c r="AN21" s="338">
        <f ca="1">Енергоносії!F74</f>
        <v>34883.386373326444</v>
      </c>
      <c r="AO21" s="338">
        <f ca="1">Енергоносії!G74</f>
        <v>16403.727999999999</v>
      </c>
      <c r="AP21" s="338">
        <f ca="1">Енергоносії!H74</f>
        <v>17603.727999999999</v>
      </c>
      <c r="AQ21" s="338">
        <f ca="1">Енергоносії!I74</f>
        <v>16403.727999999999</v>
      </c>
      <c r="AR21" s="338">
        <f ca="1">Енергоносії!J74</f>
        <v>16403.727999999999</v>
      </c>
      <c r="AS21" s="338">
        <f ca="1">Енергоносії!K74</f>
        <v>17603.727999999999</v>
      </c>
      <c r="AT21" s="338">
        <f ca="1">Енергоносії!L74</f>
        <v>34883.386373326444</v>
      </c>
      <c r="AU21" s="338">
        <f ca="1">Енергоносії!M74</f>
        <v>53363.044746652886</v>
      </c>
      <c r="AV21" s="338">
        <f ca="1">Енергоносії!N74</f>
        <v>67607.141971541321</v>
      </c>
      <c r="AW21" s="339">
        <f t="shared" si="35"/>
        <v>161289.13423995866</v>
      </c>
      <c r="AX21" s="339">
        <f t="shared" si="36"/>
        <v>68890.84237332645</v>
      </c>
      <c r="AY21" s="339">
        <f t="shared" si="37"/>
        <v>50411.183999999994</v>
      </c>
      <c r="AZ21" s="339">
        <f t="shared" si="38"/>
        <v>155853.57309152064</v>
      </c>
      <c r="BA21" s="339">
        <f t="shared" si="39"/>
        <v>436444.73370480572</v>
      </c>
      <c r="BB21" s="338">
        <f ca="1">Енергоносії!C69</f>
        <v>712422.84539226524</v>
      </c>
      <c r="BC21" s="338">
        <f ca="1">Енергоносії!D69</f>
        <v>608206.13158011052</v>
      </c>
      <c r="BD21" s="338">
        <f ca="1">Енергоносії!E69</f>
        <v>615269.04539226519</v>
      </c>
      <c r="BE21" s="338">
        <f ca="1">Енергоносії!F69</f>
        <v>340113.10506077344</v>
      </c>
      <c r="BF21" s="338">
        <f ca="1">Енергоносії!G69</f>
        <v>142875.53599999999</v>
      </c>
      <c r="BG21" s="338">
        <f ca="1">Енергоносії!H69</f>
        <v>142875.53599999999</v>
      </c>
      <c r="BH21" s="338">
        <f ca="1">Енергоносії!I69</f>
        <v>123444.776</v>
      </c>
      <c r="BI21" s="338">
        <f ca="1">Енергоносії!J69</f>
        <v>123444.776</v>
      </c>
      <c r="BJ21" s="338">
        <f ca="1">Енергоносії!K69</f>
        <v>181737.05600000001</v>
      </c>
      <c r="BK21" s="338">
        <f ca="1">Енергоносії!L69</f>
        <v>469651.50506077346</v>
      </c>
      <c r="BL21" s="338">
        <f ca="1">Енергоносії!M69</f>
        <v>602119.87412154698</v>
      </c>
      <c r="BM21" s="338">
        <f ca="1">Енергоносії!N69</f>
        <v>539699.84539226524</v>
      </c>
      <c r="BN21" s="339">
        <f t="shared" si="41"/>
        <v>1935898.0223646411</v>
      </c>
      <c r="BO21" s="339">
        <f t="shared" si="42"/>
        <v>625864.17706077336</v>
      </c>
      <c r="BP21" s="339">
        <f t="shared" si="43"/>
        <v>428626.60800000001</v>
      </c>
      <c r="BQ21" s="339">
        <f t="shared" si="44"/>
        <v>1611471.2245745859</v>
      </c>
      <c r="BR21" s="339">
        <f t="shared" si="45"/>
        <v>4601860.0319999997</v>
      </c>
      <c r="BS21" s="407">
        <f ca="1">'Програма МБ 2022 рік'!D8</f>
        <v>4601860.0319999997</v>
      </c>
      <c r="BT21" s="407"/>
    </row>
    <row r="22" spans="1:72">
      <c r="A22" s="1027"/>
      <c r="B22" s="337" t="s">
        <v>908</v>
      </c>
      <c r="C22" s="338">
        <f t="shared" si="63"/>
        <v>5000</v>
      </c>
      <c r="D22" s="338">
        <f t="shared" si="49"/>
        <v>5000</v>
      </c>
      <c r="E22" s="338">
        <f t="shared" si="50"/>
        <v>5000</v>
      </c>
      <c r="F22" s="338">
        <f t="shared" si="51"/>
        <v>5000</v>
      </c>
      <c r="G22" s="338">
        <f t="shared" si="52"/>
        <v>5000</v>
      </c>
      <c r="H22" s="338">
        <f t="shared" si="53"/>
        <v>5000</v>
      </c>
      <c r="I22" s="338">
        <f t="shared" si="54"/>
        <v>5000</v>
      </c>
      <c r="J22" s="338">
        <f t="shared" si="55"/>
        <v>5000</v>
      </c>
      <c r="K22" s="338">
        <f t="shared" si="56"/>
        <v>5000</v>
      </c>
      <c r="L22" s="338">
        <f t="shared" si="57"/>
        <v>5000</v>
      </c>
      <c r="M22" s="338">
        <f t="shared" si="58"/>
        <v>5000</v>
      </c>
      <c r="N22" s="338">
        <f t="shared" si="59"/>
        <v>5000</v>
      </c>
      <c r="O22" s="414">
        <f t="shared" si="64"/>
        <v>15000</v>
      </c>
      <c r="P22" s="414">
        <f t="shared" si="65"/>
        <v>15000</v>
      </c>
      <c r="Q22" s="414">
        <f t="shared" si="66"/>
        <v>15000</v>
      </c>
      <c r="R22" s="414">
        <f t="shared" si="67"/>
        <v>15000</v>
      </c>
      <c r="S22" s="414">
        <f t="shared" si="68"/>
        <v>60000</v>
      </c>
      <c r="T22" s="338">
        <f>5000</f>
        <v>5000</v>
      </c>
      <c r="U22" s="338">
        <f t="shared" ref="U22:AE25" si="90">T22</f>
        <v>5000</v>
      </c>
      <c r="V22" s="338">
        <f t="shared" ref="V22:AE22" si="91">U22</f>
        <v>5000</v>
      </c>
      <c r="W22" s="338">
        <f t="shared" si="91"/>
        <v>5000</v>
      </c>
      <c r="X22" s="338">
        <f t="shared" si="91"/>
        <v>5000</v>
      </c>
      <c r="Y22" s="338">
        <f t="shared" si="91"/>
        <v>5000</v>
      </c>
      <c r="Z22" s="338">
        <f t="shared" si="91"/>
        <v>5000</v>
      </c>
      <c r="AA22" s="338">
        <f t="shared" si="91"/>
        <v>5000</v>
      </c>
      <c r="AB22" s="338">
        <f t="shared" si="91"/>
        <v>5000</v>
      </c>
      <c r="AC22" s="338">
        <f t="shared" si="91"/>
        <v>5000</v>
      </c>
      <c r="AD22" s="338">
        <f t="shared" si="91"/>
        <v>5000</v>
      </c>
      <c r="AE22" s="338">
        <f t="shared" si="91"/>
        <v>5000</v>
      </c>
      <c r="AF22" s="339">
        <f t="shared" si="29"/>
        <v>15000</v>
      </c>
      <c r="AG22" s="339">
        <f t="shared" si="30"/>
        <v>15000</v>
      </c>
      <c r="AH22" s="339">
        <f t="shared" si="31"/>
        <v>15000</v>
      </c>
      <c r="AI22" s="339">
        <f t="shared" si="32"/>
        <v>15000</v>
      </c>
      <c r="AJ22" s="339">
        <f t="shared" si="33"/>
        <v>60000</v>
      </c>
      <c r="AK22" s="338"/>
      <c r="AL22" s="338">
        <f t="shared" ref="AL22:AV22" si="92">AK22</f>
        <v>0</v>
      </c>
      <c r="AM22" s="338">
        <f t="shared" si="92"/>
        <v>0</v>
      </c>
      <c r="AN22" s="338">
        <f t="shared" si="92"/>
        <v>0</v>
      </c>
      <c r="AO22" s="338">
        <f t="shared" si="92"/>
        <v>0</v>
      </c>
      <c r="AP22" s="338">
        <f t="shared" si="92"/>
        <v>0</v>
      </c>
      <c r="AQ22" s="338">
        <f t="shared" si="92"/>
        <v>0</v>
      </c>
      <c r="AR22" s="338">
        <f t="shared" si="92"/>
        <v>0</v>
      </c>
      <c r="AS22" s="338">
        <f t="shared" si="92"/>
        <v>0</v>
      </c>
      <c r="AT22" s="338">
        <f t="shared" si="92"/>
        <v>0</v>
      </c>
      <c r="AU22" s="338">
        <f t="shared" si="92"/>
        <v>0</v>
      </c>
      <c r="AV22" s="338">
        <f t="shared" si="92"/>
        <v>0</v>
      </c>
      <c r="AW22" s="339">
        <f t="shared" si="35"/>
        <v>0</v>
      </c>
      <c r="AX22" s="339">
        <f t="shared" si="36"/>
        <v>0</v>
      </c>
      <c r="AY22" s="339">
        <f t="shared" si="37"/>
        <v>0</v>
      </c>
      <c r="AZ22" s="339">
        <f t="shared" si="38"/>
        <v>0</v>
      </c>
      <c r="BA22" s="339">
        <f t="shared" si="39"/>
        <v>0</v>
      </c>
      <c r="BB22" s="338"/>
      <c r="BC22" s="338">
        <f t="shared" ref="BC22:BM22" si="93">BB22</f>
        <v>0</v>
      </c>
      <c r="BD22" s="338">
        <f t="shared" si="93"/>
        <v>0</v>
      </c>
      <c r="BE22" s="338">
        <f t="shared" si="93"/>
        <v>0</v>
      </c>
      <c r="BF22" s="338">
        <f t="shared" si="93"/>
        <v>0</v>
      </c>
      <c r="BG22" s="338">
        <f t="shared" si="93"/>
        <v>0</v>
      </c>
      <c r="BH22" s="338">
        <f t="shared" si="93"/>
        <v>0</v>
      </c>
      <c r="BI22" s="338">
        <f t="shared" si="93"/>
        <v>0</v>
      </c>
      <c r="BJ22" s="338">
        <f t="shared" si="93"/>
        <v>0</v>
      </c>
      <c r="BK22" s="338">
        <f t="shared" si="93"/>
        <v>0</v>
      </c>
      <c r="BL22" s="338">
        <f t="shared" si="93"/>
        <v>0</v>
      </c>
      <c r="BM22" s="338">
        <f t="shared" si="93"/>
        <v>0</v>
      </c>
      <c r="BN22" s="339">
        <f t="shared" si="41"/>
        <v>0</v>
      </c>
      <c r="BO22" s="339">
        <f t="shared" si="42"/>
        <v>0</v>
      </c>
      <c r="BP22" s="339">
        <f t="shared" si="43"/>
        <v>0</v>
      </c>
      <c r="BQ22" s="339">
        <f t="shared" si="44"/>
        <v>0</v>
      </c>
      <c r="BR22" s="339">
        <f t="shared" si="45"/>
        <v>0</v>
      </c>
    </row>
    <row r="23" spans="1:72">
      <c r="A23" s="1027"/>
      <c r="B23" s="337" t="s">
        <v>909</v>
      </c>
      <c r="C23" s="338">
        <f t="shared" si="63"/>
        <v>10000</v>
      </c>
      <c r="D23" s="338">
        <f t="shared" si="49"/>
        <v>10000</v>
      </c>
      <c r="E23" s="338">
        <f t="shared" si="50"/>
        <v>10000</v>
      </c>
      <c r="F23" s="338">
        <f t="shared" si="51"/>
        <v>10000</v>
      </c>
      <c r="G23" s="338">
        <f t="shared" si="52"/>
        <v>10000</v>
      </c>
      <c r="H23" s="338">
        <f t="shared" si="53"/>
        <v>10000</v>
      </c>
      <c r="I23" s="338">
        <f t="shared" si="54"/>
        <v>10000</v>
      </c>
      <c r="J23" s="338">
        <f t="shared" si="55"/>
        <v>10000</v>
      </c>
      <c r="K23" s="338">
        <f t="shared" si="56"/>
        <v>10000</v>
      </c>
      <c r="L23" s="338">
        <f t="shared" si="57"/>
        <v>10000</v>
      </c>
      <c r="M23" s="338">
        <f t="shared" si="58"/>
        <v>10000</v>
      </c>
      <c r="N23" s="338">
        <f t="shared" si="59"/>
        <v>10000</v>
      </c>
      <c r="O23" s="414">
        <f t="shared" si="64"/>
        <v>30000</v>
      </c>
      <c r="P23" s="414">
        <f t="shared" si="65"/>
        <v>30000</v>
      </c>
      <c r="Q23" s="414">
        <f t="shared" si="66"/>
        <v>30000</v>
      </c>
      <c r="R23" s="414">
        <f t="shared" si="67"/>
        <v>30000</v>
      </c>
      <c r="S23" s="414">
        <f t="shared" si="68"/>
        <v>120000</v>
      </c>
      <c r="T23" s="338">
        <f>10000</f>
        <v>10000</v>
      </c>
      <c r="U23" s="338">
        <f t="shared" si="90"/>
        <v>10000</v>
      </c>
      <c r="V23" s="338">
        <f t="shared" si="90"/>
        <v>10000</v>
      </c>
      <c r="W23" s="338">
        <f t="shared" si="90"/>
        <v>10000</v>
      </c>
      <c r="X23" s="338">
        <f t="shared" si="90"/>
        <v>10000</v>
      </c>
      <c r="Y23" s="338">
        <f t="shared" si="90"/>
        <v>10000</v>
      </c>
      <c r="Z23" s="338">
        <f t="shared" si="90"/>
        <v>10000</v>
      </c>
      <c r="AA23" s="338">
        <f t="shared" si="90"/>
        <v>10000</v>
      </c>
      <c r="AB23" s="338">
        <f t="shared" si="90"/>
        <v>10000</v>
      </c>
      <c r="AC23" s="338">
        <f t="shared" si="90"/>
        <v>10000</v>
      </c>
      <c r="AD23" s="338">
        <f t="shared" si="90"/>
        <v>10000</v>
      </c>
      <c r="AE23" s="338">
        <f t="shared" si="90"/>
        <v>10000</v>
      </c>
      <c r="AF23" s="339">
        <f t="shared" si="29"/>
        <v>30000</v>
      </c>
      <c r="AG23" s="339">
        <f t="shared" si="30"/>
        <v>30000</v>
      </c>
      <c r="AH23" s="339">
        <f t="shared" si="31"/>
        <v>30000</v>
      </c>
      <c r="AI23" s="339">
        <f t="shared" si="32"/>
        <v>30000</v>
      </c>
      <c r="AJ23" s="339">
        <f t="shared" si="33"/>
        <v>120000</v>
      </c>
      <c r="AK23" s="338"/>
      <c r="AL23" s="338">
        <f t="shared" ref="AL23:AV25" si="94">AK23</f>
        <v>0</v>
      </c>
      <c r="AM23" s="338">
        <f t="shared" si="94"/>
        <v>0</v>
      </c>
      <c r="AN23" s="338">
        <f t="shared" si="94"/>
        <v>0</v>
      </c>
      <c r="AO23" s="338">
        <f t="shared" si="94"/>
        <v>0</v>
      </c>
      <c r="AP23" s="338">
        <f t="shared" si="94"/>
        <v>0</v>
      </c>
      <c r="AQ23" s="338">
        <f t="shared" si="94"/>
        <v>0</v>
      </c>
      <c r="AR23" s="338">
        <f t="shared" si="94"/>
        <v>0</v>
      </c>
      <c r="AS23" s="338">
        <f t="shared" si="94"/>
        <v>0</v>
      </c>
      <c r="AT23" s="338">
        <f t="shared" si="94"/>
        <v>0</v>
      </c>
      <c r="AU23" s="338">
        <f t="shared" si="94"/>
        <v>0</v>
      </c>
      <c r="AV23" s="338">
        <f t="shared" si="94"/>
        <v>0</v>
      </c>
      <c r="AW23" s="339">
        <f t="shared" si="35"/>
        <v>0</v>
      </c>
      <c r="AX23" s="339">
        <f t="shared" si="36"/>
        <v>0</v>
      </c>
      <c r="AY23" s="339">
        <f t="shared" si="37"/>
        <v>0</v>
      </c>
      <c r="AZ23" s="339">
        <f t="shared" si="38"/>
        <v>0</v>
      </c>
      <c r="BA23" s="339">
        <f t="shared" si="39"/>
        <v>0</v>
      </c>
      <c r="BB23" s="338"/>
      <c r="BC23" s="338">
        <f t="shared" ref="BC23:BM23" si="95">BB23</f>
        <v>0</v>
      </c>
      <c r="BD23" s="338">
        <f t="shared" si="95"/>
        <v>0</v>
      </c>
      <c r="BE23" s="338">
        <f t="shared" si="95"/>
        <v>0</v>
      </c>
      <c r="BF23" s="338">
        <f t="shared" si="95"/>
        <v>0</v>
      </c>
      <c r="BG23" s="338">
        <f t="shared" si="95"/>
        <v>0</v>
      </c>
      <c r="BH23" s="338">
        <f t="shared" si="95"/>
        <v>0</v>
      </c>
      <c r="BI23" s="338">
        <f t="shared" si="95"/>
        <v>0</v>
      </c>
      <c r="BJ23" s="338">
        <f t="shared" si="95"/>
        <v>0</v>
      </c>
      <c r="BK23" s="338">
        <f t="shared" si="95"/>
        <v>0</v>
      </c>
      <c r="BL23" s="338">
        <f t="shared" si="95"/>
        <v>0</v>
      </c>
      <c r="BM23" s="338">
        <f t="shared" si="95"/>
        <v>0</v>
      </c>
      <c r="BN23" s="339">
        <f t="shared" si="41"/>
        <v>0</v>
      </c>
      <c r="BO23" s="339">
        <f t="shared" si="42"/>
        <v>0</v>
      </c>
      <c r="BP23" s="339">
        <f t="shared" si="43"/>
        <v>0</v>
      </c>
      <c r="BQ23" s="339">
        <f t="shared" si="44"/>
        <v>0</v>
      </c>
      <c r="BR23" s="339">
        <f t="shared" si="45"/>
        <v>0</v>
      </c>
    </row>
    <row r="24" spans="1:72">
      <c r="A24" s="1026"/>
      <c r="B24" s="334" t="s">
        <v>910</v>
      </c>
      <c r="C24" s="336">
        <f>SUM(C25,C26,C27,C28,C29,C30)</f>
        <v>67000</v>
      </c>
      <c r="D24" s="336">
        <f t="shared" ref="D24:R24" si="96">SUM(D25,D26,D27,D28,D29,D30)</f>
        <v>67000</v>
      </c>
      <c r="E24" s="336">
        <f t="shared" si="96"/>
        <v>67000</v>
      </c>
      <c r="F24" s="336">
        <f t="shared" si="96"/>
        <v>67000</v>
      </c>
      <c r="G24" s="336">
        <f t="shared" si="96"/>
        <v>67000</v>
      </c>
      <c r="H24" s="336">
        <f t="shared" si="96"/>
        <v>67000</v>
      </c>
      <c r="I24" s="336">
        <f t="shared" si="96"/>
        <v>67000</v>
      </c>
      <c r="J24" s="336">
        <f t="shared" si="96"/>
        <v>67000</v>
      </c>
      <c r="K24" s="336">
        <f t="shared" si="96"/>
        <v>67000</v>
      </c>
      <c r="L24" s="336">
        <f t="shared" si="96"/>
        <v>67000</v>
      </c>
      <c r="M24" s="336">
        <f t="shared" si="96"/>
        <v>67000</v>
      </c>
      <c r="N24" s="336">
        <f t="shared" si="96"/>
        <v>67000</v>
      </c>
      <c r="O24" s="413">
        <f t="shared" si="96"/>
        <v>201000</v>
      </c>
      <c r="P24" s="413">
        <f t="shared" si="96"/>
        <v>201000</v>
      </c>
      <c r="Q24" s="413">
        <f t="shared" si="96"/>
        <v>201000</v>
      </c>
      <c r="R24" s="413">
        <f t="shared" si="96"/>
        <v>201000</v>
      </c>
      <c r="S24" s="413">
        <f>SUM(S25,S26,S27,S28,S29,S30)</f>
        <v>804000</v>
      </c>
      <c r="T24" s="336">
        <f>SUM(T25,T26,T27,T28,T29,T30)</f>
        <v>67000</v>
      </c>
      <c r="U24" s="336">
        <f t="shared" ref="U24:AJ24" si="97">SUM(U25,U26,U27,U28,U29,U30)</f>
        <v>67000</v>
      </c>
      <c r="V24" s="336">
        <f t="shared" si="97"/>
        <v>67000</v>
      </c>
      <c r="W24" s="336">
        <f t="shared" si="97"/>
        <v>67000</v>
      </c>
      <c r="X24" s="336">
        <f t="shared" si="97"/>
        <v>67000</v>
      </c>
      <c r="Y24" s="336">
        <f t="shared" si="97"/>
        <v>67000</v>
      </c>
      <c r="Z24" s="336">
        <f t="shared" si="97"/>
        <v>67000</v>
      </c>
      <c r="AA24" s="336">
        <f t="shared" si="97"/>
        <v>67000</v>
      </c>
      <c r="AB24" s="336">
        <f t="shared" si="97"/>
        <v>67000</v>
      </c>
      <c r="AC24" s="336">
        <f t="shared" si="97"/>
        <v>67000</v>
      </c>
      <c r="AD24" s="336">
        <f t="shared" si="97"/>
        <v>67000</v>
      </c>
      <c r="AE24" s="336">
        <f t="shared" si="97"/>
        <v>67000</v>
      </c>
      <c r="AF24" s="336">
        <f t="shared" si="97"/>
        <v>201000</v>
      </c>
      <c r="AG24" s="336">
        <f t="shared" si="97"/>
        <v>201000</v>
      </c>
      <c r="AH24" s="336">
        <f t="shared" si="97"/>
        <v>201000</v>
      </c>
      <c r="AI24" s="336">
        <f t="shared" si="97"/>
        <v>201000</v>
      </c>
      <c r="AJ24" s="336">
        <f t="shared" si="97"/>
        <v>804000</v>
      </c>
      <c r="AK24" s="336">
        <f>SUM(AK25,AK26,AK27,AK28,AK29,AK30)</f>
        <v>0</v>
      </c>
      <c r="AL24" s="336">
        <f t="shared" ref="AL24:BA24" si="98">SUM(AL25,AL26,AL27,AL28,AL29,AL30)</f>
        <v>0</v>
      </c>
      <c r="AM24" s="336">
        <f t="shared" si="98"/>
        <v>0</v>
      </c>
      <c r="AN24" s="336">
        <f t="shared" si="98"/>
        <v>0</v>
      </c>
      <c r="AO24" s="336">
        <f t="shared" si="98"/>
        <v>0</v>
      </c>
      <c r="AP24" s="336">
        <f t="shared" si="98"/>
        <v>0</v>
      </c>
      <c r="AQ24" s="336">
        <f t="shared" si="98"/>
        <v>0</v>
      </c>
      <c r="AR24" s="336">
        <f t="shared" si="98"/>
        <v>0</v>
      </c>
      <c r="AS24" s="336">
        <f t="shared" si="98"/>
        <v>0</v>
      </c>
      <c r="AT24" s="336">
        <f t="shared" si="98"/>
        <v>0</v>
      </c>
      <c r="AU24" s="336">
        <f t="shared" si="98"/>
        <v>0</v>
      </c>
      <c r="AV24" s="336">
        <f t="shared" si="98"/>
        <v>0</v>
      </c>
      <c r="AW24" s="336">
        <f t="shared" si="98"/>
        <v>0</v>
      </c>
      <c r="AX24" s="336">
        <f t="shared" si="98"/>
        <v>0</v>
      </c>
      <c r="AY24" s="336">
        <f t="shared" si="98"/>
        <v>0</v>
      </c>
      <c r="AZ24" s="336">
        <f t="shared" si="98"/>
        <v>0</v>
      </c>
      <c r="BA24" s="336">
        <f t="shared" si="98"/>
        <v>0</v>
      </c>
      <c r="BB24" s="336">
        <f>SUM(BB25,BB26,BB27,BB28,BB29,BB30)</f>
        <v>0</v>
      </c>
      <c r="BC24" s="336">
        <f t="shared" ref="BC24:BM24" si="99">SUM(BC25,BC26,BC27,BC28,BC29,BC30)</f>
        <v>0</v>
      </c>
      <c r="BD24" s="336">
        <f t="shared" si="99"/>
        <v>0</v>
      </c>
      <c r="BE24" s="336">
        <f t="shared" si="99"/>
        <v>0</v>
      </c>
      <c r="BF24" s="336">
        <f t="shared" si="99"/>
        <v>0</v>
      </c>
      <c r="BG24" s="336">
        <f t="shared" si="99"/>
        <v>0</v>
      </c>
      <c r="BH24" s="336">
        <f t="shared" si="99"/>
        <v>0</v>
      </c>
      <c r="BI24" s="336">
        <f t="shared" si="99"/>
        <v>0</v>
      </c>
      <c r="BJ24" s="336">
        <f t="shared" si="99"/>
        <v>0</v>
      </c>
      <c r="BK24" s="336">
        <f t="shared" si="99"/>
        <v>0</v>
      </c>
      <c r="BL24" s="336">
        <f t="shared" si="99"/>
        <v>0</v>
      </c>
      <c r="BM24" s="336">
        <f t="shared" si="99"/>
        <v>0</v>
      </c>
      <c r="BN24" s="336">
        <f>SUM(BN25,BN26,BN27,BN28,BN29,BN30)</f>
        <v>0</v>
      </c>
      <c r="BO24" s="336">
        <f>SUM(BO25,BO26,BO27,BO28,BO29,BO30)</f>
        <v>0</v>
      </c>
      <c r="BP24" s="336">
        <f>SUM(BP25,BP26,BP27,BP28,BP29,BP30)</f>
        <v>0</v>
      </c>
      <c r="BQ24" s="336">
        <f>SUM(BQ25,BQ26,BQ27,BQ28,BQ29,BQ30)</f>
        <v>0</v>
      </c>
      <c r="BR24" s="336">
        <f>SUM(BR25,BR26,BR27,BR28,BR29,BR30)</f>
        <v>0</v>
      </c>
    </row>
    <row r="25" spans="1:72">
      <c r="A25" s="1027"/>
      <c r="B25" s="343" t="s">
        <v>911</v>
      </c>
      <c r="C25" s="338">
        <f t="shared" ref="C25:N25" si="100">T25+AK25+BB25</f>
        <v>5000</v>
      </c>
      <c r="D25" s="338">
        <f t="shared" si="100"/>
        <v>5000</v>
      </c>
      <c r="E25" s="338">
        <f t="shared" si="100"/>
        <v>5000</v>
      </c>
      <c r="F25" s="338">
        <f t="shared" si="100"/>
        <v>5000</v>
      </c>
      <c r="G25" s="338">
        <f t="shared" si="100"/>
        <v>5000</v>
      </c>
      <c r="H25" s="338">
        <f t="shared" si="100"/>
        <v>5000</v>
      </c>
      <c r="I25" s="338">
        <f t="shared" si="100"/>
        <v>5000</v>
      </c>
      <c r="J25" s="338">
        <f t="shared" si="100"/>
        <v>5000</v>
      </c>
      <c r="K25" s="338">
        <f t="shared" si="100"/>
        <v>5000</v>
      </c>
      <c r="L25" s="338">
        <f t="shared" si="100"/>
        <v>5000</v>
      </c>
      <c r="M25" s="338">
        <f t="shared" si="100"/>
        <v>5000</v>
      </c>
      <c r="N25" s="338">
        <f t="shared" si="100"/>
        <v>5000</v>
      </c>
      <c r="O25" s="414">
        <f>SUM(C25:E25)</f>
        <v>15000</v>
      </c>
      <c r="P25" s="414">
        <f>SUM(F25:H25)</f>
        <v>15000</v>
      </c>
      <c r="Q25" s="414">
        <f>SUM(I25:K25)</f>
        <v>15000</v>
      </c>
      <c r="R25" s="414">
        <f>SUM(L25:N25)</f>
        <v>15000</v>
      </c>
      <c r="S25" s="783">
        <f>O25+P25+Q25+R25</f>
        <v>60000</v>
      </c>
      <c r="T25" s="338">
        <f>5000</f>
        <v>5000</v>
      </c>
      <c r="U25" s="338">
        <f t="shared" si="90"/>
        <v>5000</v>
      </c>
      <c r="V25" s="338">
        <f t="shared" si="90"/>
        <v>5000</v>
      </c>
      <c r="W25" s="338">
        <f t="shared" si="90"/>
        <v>5000</v>
      </c>
      <c r="X25" s="338">
        <f t="shared" si="90"/>
        <v>5000</v>
      </c>
      <c r="Y25" s="338">
        <f t="shared" si="90"/>
        <v>5000</v>
      </c>
      <c r="Z25" s="338">
        <f t="shared" si="90"/>
        <v>5000</v>
      </c>
      <c r="AA25" s="338">
        <f t="shared" si="90"/>
        <v>5000</v>
      </c>
      <c r="AB25" s="338">
        <f t="shared" si="90"/>
        <v>5000</v>
      </c>
      <c r="AC25" s="338">
        <f t="shared" si="90"/>
        <v>5000</v>
      </c>
      <c r="AD25" s="338">
        <f t="shared" si="90"/>
        <v>5000</v>
      </c>
      <c r="AE25" s="338">
        <f t="shared" si="90"/>
        <v>5000</v>
      </c>
      <c r="AF25" s="339">
        <f t="shared" ref="AF25:AF31" si="101">SUM(T25:V25)</f>
        <v>15000</v>
      </c>
      <c r="AG25" s="339">
        <f t="shared" ref="AG25:AG31" si="102">SUM(W25:Y25)</f>
        <v>15000</v>
      </c>
      <c r="AH25" s="339">
        <f t="shared" ref="AH25:AH31" si="103">SUM(Z25:AB25)</f>
        <v>15000</v>
      </c>
      <c r="AI25" s="339">
        <f t="shared" ref="AI25:AI31" si="104">SUM(AC25:AE25)</f>
        <v>15000</v>
      </c>
      <c r="AJ25" s="339">
        <f t="shared" ref="AJ25:AJ31" si="105">AF25+AG25+AH25+AI25</f>
        <v>60000</v>
      </c>
      <c r="AK25" s="338"/>
      <c r="AL25" s="338">
        <f t="shared" si="94"/>
        <v>0</v>
      </c>
      <c r="AM25" s="338">
        <f t="shared" si="94"/>
        <v>0</v>
      </c>
      <c r="AN25" s="338">
        <f t="shared" si="94"/>
        <v>0</v>
      </c>
      <c r="AO25" s="338">
        <f t="shared" si="94"/>
        <v>0</v>
      </c>
      <c r="AP25" s="338">
        <f t="shared" si="94"/>
        <v>0</v>
      </c>
      <c r="AQ25" s="338">
        <f t="shared" si="94"/>
        <v>0</v>
      </c>
      <c r="AR25" s="338">
        <f t="shared" si="94"/>
        <v>0</v>
      </c>
      <c r="AS25" s="338">
        <f t="shared" si="94"/>
        <v>0</v>
      </c>
      <c r="AT25" s="338">
        <f t="shared" si="94"/>
        <v>0</v>
      </c>
      <c r="AU25" s="338">
        <f t="shared" si="94"/>
        <v>0</v>
      </c>
      <c r="AV25" s="338">
        <f t="shared" si="94"/>
        <v>0</v>
      </c>
      <c r="AW25" s="339">
        <f t="shared" ref="AW25:AW31" si="106">SUM(AK25:AM25)</f>
        <v>0</v>
      </c>
      <c r="AX25" s="339">
        <f t="shared" ref="AX25:AX31" si="107">SUM(AN25:AP25)</f>
        <v>0</v>
      </c>
      <c r="AY25" s="339">
        <f t="shared" ref="AY25:AY31" si="108">SUM(AQ25:AS25)</f>
        <v>0</v>
      </c>
      <c r="AZ25" s="339">
        <f t="shared" ref="AZ25:AZ31" si="109">SUM(AT25:AV25)</f>
        <v>0</v>
      </c>
      <c r="BA25" s="339">
        <f t="shared" ref="BA25:BA31" si="110">AW25+AX25+AY25+AZ25</f>
        <v>0</v>
      </c>
      <c r="BB25" s="338"/>
      <c r="BC25" s="338">
        <f t="shared" ref="BC25:BM25" si="111">BB25</f>
        <v>0</v>
      </c>
      <c r="BD25" s="338">
        <f t="shared" si="111"/>
        <v>0</v>
      </c>
      <c r="BE25" s="338">
        <f t="shared" si="111"/>
        <v>0</v>
      </c>
      <c r="BF25" s="338">
        <f t="shared" si="111"/>
        <v>0</v>
      </c>
      <c r="BG25" s="338">
        <f t="shared" si="111"/>
        <v>0</v>
      </c>
      <c r="BH25" s="338">
        <f t="shared" si="111"/>
        <v>0</v>
      </c>
      <c r="BI25" s="338">
        <f t="shared" si="111"/>
        <v>0</v>
      </c>
      <c r="BJ25" s="338">
        <f t="shared" si="111"/>
        <v>0</v>
      </c>
      <c r="BK25" s="338">
        <f t="shared" si="111"/>
        <v>0</v>
      </c>
      <c r="BL25" s="338">
        <f t="shared" si="111"/>
        <v>0</v>
      </c>
      <c r="BM25" s="338">
        <f t="shared" si="111"/>
        <v>0</v>
      </c>
      <c r="BN25" s="339">
        <f t="shared" ref="BN25:BN31" si="112">SUM(BB25:BD25)</f>
        <v>0</v>
      </c>
      <c r="BO25" s="339">
        <f t="shared" ref="BO25:BO31" si="113">SUM(BE25:BG25)</f>
        <v>0</v>
      </c>
      <c r="BP25" s="339">
        <f t="shared" ref="BP25:BP31" si="114">SUM(BH25:BJ25)</f>
        <v>0</v>
      </c>
      <c r="BQ25" s="339">
        <f t="shared" ref="BQ25:BQ31" si="115">SUM(BK25:BM25)</f>
        <v>0</v>
      </c>
      <c r="BR25" s="339">
        <f t="shared" ref="BR25:BR31" si="116">BN25+BO25+BP25+BQ25</f>
        <v>0</v>
      </c>
    </row>
    <row r="26" spans="1:72">
      <c r="A26" s="1027"/>
      <c r="B26" s="343" t="s">
        <v>912</v>
      </c>
      <c r="C26" s="338">
        <f t="shared" ref="C26:C31" si="117">T26+AK26+BB26</f>
        <v>50000</v>
      </c>
      <c r="D26" s="338">
        <f t="shared" ref="D26:D31" si="118">U26+AL26+BC26</f>
        <v>50000</v>
      </c>
      <c r="E26" s="338">
        <f t="shared" ref="E26:E31" si="119">V26+AM26+BD26</f>
        <v>50000</v>
      </c>
      <c r="F26" s="338">
        <f t="shared" ref="F26:F31" si="120">W26+AN26+BE26</f>
        <v>50000</v>
      </c>
      <c r="G26" s="338">
        <f t="shared" ref="G26:G31" si="121">X26+AO26+BF26</f>
        <v>50000</v>
      </c>
      <c r="H26" s="338">
        <f t="shared" ref="H26:H31" si="122">Y26+AP26+BG26</f>
        <v>50000</v>
      </c>
      <c r="I26" s="338">
        <f t="shared" ref="I26:I31" si="123">Z26+AQ26+BH26</f>
        <v>50000</v>
      </c>
      <c r="J26" s="338">
        <f t="shared" ref="J26:J31" si="124">AA26+AR26+BI26</f>
        <v>50000</v>
      </c>
      <c r="K26" s="338">
        <f t="shared" ref="K26:K31" si="125">AB26+AS26+BJ26</f>
        <v>50000</v>
      </c>
      <c r="L26" s="338">
        <f t="shared" ref="L26:L31" si="126">AC26+AT26+BK26</f>
        <v>50000</v>
      </c>
      <c r="M26" s="338">
        <f t="shared" ref="M26:M31" si="127">AD26+AU26+BL26</f>
        <v>50000</v>
      </c>
      <c r="N26" s="338">
        <f t="shared" ref="N26:N31" si="128">AE26+AV26+BM26</f>
        <v>50000</v>
      </c>
      <c r="O26" s="414">
        <f t="shared" ref="O26:O31" si="129">SUM(C26:E26)</f>
        <v>150000</v>
      </c>
      <c r="P26" s="414">
        <f t="shared" ref="P26:P31" si="130">SUM(F26:H26)</f>
        <v>150000</v>
      </c>
      <c r="Q26" s="414">
        <f t="shared" ref="Q26:Q31" si="131">SUM(I26:K26)</f>
        <v>150000</v>
      </c>
      <c r="R26" s="414">
        <f t="shared" ref="R26:R31" si="132">SUM(L26:N26)</f>
        <v>150000</v>
      </c>
      <c r="S26" s="783">
        <f t="shared" ref="S26:S31" si="133">O26+P26+Q26+R26</f>
        <v>600000</v>
      </c>
      <c r="T26" s="338">
        <f>50000</f>
        <v>50000</v>
      </c>
      <c r="U26" s="338">
        <f t="shared" ref="U26:AE26" si="134">T26</f>
        <v>50000</v>
      </c>
      <c r="V26" s="338">
        <f t="shared" si="134"/>
        <v>50000</v>
      </c>
      <c r="W26" s="338">
        <f t="shared" si="134"/>
        <v>50000</v>
      </c>
      <c r="X26" s="338">
        <f t="shared" si="134"/>
        <v>50000</v>
      </c>
      <c r="Y26" s="338">
        <f t="shared" si="134"/>
        <v>50000</v>
      </c>
      <c r="Z26" s="338">
        <f t="shared" si="134"/>
        <v>50000</v>
      </c>
      <c r="AA26" s="338">
        <f t="shared" si="134"/>
        <v>50000</v>
      </c>
      <c r="AB26" s="338">
        <f t="shared" si="134"/>
        <v>50000</v>
      </c>
      <c r="AC26" s="338">
        <f t="shared" si="134"/>
        <v>50000</v>
      </c>
      <c r="AD26" s="338">
        <f t="shared" si="134"/>
        <v>50000</v>
      </c>
      <c r="AE26" s="338">
        <f t="shared" si="134"/>
        <v>50000</v>
      </c>
      <c r="AF26" s="339">
        <f t="shared" si="101"/>
        <v>150000</v>
      </c>
      <c r="AG26" s="339">
        <f t="shared" si="102"/>
        <v>150000</v>
      </c>
      <c r="AH26" s="339">
        <f t="shared" si="103"/>
        <v>150000</v>
      </c>
      <c r="AI26" s="339">
        <f t="shared" si="104"/>
        <v>150000</v>
      </c>
      <c r="AJ26" s="339">
        <f t="shared" si="105"/>
        <v>600000</v>
      </c>
      <c r="AK26" s="338"/>
      <c r="AL26" s="338">
        <f t="shared" ref="AL26:AV26" si="135">AK26</f>
        <v>0</v>
      </c>
      <c r="AM26" s="338">
        <f t="shared" si="135"/>
        <v>0</v>
      </c>
      <c r="AN26" s="338">
        <f t="shared" si="135"/>
        <v>0</v>
      </c>
      <c r="AO26" s="338">
        <f t="shared" si="135"/>
        <v>0</v>
      </c>
      <c r="AP26" s="338">
        <f t="shared" si="135"/>
        <v>0</v>
      </c>
      <c r="AQ26" s="338">
        <f t="shared" si="135"/>
        <v>0</v>
      </c>
      <c r="AR26" s="338">
        <f t="shared" si="135"/>
        <v>0</v>
      </c>
      <c r="AS26" s="338">
        <f t="shared" si="135"/>
        <v>0</v>
      </c>
      <c r="AT26" s="338">
        <f t="shared" si="135"/>
        <v>0</v>
      </c>
      <c r="AU26" s="338">
        <f t="shared" si="135"/>
        <v>0</v>
      </c>
      <c r="AV26" s="338">
        <f t="shared" si="135"/>
        <v>0</v>
      </c>
      <c r="AW26" s="339">
        <f t="shared" si="106"/>
        <v>0</v>
      </c>
      <c r="AX26" s="339">
        <f t="shared" si="107"/>
        <v>0</v>
      </c>
      <c r="AY26" s="339">
        <f t="shared" si="108"/>
        <v>0</v>
      </c>
      <c r="AZ26" s="339">
        <f t="shared" si="109"/>
        <v>0</v>
      </c>
      <c r="BA26" s="339">
        <f t="shared" si="110"/>
        <v>0</v>
      </c>
      <c r="BB26" s="338"/>
      <c r="BC26" s="338">
        <f t="shared" ref="BC26:BM26" si="136">BB26</f>
        <v>0</v>
      </c>
      <c r="BD26" s="338">
        <f t="shared" si="136"/>
        <v>0</v>
      </c>
      <c r="BE26" s="338">
        <f t="shared" si="136"/>
        <v>0</v>
      </c>
      <c r="BF26" s="338">
        <f t="shared" si="136"/>
        <v>0</v>
      </c>
      <c r="BG26" s="338">
        <f t="shared" si="136"/>
        <v>0</v>
      </c>
      <c r="BH26" s="338">
        <f t="shared" si="136"/>
        <v>0</v>
      </c>
      <c r="BI26" s="338">
        <f t="shared" si="136"/>
        <v>0</v>
      </c>
      <c r="BJ26" s="338">
        <f t="shared" si="136"/>
        <v>0</v>
      </c>
      <c r="BK26" s="338">
        <f t="shared" si="136"/>
        <v>0</v>
      </c>
      <c r="BL26" s="338">
        <f t="shared" si="136"/>
        <v>0</v>
      </c>
      <c r="BM26" s="338">
        <f t="shared" si="136"/>
        <v>0</v>
      </c>
      <c r="BN26" s="339">
        <f t="shared" si="112"/>
        <v>0</v>
      </c>
      <c r="BO26" s="339">
        <f t="shared" si="113"/>
        <v>0</v>
      </c>
      <c r="BP26" s="339">
        <f t="shared" si="114"/>
        <v>0</v>
      </c>
      <c r="BQ26" s="339">
        <f t="shared" si="115"/>
        <v>0</v>
      </c>
      <c r="BR26" s="339">
        <f t="shared" si="116"/>
        <v>0</v>
      </c>
    </row>
    <row r="27" spans="1:72">
      <c r="A27" s="1027"/>
      <c r="B27" s="343" t="s">
        <v>913</v>
      </c>
      <c r="C27" s="338">
        <f t="shared" si="117"/>
        <v>7000</v>
      </c>
      <c r="D27" s="338">
        <f t="shared" si="118"/>
        <v>7000</v>
      </c>
      <c r="E27" s="338">
        <f t="shared" si="119"/>
        <v>7000</v>
      </c>
      <c r="F27" s="338">
        <f t="shared" si="120"/>
        <v>7000</v>
      </c>
      <c r="G27" s="338">
        <f t="shared" si="121"/>
        <v>7000</v>
      </c>
      <c r="H27" s="338">
        <f t="shared" si="122"/>
        <v>7000</v>
      </c>
      <c r="I27" s="338">
        <f t="shared" si="123"/>
        <v>7000</v>
      </c>
      <c r="J27" s="338">
        <f t="shared" si="124"/>
        <v>7000</v>
      </c>
      <c r="K27" s="338">
        <f t="shared" si="125"/>
        <v>7000</v>
      </c>
      <c r="L27" s="338">
        <f t="shared" si="126"/>
        <v>7000</v>
      </c>
      <c r="M27" s="338">
        <f t="shared" si="127"/>
        <v>7000</v>
      </c>
      <c r="N27" s="338">
        <f t="shared" si="128"/>
        <v>7000</v>
      </c>
      <c r="O27" s="414">
        <f t="shared" si="129"/>
        <v>21000</v>
      </c>
      <c r="P27" s="414">
        <f t="shared" si="130"/>
        <v>21000</v>
      </c>
      <c r="Q27" s="414">
        <f t="shared" si="131"/>
        <v>21000</v>
      </c>
      <c r="R27" s="414">
        <f t="shared" si="132"/>
        <v>21000</v>
      </c>
      <c r="S27" s="783">
        <f t="shared" si="133"/>
        <v>84000</v>
      </c>
      <c r="T27" s="338">
        <f>7000</f>
        <v>7000</v>
      </c>
      <c r="U27" s="338">
        <f t="shared" ref="U27:AE27" si="137">T27</f>
        <v>7000</v>
      </c>
      <c r="V27" s="338">
        <f t="shared" si="137"/>
        <v>7000</v>
      </c>
      <c r="W27" s="338">
        <f t="shared" si="137"/>
        <v>7000</v>
      </c>
      <c r="X27" s="338">
        <f t="shared" si="137"/>
        <v>7000</v>
      </c>
      <c r="Y27" s="338">
        <f t="shared" si="137"/>
        <v>7000</v>
      </c>
      <c r="Z27" s="338">
        <f t="shared" si="137"/>
        <v>7000</v>
      </c>
      <c r="AA27" s="338">
        <f t="shared" si="137"/>
        <v>7000</v>
      </c>
      <c r="AB27" s="338">
        <f t="shared" si="137"/>
        <v>7000</v>
      </c>
      <c r="AC27" s="338">
        <f t="shared" si="137"/>
        <v>7000</v>
      </c>
      <c r="AD27" s="338">
        <f t="shared" si="137"/>
        <v>7000</v>
      </c>
      <c r="AE27" s="338">
        <f t="shared" si="137"/>
        <v>7000</v>
      </c>
      <c r="AF27" s="339">
        <f t="shared" si="101"/>
        <v>21000</v>
      </c>
      <c r="AG27" s="339">
        <f t="shared" si="102"/>
        <v>21000</v>
      </c>
      <c r="AH27" s="339">
        <f t="shared" si="103"/>
        <v>21000</v>
      </c>
      <c r="AI27" s="339">
        <f t="shared" si="104"/>
        <v>21000</v>
      </c>
      <c r="AJ27" s="339">
        <f t="shared" si="105"/>
        <v>84000</v>
      </c>
      <c r="AK27" s="338"/>
      <c r="AL27" s="338">
        <f t="shared" ref="AL27:AV27" si="138">AK27</f>
        <v>0</v>
      </c>
      <c r="AM27" s="338">
        <f t="shared" si="138"/>
        <v>0</v>
      </c>
      <c r="AN27" s="338">
        <f t="shared" si="138"/>
        <v>0</v>
      </c>
      <c r="AO27" s="338">
        <f t="shared" si="138"/>
        <v>0</v>
      </c>
      <c r="AP27" s="338">
        <f t="shared" si="138"/>
        <v>0</v>
      </c>
      <c r="AQ27" s="338">
        <f t="shared" si="138"/>
        <v>0</v>
      </c>
      <c r="AR27" s="338">
        <f t="shared" si="138"/>
        <v>0</v>
      </c>
      <c r="AS27" s="338">
        <f t="shared" si="138"/>
        <v>0</v>
      </c>
      <c r="AT27" s="338">
        <f t="shared" si="138"/>
        <v>0</v>
      </c>
      <c r="AU27" s="338">
        <f t="shared" si="138"/>
        <v>0</v>
      </c>
      <c r="AV27" s="338">
        <f t="shared" si="138"/>
        <v>0</v>
      </c>
      <c r="AW27" s="339">
        <f t="shared" si="106"/>
        <v>0</v>
      </c>
      <c r="AX27" s="339">
        <f t="shared" si="107"/>
        <v>0</v>
      </c>
      <c r="AY27" s="339">
        <f t="shared" si="108"/>
        <v>0</v>
      </c>
      <c r="AZ27" s="339">
        <f t="shared" si="109"/>
        <v>0</v>
      </c>
      <c r="BA27" s="339">
        <f t="shared" si="110"/>
        <v>0</v>
      </c>
      <c r="BB27" s="338"/>
      <c r="BC27" s="338">
        <f t="shared" ref="BC27:BM27" si="139">BB27</f>
        <v>0</v>
      </c>
      <c r="BD27" s="338">
        <f t="shared" si="139"/>
        <v>0</v>
      </c>
      <c r="BE27" s="338">
        <f t="shared" si="139"/>
        <v>0</v>
      </c>
      <c r="BF27" s="338">
        <f t="shared" si="139"/>
        <v>0</v>
      </c>
      <c r="BG27" s="338">
        <f t="shared" si="139"/>
        <v>0</v>
      </c>
      <c r="BH27" s="338">
        <f t="shared" si="139"/>
        <v>0</v>
      </c>
      <c r="BI27" s="338">
        <f t="shared" si="139"/>
        <v>0</v>
      </c>
      <c r="BJ27" s="338">
        <f t="shared" si="139"/>
        <v>0</v>
      </c>
      <c r="BK27" s="338">
        <f t="shared" si="139"/>
        <v>0</v>
      </c>
      <c r="BL27" s="338">
        <f t="shared" si="139"/>
        <v>0</v>
      </c>
      <c r="BM27" s="338">
        <f t="shared" si="139"/>
        <v>0</v>
      </c>
      <c r="BN27" s="339">
        <f t="shared" si="112"/>
        <v>0</v>
      </c>
      <c r="BO27" s="339">
        <f t="shared" si="113"/>
        <v>0</v>
      </c>
      <c r="BP27" s="339">
        <f t="shared" si="114"/>
        <v>0</v>
      </c>
      <c r="BQ27" s="339">
        <f t="shared" si="115"/>
        <v>0</v>
      </c>
      <c r="BR27" s="339">
        <f t="shared" si="116"/>
        <v>0</v>
      </c>
    </row>
    <row r="28" spans="1:72">
      <c r="A28" s="1027"/>
      <c r="B28" s="343" t="s">
        <v>914</v>
      </c>
      <c r="C28" s="338">
        <f t="shared" si="117"/>
        <v>5000</v>
      </c>
      <c r="D28" s="338">
        <f t="shared" si="118"/>
        <v>5000</v>
      </c>
      <c r="E28" s="338">
        <f t="shared" si="119"/>
        <v>5000</v>
      </c>
      <c r="F28" s="338">
        <f t="shared" si="120"/>
        <v>5000</v>
      </c>
      <c r="G28" s="338">
        <f t="shared" si="121"/>
        <v>5000</v>
      </c>
      <c r="H28" s="338">
        <f t="shared" si="122"/>
        <v>5000</v>
      </c>
      <c r="I28" s="338">
        <f t="shared" si="123"/>
        <v>5000</v>
      </c>
      <c r="J28" s="338">
        <f t="shared" si="124"/>
        <v>5000</v>
      </c>
      <c r="K28" s="338">
        <f t="shared" si="125"/>
        <v>5000</v>
      </c>
      <c r="L28" s="338">
        <f t="shared" si="126"/>
        <v>5000</v>
      </c>
      <c r="M28" s="338">
        <f t="shared" si="127"/>
        <v>5000</v>
      </c>
      <c r="N28" s="338">
        <f t="shared" si="128"/>
        <v>5000</v>
      </c>
      <c r="O28" s="414">
        <f t="shared" si="129"/>
        <v>15000</v>
      </c>
      <c r="P28" s="414">
        <f t="shared" si="130"/>
        <v>15000</v>
      </c>
      <c r="Q28" s="414">
        <f t="shared" si="131"/>
        <v>15000</v>
      </c>
      <c r="R28" s="414">
        <f t="shared" si="132"/>
        <v>15000</v>
      </c>
      <c r="S28" s="783">
        <f t="shared" si="133"/>
        <v>60000</v>
      </c>
      <c r="T28" s="338">
        <f>5000</f>
        <v>5000</v>
      </c>
      <c r="U28" s="338">
        <f t="shared" ref="U28:AE28" si="140">T28</f>
        <v>5000</v>
      </c>
      <c r="V28" s="338">
        <f t="shared" si="140"/>
        <v>5000</v>
      </c>
      <c r="W28" s="338">
        <f t="shared" si="140"/>
        <v>5000</v>
      </c>
      <c r="X28" s="338">
        <f t="shared" si="140"/>
        <v>5000</v>
      </c>
      <c r="Y28" s="338">
        <f t="shared" si="140"/>
        <v>5000</v>
      </c>
      <c r="Z28" s="338">
        <f t="shared" si="140"/>
        <v>5000</v>
      </c>
      <c r="AA28" s="338">
        <f t="shared" si="140"/>
        <v>5000</v>
      </c>
      <c r="AB28" s="338">
        <f t="shared" si="140"/>
        <v>5000</v>
      </c>
      <c r="AC28" s="338">
        <f t="shared" si="140"/>
        <v>5000</v>
      </c>
      <c r="AD28" s="338">
        <f t="shared" si="140"/>
        <v>5000</v>
      </c>
      <c r="AE28" s="338">
        <f t="shared" si="140"/>
        <v>5000</v>
      </c>
      <c r="AF28" s="339">
        <f t="shared" si="101"/>
        <v>15000</v>
      </c>
      <c r="AG28" s="339">
        <f t="shared" si="102"/>
        <v>15000</v>
      </c>
      <c r="AH28" s="339">
        <f t="shared" si="103"/>
        <v>15000</v>
      </c>
      <c r="AI28" s="339">
        <f t="shared" si="104"/>
        <v>15000</v>
      </c>
      <c r="AJ28" s="339">
        <f t="shared" si="105"/>
        <v>60000</v>
      </c>
      <c r="AK28" s="338"/>
      <c r="AL28" s="338">
        <f t="shared" ref="AL28:AV28" si="141">AK28</f>
        <v>0</v>
      </c>
      <c r="AM28" s="338">
        <f t="shared" si="141"/>
        <v>0</v>
      </c>
      <c r="AN28" s="338">
        <f t="shared" si="141"/>
        <v>0</v>
      </c>
      <c r="AO28" s="338">
        <f t="shared" si="141"/>
        <v>0</v>
      </c>
      <c r="AP28" s="338">
        <f t="shared" si="141"/>
        <v>0</v>
      </c>
      <c r="AQ28" s="338">
        <f t="shared" si="141"/>
        <v>0</v>
      </c>
      <c r="AR28" s="338">
        <f t="shared" si="141"/>
        <v>0</v>
      </c>
      <c r="AS28" s="338">
        <f t="shared" si="141"/>
        <v>0</v>
      </c>
      <c r="AT28" s="338">
        <f t="shared" si="141"/>
        <v>0</v>
      </c>
      <c r="AU28" s="338">
        <f t="shared" si="141"/>
        <v>0</v>
      </c>
      <c r="AV28" s="338">
        <f t="shared" si="141"/>
        <v>0</v>
      </c>
      <c r="AW28" s="339">
        <f t="shared" si="106"/>
        <v>0</v>
      </c>
      <c r="AX28" s="339">
        <f t="shared" si="107"/>
        <v>0</v>
      </c>
      <c r="AY28" s="339">
        <f t="shared" si="108"/>
        <v>0</v>
      </c>
      <c r="AZ28" s="339">
        <f t="shared" si="109"/>
        <v>0</v>
      </c>
      <c r="BA28" s="339">
        <f t="shared" si="110"/>
        <v>0</v>
      </c>
      <c r="BB28" s="338"/>
      <c r="BC28" s="338">
        <f t="shared" ref="BC28:BM28" si="142">BB28</f>
        <v>0</v>
      </c>
      <c r="BD28" s="338">
        <f t="shared" si="142"/>
        <v>0</v>
      </c>
      <c r="BE28" s="338">
        <f t="shared" si="142"/>
        <v>0</v>
      </c>
      <c r="BF28" s="338">
        <f t="shared" si="142"/>
        <v>0</v>
      </c>
      <c r="BG28" s="338">
        <f t="shared" si="142"/>
        <v>0</v>
      </c>
      <c r="BH28" s="338">
        <f t="shared" si="142"/>
        <v>0</v>
      </c>
      <c r="BI28" s="338">
        <f t="shared" si="142"/>
        <v>0</v>
      </c>
      <c r="BJ28" s="338">
        <f t="shared" si="142"/>
        <v>0</v>
      </c>
      <c r="BK28" s="338">
        <f t="shared" si="142"/>
        <v>0</v>
      </c>
      <c r="BL28" s="338">
        <f t="shared" si="142"/>
        <v>0</v>
      </c>
      <c r="BM28" s="338">
        <f t="shared" si="142"/>
        <v>0</v>
      </c>
      <c r="BN28" s="339">
        <f t="shared" si="112"/>
        <v>0</v>
      </c>
      <c r="BO28" s="339">
        <f t="shared" si="113"/>
        <v>0</v>
      </c>
      <c r="BP28" s="339">
        <f t="shared" si="114"/>
        <v>0</v>
      </c>
      <c r="BQ28" s="339">
        <f t="shared" si="115"/>
        <v>0</v>
      </c>
      <c r="BR28" s="339">
        <f t="shared" si="116"/>
        <v>0</v>
      </c>
    </row>
    <row r="29" spans="1:72">
      <c r="A29" s="1027"/>
      <c r="B29" s="343" t="s">
        <v>1162</v>
      </c>
      <c r="C29" s="338">
        <f t="shared" si="117"/>
        <v>0</v>
      </c>
      <c r="D29" s="338">
        <f t="shared" si="118"/>
        <v>0</v>
      </c>
      <c r="E29" s="338">
        <f t="shared" si="119"/>
        <v>0</v>
      </c>
      <c r="F29" s="338">
        <f t="shared" si="120"/>
        <v>0</v>
      </c>
      <c r="G29" s="338">
        <f t="shared" si="121"/>
        <v>0</v>
      </c>
      <c r="H29" s="338">
        <f t="shared" si="122"/>
        <v>0</v>
      </c>
      <c r="I29" s="338">
        <f t="shared" si="123"/>
        <v>0</v>
      </c>
      <c r="J29" s="338">
        <f t="shared" si="124"/>
        <v>0</v>
      </c>
      <c r="K29" s="338">
        <f t="shared" si="125"/>
        <v>0</v>
      </c>
      <c r="L29" s="338">
        <f t="shared" si="126"/>
        <v>0</v>
      </c>
      <c r="M29" s="338">
        <f t="shared" si="127"/>
        <v>0</v>
      </c>
      <c r="N29" s="338">
        <f t="shared" si="128"/>
        <v>0</v>
      </c>
      <c r="O29" s="414">
        <f t="shared" si="129"/>
        <v>0</v>
      </c>
      <c r="P29" s="414">
        <f t="shared" si="130"/>
        <v>0</v>
      </c>
      <c r="Q29" s="414">
        <f t="shared" si="131"/>
        <v>0</v>
      </c>
      <c r="R29" s="414">
        <f t="shared" si="132"/>
        <v>0</v>
      </c>
      <c r="S29" s="783">
        <f t="shared" si="133"/>
        <v>0</v>
      </c>
      <c r="T29" s="338"/>
      <c r="U29" s="338">
        <f t="shared" ref="U29:AE29" si="143">T29</f>
        <v>0</v>
      </c>
      <c r="V29" s="338">
        <f t="shared" si="143"/>
        <v>0</v>
      </c>
      <c r="W29" s="338">
        <f t="shared" si="143"/>
        <v>0</v>
      </c>
      <c r="X29" s="338">
        <f t="shared" si="143"/>
        <v>0</v>
      </c>
      <c r="Y29" s="338">
        <f t="shared" si="143"/>
        <v>0</v>
      </c>
      <c r="Z29" s="338">
        <f t="shared" si="143"/>
        <v>0</v>
      </c>
      <c r="AA29" s="338">
        <f t="shared" si="143"/>
        <v>0</v>
      </c>
      <c r="AB29" s="338">
        <f t="shared" si="143"/>
        <v>0</v>
      </c>
      <c r="AC29" s="338">
        <f t="shared" si="143"/>
        <v>0</v>
      </c>
      <c r="AD29" s="338">
        <f t="shared" si="143"/>
        <v>0</v>
      </c>
      <c r="AE29" s="338">
        <f t="shared" si="143"/>
        <v>0</v>
      </c>
      <c r="AF29" s="339">
        <f t="shared" si="101"/>
        <v>0</v>
      </c>
      <c r="AG29" s="339">
        <f t="shared" si="102"/>
        <v>0</v>
      </c>
      <c r="AH29" s="339">
        <f t="shared" si="103"/>
        <v>0</v>
      </c>
      <c r="AI29" s="339">
        <f t="shared" si="104"/>
        <v>0</v>
      </c>
      <c r="AJ29" s="339">
        <f t="shared" si="105"/>
        <v>0</v>
      </c>
      <c r="AK29" s="338"/>
      <c r="AL29" s="338">
        <f t="shared" ref="AL29:AV29" si="144">AK29</f>
        <v>0</v>
      </c>
      <c r="AM29" s="338">
        <f t="shared" si="144"/>
        <v>0</v>
      </c>
      <c r="AN29" s="338">
        <f t="shared" si="144"/>
        <v>0</v>
      </c>
      <c r="AO29" s="338">
        <f t="shared" si="144"/>
        <v>0</v>
      </c>
      <c r="AP29" s="338">
        <f t="shared" si="144"/>
        <v>0</v>
      </c>
      <c r="AQ29" s="338">
        <f t="shared" si="144"/>
        <v>0</v>
      </c>
      <c r="AR29" s="338">
        <f t="shared" si="144"/>
        <v>0</v>
      </c>
      <c r="AS29" s="338">
        <f t="shared" si="144"/>
        <v>0</v>
      </c>
      <c r="AT29" s="338">
        <f t="shared" si="144"/>
        <v>0</v>
      </c>
      <c r="AU29" s="338">
        <f t="shared" si="144"/>
        <v>0</v>
      </c>
      <c r="AV29" s="338">
        <f t="shared" si="144"/>
        <v>0</v>
      </c>
      <c r="AW29" s="339">
        <f t="shared" si="106"/>
        <v>0</v>
      </c>
      <c r="AX29" s="339">
        <f t="shared" si="107"/>
        <v>0</v>
      </c>
      <c r="AY29" s="339">
        <f t="shared" si="108"/>
        <v>0</v>
      </c>
      <c r="AZ29" s="339">
        <f t="shared" si="109"/>
        <v>0</v>
      </c>
      <c r="BA29" s="339">
        <f t="shared" si="110"/>
        <v>0</v>
      </c>
      <c r="BB29" s="338"/>
      <c r="BC29" s="338">
        <f t="shared" ref="BC29:BM29" si="145">BB29</f>
        <v>0</v>
      </c>
      <c r="BD29" s="338">
        <f t="shared" si="145"/>
        <v>0</v>
      </c>
      <c r="BE29" s="338">
        <f t="shared" si="145"/>
        <v>0</v>
      </c>
      <c r="BF29" s="338">
        <f t="shared" si="145"/>
        <v>0</v>
      </c>
      <c r="BG29" s="338">
        <f t="shared" si="145"/>
        <v>0</v>
      </c>
      <c r="BH29" s="338">
        <f t="shared" si="145"/>
        <v>0</v>
      </c>
      <c r="BI29" s="338">
        <f t="shared" si="145"/>
        <v>0</v>
      </c>
      <c r="BJ29" s="338">
        <f t="shared" si="145"/>
        <v>0</v>
      </c>
      <c r="BK29" s="338">
        <f t="shared" si="145"/>
        <v>0</v>
      </c>
      <c r="BL29" s="338">
        <f t="shared" si="145"/>
        <v>0</v>
      </c>
      <c r="BM29" s="338">
        <f t="shared" si="145"/>
        <v>0</v>
      </c>
      <c r="BN29" s="339">
        <f t="shared" si="112"/>
        <v>0</v>
      </c>
      <c r="BO29" s="339">
        <f t="shared" si="113"/>
        <v>0</v>
      </c>
      <c r="BP29" s="339">
        <f t="shared" si="114"/>
        <v>0</v>
      </c>
      <c r="BQ29" s="339">
        <f t="shared" si="115"/>
        <v>0</v>
      </c>
      <c r="BR29" s="339">
        <f t="shared" si="116"/>
        <v>0</v>
      </c>
    </row>
    <row r="30" spans="1:72">
      <c r="A30" s="1027"/>
      <c r="B30" s="343" t="s">
        <v>915</v>
      </c>
      <c r="C30" s="338">
        <f t="shared" si="117"/>
        <v>0</v>
      </c>
      <c r="D30" s="338">
        <f t="shared" si="118"/>
        <v>0</v>
      </c>
      <c r="E30" s="338">
        <f t="shared" si="119"/>
        <v>0</v>
      </c>
      <c r="F30" s="338">
        <f t="shared" si="120"/>
        <v>0</v>
      </c>
      <c r="G30" s="338">
        <f t="shared" si="121"/>
        <v>0</v>
      </c>
      <c r="H30" s="338">
        <f t="shared" si="122"/>
        <v>0</v>
      </c>
      <c r="I30" s="338">
        <f t="shared" si="123"/>
        <v>0</v>
      </c>
      <c r="J30" s="338">
        <f t="shared" si="124"/>
        <v>0</v>
      </c>
      <c r="K30" s="338">
        <f t="shared" si="125"/>
        <v>0</v>
      </c>
      <c r="L30" s="338">
        <f t="shared" si="126"/>
        <v>0</v>
      </c>
      <c r="M30" s="338">
        <f t="shared" si="127"/>
        <v>0</v>
      </c>
      <c r="N30" s="338">
        <f t="shared" si="128"/>
        <v>0</v>
      </c>
      <c r="O30" s="414">
        <f t="shared" si="129"/>
        <v>0</v>
      </c>
      <c r="P30" s="414">
        <f t="shared" si="130"/>
        <v>0</v>
      </c>
      <c r="Q30" s="414">
        <f t="shared" si="131"/>
        <v>0</v>
      </c>
      <c r="R30" s="414">
        <f t="shared" si="132"/>
        <v>0</v>
      </c>
      <c r="S30" s="783">
        <f t="shared" si="133"/>
        <v>0</v>
      </c>
      <c r="T30" s="338"/>
      <c r="U30" s="338">
        <f t="shared" ref="U30:AE30" si="146">T30</f>
        <v>0</v>
      </c>
      <c r="V30" s="338">
        <f t="shared" si="146"/>
        <v>0</v>
      </c>
      <c r="W30" s="338">
        <f t="shared" si="146"/>
        <v>0</v>
      </c>
      <c r="X30" s="338">
        <f t="shared" si="146"/>
        <v>0</v>
      </c>
      <c r="Y30" s="338">
        <f t="shared" si="146"/>
        <v>0</v>
      </c>
      <c r="Z30" s="338">
        <f t="shared" si="146"/>
        <v>0</v>
      </c>
      <c r="AA30" s="338">
        <f t="shared" si="146"/>
        <v>0</v>
      </c>
      <c r="AB30" s="338">
        <f t="shared" si="146"/>
        <v>0</v>
      </c>
      <c r="AC30" s="338">
        <f t="shared" si="146"/>
        <v>0</v>
      </c>
      <c r="AD30" s="338">
        <f t="shared" si="146"/>
        <v>0</v>
      </c>
      <c r="AE30" s="338">
        <f t="shared" si="146"/>
        <v>0</v>
      </c>
      <c r="AF30" s="339">
        <f t="shared" si="101"/>
        <v>0</v>
      </c>
      <c r="AG30" s="339">
        <f t="shared" si="102"/>
        <v>0</v>
      </c>
      <c r="AH30" s="339">
        <f t="shared" si="103"/>
        <v>0</v>
      </c>
      <c r="AI30" s="339">
        <f t="shared" si="104"/>
        <v>0</v>
      </c>
      <c r="AJ30" s="339">
        <f t="shared" si="105"/>
        <v>0</v>
      </c>
      <c r="AK30" s="338"/>
      <c r="AL30" s="338">
        <f t="shared" ref="AL30:AV30" si="147">AK30</f>
        <v>0</v>
      </c>
      <c r="AM30" s="338">
        <f t="shared" si="147"/>
        <v>0</v>
      </c>
      <c r="AN30" s="338">
        <f t="shared" si="147"/>
        <v>0</v>
      </c>
      <c r="AO30" s="338">
        <f t="shared" si="147"/>
        <v>0</v>
      </c>
      <c r="AP30" s="338">
        <f t="shared" si="147"/>
        <v>0</v>
      </c>
      <c r="AQ30" s="338">
        <f t="shared" si="147"/>
        <v>0</v>
      </c>
      <c r="AR30" s="338">
        <f t="shared" si="147"/>
        <v>0</v>
      </c>
      <c r="AS30" s="338">
        <f t="shared" si="147"/>
        <v>0</v>
      </c>
      <c r="AT30" s="338">
        <f t="shared" si="147"/>
        <v>0</v>
      </c>
      <c r="AU30" s="338">
        <f t="shared" si="147"/>
        <v>0</v>
      </c>
      <c r="AV30" s="338">
        <f t="shared" si="147"/>
        <v>0</v>
      </c>
      <c r="AW30" s="339">
        <f t="shared" si="106"/>
        <v>0</v>
      </c>
      <c r="AX30" s="339">
        <f t="shared" si="107"/>
        <v>0</v>
      </c>
      <c r="AY30" s="339">
        <f t="shared" si="108"/>
        <v>0</v>
      </c>
      <c r="AZ30" s="339">
        <f t="shared" si="109"/>
        <v>0</v>
      </c>
      <c r="BA30" s="339">
        <f t="shared" si="110"/>
        <v>0</v>
      </c>
      <c r="BB30" s="338"/>
      <c r="BC30" s="338">
        <f t="shared" ref="BC30:BM30" si="148">BB30</f>
        <v>0</v>
      </c>
      <c r="BD30" s="338">
        <f t="shared" si="148"/>
        <v>0</v>
      </c>
      <c r="BE30" s="338">
        <f t="shared" si="148"/>
        <v>0</v>
      </c>
      <c r="BF30" s="338">
        <f t="shared" si="148"/>
        <v>0</v>
      </c>
      <c r="BG30" s="338">
        <f t="shared" si="148"/>
        <v>0</v>
      </c>
      <c r="BH30" s="338">
        <f t="shared" si="148"/>
        <v>0</v>
      </c>
      <c r="BI30" s="338">
        <f t="shared" si="148"/>
        <v>0</v>
      </c>
      <c r="BJ30" s="338">
        <f t="shared" si="148"/>
        <v>0</v>
      </c>
      <c r="BK30" s="338">
        <f t="shared" si="148"/>
        <v>0</v>
      </c>
      <c r="BL30" s="338">
        <f t="shared" si="148"/>
        <v>0</v>
      </c>
      <c r="BM30" s="338">
        <f t="shared" si="148"/>
        <v>0</v>
      </c>
      <c r="BN30" s="339">
        <f t="shared" si="112"/>
        <v>0</v>
      </c>
      <c r="BO30" s="339">
        <f t="shared" si="113"/>
        <v>0</v>
      </c>
      <c r="BP30" s="339">
        <f t="shared" si="114"/>
        <v>0</v>
      </c>
      <c r="BQ30" s="339">
        <f t="shared" si="115"/>
        <v>0</v>
      </c>
      <c r="BR30" s="339">
        <f t="shared" si="116"/>
        <v>0</v>
      </c>
    </row>
    <row r="31" spans="1:72">
      <c r="A31" s="1027"/>
      <c r="B31" s="344" t="s">
        <v>916</v>
      </c>
      <c r="C31" s="338">
        <f t="shared" si="117"/>
        <v>0</v>
      </c>
      <c r="D31" s="338">
        <f t="shared" si="118"/>
        <v>0</v>
      </c>
      <c r="E31" s="338">
        <f t="shared" si="119"/>
        <v>0</v>
      </c>
      <c r="F31" s="338">
        <f t="shared" si="120"/>
        <v>0</v>
      </c>
      <c r="G31" s="338">
        <f t="shared" si="121"/>
        <v>0</v>
      </c>
      <c r="H31" s="338">
        <f t="shared" si="122"/>
        <v>0</v>
      </c>
      <c r="I31" s="338">
        <f t="shared" si="123"/>
        <v>0</v>
      </c>
      <c r="J31" s="338">
        <f t="shared" si="124"/>
        <v>0</v>
      </c>
      <c r="K31" s="338">
        <f t="shared" si="125"/>
        <v>0</v>
      </c>
      <c r="L31" s="338">
        <f t="shared" si="126"/>
        <v>0</v>
      </c>
      <c r="M31" s="338">
        <f t="shared" si="127"/>
        <v>0</v>
      </c>
      <c r="N31" s="338">
        <f t="shared" si="128"/>
        <v>0</v>
      </c>
      <c r="O31" s="414">
        <f t="shared" si="129"/>
        <v>0</v>
      </c>
      <c r="P31" s="414">
        <f t="shared" si="130"/>
        <v>0</v>
      </c>
      <c r="Q31" s="414">
        <f t="shared" si="131"/>
        <v>0</v>
      </c>
      <c r="R31" s="414">
        <f t="shared" si="132"/>
        <v>0</v>
      </c>
      <c r="S31" s="783">
        <f t="shared" si="133"/>
        <v>0</v>
      </c>
      <c r="T31" s="338"/>
      <c r="U31" s="338">
        <f t="shared" ref="U31:AE33" si="149">T31</f>
        <v>0</v>
      </c>
      <c r="V31" s="338">
        <f t="shared" si="149"/>
        <v>0</v>
      </c>
      <c r="W31" s="338">
        <f t="shared" si="149"/>
        <v>0</v>
      </c>
      <c r="X31" s="338">
        <f t="shared" si="149"/>
        <v>0</v>
      </c>
      <c r="Y31" s="338">
        <f t="shared" si="149"/>
        <v>0</v>
      </c>
      <c r="Z31" s="338">
        <f t="shared" si="149"/>
        <v>0</v>
      </c>
      <c r="AA31" s="338">
        <f t="shared" si="149"/>
        <v>0</v>
      </c>
      <c r="AB31" s="338">
        <f t="shared" si="149"/>
        <v>0</v>
      </c>
      <c r="AC31" s="338">
        <f t="shared" si="149"/>
        <v>0</v>
      </c>
      <c r="AD31" s="338">
        <f t="shared" si="149"/>
        <v>0</v>
      </c>
      <c r="AE31" s="338">
        <f t="shared" si="149"/>
        <v>0</v>
      </c>
      <c r="AF31" s="339">
        <f t="shared" si="101"/>
        <v>0</v>
      </c>
      <c r="AG31" s="339">
        <f t="shared" si="102"/>
        <v>0</v>
      </c>
      <c r="AH31" s="339">
        <f t="shared" si="103"/>
        <v>0</v>
      </c>
      <c r="AI31" s="339">
        <f t="shared" si="104"/>
        <v>0</v>
      </c>
      <c r="AJ31" s="339">
        <f t="shared" si="105"/>
        <v>0</v>
      </c>
      <c r="AK31" s="338"/>
      <c r="AL31" s="338">
        <f t="shared" ref="AL31:AV33" si="150">AK31</f>
        <v>0</v>
      </c>
      <c r="AM31" s="338">
        <f t="shared" si="150"/>
        <v>0</v>
      </c>
      <c r="AN31" s="338">
        <f t="shared" si="150"/>
        <v>0</v>
      </c>
      <c r="AO31" s="338">
        <f t="shared" si="150"/>
        <v>0</v>
      </c>
      <c r="AP31" s="338">
        <f t="shared" si="150"/>
        <v>0</v>
      </c>
      <c r="AQ31" s="338">
        <f t="shared" si="150"/>
        <v>0</v>
      </c>
      <c r="AR31" s="338">
        <f t="shared" si="150"/>
        <v>0</v>
      </c>
      <c r="AS31" s="338">
        <f t="shared" si="150"/>
        <v>0</v>
      </c>
      <c r="AT31" s="338">
        <f t="shared" si="150"/>
        <v>0</v>
      </c>
      <c r="AU31" s="338">
        <f t="shared" si="150"/>
        <v>0</v>
      </c>
      <c r="AV31" s="338">
        <f t="shared" si="150"/>
        <v>0</v>
      </c>
      <c r="AW31" s="339">
        <f t="shared" si="106"/>
        <v>0</v>
      </c>
      <c r="AX31" s="339">
        <f t="shared" si="107"/>
        <v>0</v>
      </c>
      <c r="AY31" s="339">
        <f t="shared" si="108"/>
        <v>0</v>
      </c>
      <c r="AZ31" s="339">
        <f t="shared" si="109"/>
        <v>0</v>
      </c>
      <c r="BA31" s="339">
        <f t="shared" si="110"/>
        <v>0</v>
      </c>
      <c r="BB31" s="338"/>
      <c r="BC31" s="338">
        <f t="shared" ref="BC31:BM31" si="151">BB31</f>
        <v>0</v>
      </c>
      <c r="BD31" s="338">
        <f t="shared" si="151"/>
        <v>0</v>
      </c>
      <c r="BE31" s="338">
        <f t="shared" si="151"/>
        <v>0</v>
      </c>
      <c r="BF31" s="338">
        <f t="shared" si="151"/>
        <v>0</v>
      </c>
      <c r="BG31" s="338">
        <f t="shared" si="151"/>
        <v>0</v>
      </c>
      <c r="BH31" s="338">
        <f t="shared" si="151"/>
        <v>0</v>
      </c>
      <c r="BI31" s="338">
        <f t="shared" si="151"/>
        <v>0</v>
      </c>
      <c r="BJ31" s="338">
        <f t="shared" si="151"/>
        <v>0</v>
      </c>
      <c r="BK31" s="338">
        <f t="shared" si="151"/>
        <v>0</v>
      </c>
      <c r="BL31" s="338">
        <f t="shared" si="151"/>
        <v>0</v>
      </c>
      <c r="BM31" s="338">
        <f t="shared" si="151"/>
        <v>0</v>
      </c>
      <c r="BN31" s="339">
        <f t="shared" si="112"/>
        <v>0</v>
      </c>
      <c r="BO31" s="339">
        <f t="shared" si="113"/>
        <v>0</v>
      </c>
      <c r="BP31" s="339">
        <f t="shared" si="114"/>
        <v>0</v>
      </c>
      <c r="BQ31" s="339">
        <f t="shared" si="115"/>
        <v>0</v>
      </c>
      <c r="BR31" s="339">
        <f t="shared" si="116"/>
        <v>0</v>
      </c>
    </row>
    <row r="32" spans="1:72">
      <c r="A32" s="1026"/>
      <c r="B32" s="341" t="s">
        <v>1161</v>
      </c>
      <c r="C32" s="336">
        <f>SUM(C33,C34,C35,C36,C37,C43,C44,C45,C46,C47,C48,C49,C50,C51,C53,C52)</f>
        <v>134100</v>
      </c>
      <c r="D32" s="336">
        <f t="shared" ref="D32:R32" si="152">SUM(D33,D34,D35,D36,D37,D43,D44,D45,D46,D47,D48,D49,D50,D51,D53,D52)</f>
        <v>129100</v>
      </c>
      <c r="E32" s="336">
        <f t="shared" si="152"/>
        <v>129100</v>
      </c>
      <c r="F32" s="336">
        <f t="shared" si="152"/>
        <v>129100</v>
      </c>
      <c r="G32" s="336">
        <f t="shared" si="152"/>
        <v>129100</v>
      </c>
      <c r="H32" s="336">
        <f t="shared" si="152"/>
        <v>139100</v>
      </c>
      <c r="I32" s="336">
        <f t="shared" si="152"/>
        <v>134770.9</v>
      </c>
      <c r="J32" s="336">
        <f t="shared" si="152"/>
        <v>129100</v>
      </c>
      <c r="K32" s="336">
        <f t="shared" si="152"/>
        <v>129100</v>
      </c>
      <c r="L32" s="336">
        <f t="shared" si="152"/>
        <v>129100</v>
      </c>
      <c r="M32" s="336">
        <f t="shared" si="152"/>
        <v>129100</v>
      </c>
      <c r="N32" s="336">
        <f t="shared" si="152"/>
        <v>129100</v>
      </c>
      <c r="O32" s="413">
        <f t="shared" si="152"/>
        <v>392300</v>
      </c>
      <c r="P32" s="413">
        <f t="shared" si="152"/>
        <v>397300</v>
      </c>
      <c r="Q32" s="413">
        <f t="shared" si="152"/>
        <v>392970.9</v>
      </c>
      <c r="R32" s="413">
        <f t="shared" si="152"/>
        <v>387300</v>
      </c>
      <c r="S32" s="413">
        <f>SUM(S33,S34,S35,S36,S37,S43,S44,S45,S46,S47,S48,S49,S50,S51,S53,S52)</f>
        <v>1569870.9</v>
      </c>
      <c r="T32" s="336">
        <f>SUM(T33,T34,T35,T36,T37,T43,T44,T45,T46,T47,T48,T49,T50,T51,T53,T52)</f>
        <v>87100</v>
      </c>
      <c r="U32" s="336">
        <f>SUM(U33,U34,U35,U36,U37,U43,U44,U45,U46,U47,U48,U49,U50,U51,U53,U52)</f>
        <v>82100</v>
      </c>
      <c r="V32" s="336">
        <f t="shared" ref="V32:AJ32" si="153">SUM(V33,V34,V35,V36,V37,V43,V44,V45,V46,V47,V48,V49,V50,V51,V53,V52)</f>
        <v>82100</v>
      </c>
      <c r="W32" s="336">
        <f t="shared" si="153"/>
        <v>82100</v>
      </c>
      <c r="X32" s="336">
        <f t="shared" si="153"/>
        <v>82100</v>
      </c>
      <c r="Y32" s="336">
        <f t="shared" si="153"/>
        <v>92100</v>
      </c>
      <c r="Z32" s="336">
        <f t="shared" si="153"/>
        <v>82100</v>
      </c>
      <c r="AA32" s="336">
        <f t="shared" si="153"/>
        <v>82100</v>
      </c>
      <c r="AB32" s="336">
        <f t="shared" si="153"/>
        <v>82100</v>
      </c>
      <c r="AC32" s="336">
        <f t="shared" si="153"/>
        <v>82100</v>
      </c>
      <c r="AD32" s="336">
        <f t="shared" si="153"/>
        <v>82100</v>
      </c>
      <c r="AE32" s="336">
        <f t="shared" si="153"/>
        <v>82100</v>
      </c>
      <c r="AF32" s="336">
        <f t="shared" si="153"/>
        <v>251300</v>
      </c>
      <c r="AG32" s="336">
        <f t="shared" si="153"/>
        <v>256300</v>
      </c>
      <c r="AH32" s="336">
        <f t="shared" si="153"/>
        <v>246300</v>
      </c>
      <c r="AI32" s="336">
        <f t="shared" si="153"/>
        <v>246300</v>
      </c>
      <c r="AJ32" s="336">
        <f t="shared" si="153"/>
        <v>1000200</v>
      </c>
      <c r="AK32" s="336">
        <f>SUM(AK33,AK34,AK35,AK36,AK37,AK43,AK44,AK45,AK46,AK47,AK48,AK49,AK50,AK51,AK53,AK52)</f>
        <v>47000</v>
      </c>
      <c r="AL32" s="336">
        <f t="shared" ref="AL32:BA32" si="154">SUM(AL33,AL34,AL35,AL36,AL37,AL43,AL44,AL45,AL46,AL47,AL48,AL49,AL50,AL51,AL53,AL52)</f>
        <v>47000</v>
      </c>
      <c r="AM32" s="336">
        <f t="shared" si="154"/>
        <v>47000</v>
      </c>
      <c r="AN32" s="336">
        <f t="shared" si="154"/>
        <v>47000</v>
      </c>
      <c r="AO32" s="336">
        <f t="shared" si="154"/>
        <v>47000</v>
      </c>
      <c r="AP32" s="336">
        <f t="shared" si="154"/>
        <v>47000</v>
      </c>
      <c r="AQ32" s="336">
        <f t="shared" si="154"/>
        <v>52670.9</v>
      </c>
      <c r="AR32" s="336">
        <f t="shared" si="154"/>
        <v>47000</v>
      </c>
      <c r="AS32" s="336">
        <f t="shared" si="154"/>
        <v>47000</v>
      </c>
      <c r="AT32" s="336">
        <f t="shared" si="154"/>
        <v>47000</v>
      </c>
      <c r="AU32" s="336">
        <f t="shared" si="154"/>
        <v>47000</v>
      </c>
      <c r="AV32" s="336">
        <f t="shared" si="154"/>
        <v>47000</v>
      </c>
      <c r="AW32" s="336">
        <f t="shared" si="154"/>
        <v>141000</v>
      </c>
      <c r="AX32" s="336">
        <f t="shared" si="154"/>
        <v>141000</v>
      </c>
      <c r="AY32" s="336">
        <f t="shared" si="154"/>
        <v>146670.9</v>
      </c>
      <c r="AZ32" s="336">
        <f t="shared" si="154"/>
        <v>141000</v>
      </c>
      <c r="BA32" s="336">
        <f t="shared" si="154"/>
        <v>569670.9</v>
      </c>
      <c r="BB32" s="336">
        <f>SUM(BB33,BB34,BB35,BB36,BB37,BB43,BB44,BB45,BB46,BB47,BB48,BB49,BB50,BB51,BB53,BB52)</f>
        <v>0</v>
      </c>
      <c r="BC32" s="336">
        <f t="shared" ref="BC32:BM32" si="155">SUM(BC33,BC34,BC35,BC36,BC37,BC43,BC44,BC45,BC46,BC47,BC48,BC49,BC50,BC51,BC53,BC52)</f>
        <v>0</v>
      </c>
      <c r="BD32" s="336">
        <f t="shared" si="155"/>
        <v>0</v>
      </c>
      <c r="BE32" s="336">
        <f t="shared" si="155"/>
        <v>0</v>
      </c>
      <c r="BF32" s="336">
        <f t="shared" si="155"/>
        <v>0</v>
      </c>
      <c r="BG32" s="336">
        <f t="shared" si="155"/>
        <v>0</v>
      </c>
      <c r="BH32" s="336">
        <f t="shared" si="155"/>
        <v>0</v>
      </c>
      <c r="BI32" s="336">
        <f t="shared" si="155"/>
        <v>0</v>
      </c>
      <c r="BJ32" s="336">
        <f t="shared" si="155"/>
        <v>0</v>
      </c>
      <c r="BK32" s="336">
        <f t="shared" si="155"/>
        <v>0</v>
      </c>
      <c r="BL32" s="336">
        <f t="shared" si="155"/>
        <v>0</v>
      </c>
      <c r="BM32" s="336">
        <f t="shared" si="155"/>
        <v>0</v>
      </c>
      <c r="BN32" s="336">
        <f>SUM(BN33,BN34,BN35,BN36,BN37,BN43,BN44,BN45,BN46,BN47,BN48,BN49,BN50,BN51,BN53,BN52)</f>
        <v>0</v>
      </c>
      <c r="BO32" s="336">
        <f>SUM(BO33,BO34,BO35,BO36,BO37,BO43,BO44,BO45,BO46,BO47,BO48,BO49,BO50,BO51,BO53,BO52)</f>
        <v>0</v>
      </c>
      <c r="BP32" s="336">
        <f>SUM(BP33,BP34,BP35,BP36,BP37,BP43,BP44,BP45,BP46,BP47,BP48,BP49,BP50,BP51,BP53,BP52)</f>
        <v>0</v>
      </c>
      <c r="BQ32" s="336">
        <f>SUM(BQ33,BQ34,BQ35,BQ36,BQ37,BQ43,BQ44,BQ45,BQ46,BQ47,BQ48,BQ49,BQ50,BQ51,BQ53,BQ52)</f>
        <v>0</v>
      </c>
      <c r="BR32" s="336">
        <f>SUM(BR33,BR34,BR35,BR36,BR37,BR43,BR44,BR45,BR46,BR47,BR48,BR49,BR50,BR51,BR53,BR52)</f>
        <v>0</v>
      </c>
    </row>
    <row r="33" spans="1:70">
      <c r="A33" s="1027"/>
      <c r="B33" s="340" t="s">
        <v>61</v>
      </c>
      <c r="C33" s="338">
        <f t="shared" ref="C33:N36" si="156">T33+AK33+BB33</f>
        <v>9000</v>
      </c>
      <c r="D33" s="338">
        <f t="shared" si="156"/>
        <v>9000</v>
      </c>
      <c r="E33" s="338">
        <f t="shared" si="156"/>
        <v>9000</v>
      </c>
      <c r="F33" s="338">
        <f t="shared" si="156"/>
        <v>9000</v>
      </c>
      <c r="G33" s="338">
        <f t="shared" si="156"/>
        <v>9000</v>
      </c>
      <c r="H33" s="338">
        <f t="shared" si="156"/>
        <v>9000</v>
      </c>
      <c r="I33" s="338">
        <f t="shared" si="156"/>
        <v>9000</v>
      </c>
      <c r="J33" s="338">
        <f t="shared" si="156"/>
        <v>9000</v>
      </c>
      <c r="K33" s="338">
        <f t="shared" si="156"/>
        <v>9000</v>
      </c>
      <c r="L33" s="338">
        <f t="shared" si="156"/>
        <v>9000</v>
      </c>
      <c r="M33" s="338">
        <f t="shared" si="156"/>
        <v>9000</v>
      </c>
      <c r="N33" s="338">
        <f t="shared" si="156"/>
        <v>9000</v>
      </c>
      <c r="O33" s="414">
        <f>SUM(C33:E33)</f>
        <v>27000</v>
      </c>
      <c r="P33" s="414">
        <f>SUM(F33:H33)</f>
        <v>27000</v>
      </c>
      <c r="Q33" s="414">
        <f>SUM(I33:K33)</f>
        <v>27000</v>
      </c>
      <c r="R33" s="414">
        <f>SUM(L33:N33)</f>
        <v>27000</v>
      </c>
      <c r="S33" s="414">
        <f>O33+P33+Q33+R33</f>
        <v>108000</v>
      </c>
      <c r="T33" s="338">
        <v>9000</v>
      </c>
      <c r="U33" s="338">
        <f t="shared" si="149"/>
        <v>9000</v>
      </c>
      <c r="V33" s="338">
        <f t="shared" si="149"/>
        <v>9000</v>
      </c>
      <c r="W33" s="338">
        <f t="shared" si="149"/>
        <v>9000</v>
      </c>
      <c r="X33" s="338">
        <f t="shared" si="149"/>
        <v>9000</v>
      </c>
      <c r="Y33" s="338">
        <f t="shared" si="149"/>
        <v>9000</v>
      </c>
      <c r="Z33" s="338">
        <f t="shared" si="149"/>
        <v>9000</v>
      </c>
      <c r="AA33" s="338">
        <f t="shared" si="149"/>
        <v>9000</v>
      </c>
      <c r="AB33" s="338">
        <f t="shared" si="149"/>
        <v>9000</v>
      </c>
      <c r="AC33" s="338">
        <f t="shared" si="149"/>
        <v>9000</v>
      </c>
      <c r="AD33" s="338">
        <f t="shared" si="149"/>
        <v>9000</v>
      </c>
      <c r="AE33" s="338">
        <f t="shared" si="149"/>
        <v>9000</v>
      </c>
      <c r="AF33" s="339">
        <f>SUM(T33:V33)</f>
        <v>27000</v>
      </c>
      <c r="AG33" s="339">
        <f>SUM(W33:Y33)</f>
        <v>27000</v>
      </c>
      <c r="AH33" s="339">
        <f>SUM(Z33:AB33)</f>
        <v>27000</v>
      </c>
      <c r="AI33" s="339">
        <f>SUM(AC33:AE33)</f>
        <v>27000</v>
      </c>
      <c r="AJ33" s="339">
        <f>AF33+AG33+AH33+AI33</f>
        <v>108000</v>
      </c>
      <c r="AK33" s="338"/>
      <c r="AL33" s="338">
        <f t="shared" si="150"/>
        <v>0</v>
      </c>
      <c r="AM33" s="338">
        <f t="shared" si="150"/>
        <v>0</v>
      </c>
      <c r="AN33" s="338">
        <f t="shared" si="150"/>
        <v>0</v>
      </c>
      <c r="AO33" s="338">
        <f t="shared" si="150"/>
        <v>0</v>
      </c>
      <c r="AP33" s="338">
        <f t="shared" si="150"/>
        <v>0</v>
      </c>
      <c r="AQ33" s="338">
        <f t="shared" si="150"/>
        <v>0</v>
      </c>
      <c r="AR33" s="338">
        <f t="shared" si="150"/>
        <v>0</v>
      </c>
      <c r="AS33" s="338">
        <f t="shared" si="150"/>
        <v>0</v>
      </c>
      <c r="AT33" s="338">
        <f t="shared" si="150"/>
        <v>0</v>
      </c>
      <c r="AU33" s="338">
        <f t="shared" si="150"/>
        <v>0</v>
      </c>
      <c r="AV33" s="338">
        <f t="shared" si="150"/>
        <v>0</v>
      </c>
      <c r="AW33" s="339">
        <f>SUM(AK33:AM33)</f>
        <v>0</v>
      </c>
      <c r="AX33" s="339">
        <f>SUM(AN33:AP33)</f>
        <v>0</v>
      </c>
      <c r="AY33" s="339">
        <f>SUM(AQ33:AS33)</f>
        <v>0</v>
      </c>
      <c r="AZ33" s="339">
        <f>SUM(AT33:AV33)</f>
        <v>0</v>
      </c>
      <c r="BA33" s="339">
        <f>AW33+AX33+AY33+AZ33</f>
        <v>0</v>
      </c>
      <c r="BB33" s="338"/>
      <c r="BC33" s="338">
        <f t="shared" ref="BC33:BM33" si="157">BB33</f>
        <v>0</v>
      </c>
      <c r="BD33" s="338">
        <f t="shared" si="157"/>
        <v>0</v>
      </c>
      <c r="BE33" s="338">
        <f t="shared" si="157"/>
        <v>0</v>
      </c>
      <c r="BF33" s="338">
        <f t="shared" si="157"/>
        <v>0</v>
      </c>
      <c r="BG33" s="338">
        <f t="shared" si="157"/>
        <v>0</v>
      </c>
      <c r="BH33" s="338">
        <f t="shared" si="157"/>
        <v>0</v>
      </c>
      <c r="BI33" s="338">
        <f t="shared" si="157"/>
        <v>0</v>
      </c>
      <c r="BJ33" s="338">
        <f t="shared" si="157"/>
        <v>0</v>
      </c>
      <c r="BK33" s="338">
        <f t="shared" si="157"/>
        <v>0</v>
      </c>
      <c r="BL33" s="338">
        <f t="shared" si="157"/>
        <v>0</v>
      </c>
      <c r="BM33" s="338">
        <f t="shared" si="157"/>
        <v>0</v>
      </c>
      <c r="BN33" s="339">
        <f>SUM(BB33:BD33)</f>
        <v>0</v>
      </c>
      <c r="BO33" s="339">
        <f>SUM(BE33:BG33)</f>
        <v>0</v>
      </c>
      <c r="BP33" s="339">
        <f>SUM(BH33:BJ33)</f>
        <v>0</v>
      </c>
      <c r="BQ33" s="339">
        <f>SUM(BK33:BM33)</f>
        <v>0</v>
      </c>
      <c r="BR33" s="339">
        <f>BN33+BO33+BP33+BQ33</f>
        <v>0</v>
      </c>
    </row>
    <row r="34" spans="1:70" ht="25.5">
      <c r="A34" s="1027"/>
      <c r="B34" s="340" t="s">
        <v>917</v>
      </c>
      <c r="C34" s="338">
        <f t="shared" si="156"/>
        <v>0</v>
      </c>
      <c r="D34" s="338">
        <f t="shared" si="156"/>
        <v>0</v>
      </c>
      <c r="E34" s="338">
        <f t="shared" si="156"/>
        <v>0</v>
      </c>
      <c r="F34" s="338">
        <f t="shared" si="156"/>
        <v>0</v>
      </c>
      <c r="G34" s="338">
        <f t="shared" si="156"/>
        <v>0</v>
      </c>
      <c r="H34" s="338">
        <f t="shared" si="156"/>
        <v>0</v>
      </c>
      <c r="I34" s="338">
        <f t="shared" si="156"/>
        <v>0</v>
      </c>
      <c r="J34" s="338">
        <f t="shared" si="156"/>
        <v>0</v>
      </c>
      <c r="K34" s="338">
        <f t="shared" si="156"/>
        <v>0</v>
      </c>
      <c r="L34" s="338">
        <f t="shared" si="156"/>
        <v>0</v>
      </c>
      <c r="M34" s="338">
        <f t="shared" si="156"/>
        <v>0</v>
      </c>
      <c r="N34" s="338">
        <f t="shared" si="156"/>
        <v>0</v>
      </c>
      <c r="O34" s="414">
        <f>SUM(C34:E34)</f>
        <v>0</v>
      </c>
      <c r="P34" s="414">
        <f>SUM(F34:H34)</f>
        <v>0</v>
      </c>
      <c r="Q34" s="414">
        <f>SUM(I34:K34)</f>
        <v>0</v>
      </c>
      <c r="R34" s="414">
        <f>SUM(L34:N34)</f>
        <v>0</v>
      </c>
      <c r="S34" s="414">
        <f>O34+P34+Q34+R34</f>
        <v>0</v>
      </c>
      <c r="T34" s="338"/>
      <c r="U34" s="338">
        <f t="shared" ref="U34:AE34" si="158">T34</f>
        <v>0</v>
      </c>
      <c r="V34" s="338">
        <f t="shared" si="158"/>
        <v>0</v>
      </c>
      <c r="W34" s="338">
        <f t="shared" si="158"/>
        <v>0</v>
      </c>
      <c r="X34" s="338">
        <f t="shared" si="158"/>
        <v>0</v>
      </c>
      <c r="Y34" s="338">
        <f t="shared" si="158"/>
        <v>0</v>
      </c>
      <c r="Z34" s="338">
        <f t="shared" si="158"/>
        <v>0</v>
      </c>
      <c r="AA34" s="338">
        <f t="shared" si="158"/>
        <v>0</v>
      </c>
      <c r="AB34" s="338">
        <f t="shared" si="158"/>
        <v>0</v>
      </c>
      <c r="AC34" s="338">
        <f t="shared" si="158"/>
        <v>0</v>
      </c>
      <c r="AD34" s="338">
        <f t="shared" si="158"/>
        <v>0</v>
      </c>
      <c r="AE34" s="338">
        <f t="shared" si="158"/>
        <v>0</v>
      </c>
      <c r="AF34" s="339">
        <f>SUM(T34:V34)</f>
        <v>0</v>
      </c>
      <c r="AG34" s="339">
        <f>SUM(W34:Y34)</f>
        <v>0</v>
      </c>
      <c r="AH34" s="339">
        <f>SUM(Z34:AB34)</f>
        <v>0</v>
      </c>
      <c r="AI34" s="339">
        <f>SUM(AC34:AE34)</f>
        <v>0</v>
      </c>
      <c r="AJ34" s="339">
        <f>AF34+AG34+AH34+AI34</f>
        <v>0</v>
      </c>
      <c r="AK34" s="338"/>
      <c r="AL34" s="338">
        <f t="shared" ref="AL34:AV34" si="159">AK34</f>
        <v>0</v>
      </c>
      <c r="AM34" s="338">
        <f t="shared" si="159"/>
        <v>0</v>
      </c>
      <c r="AN34" s="338">
        <f t="shared" si="159"/>
        <v>0</v>
      </c>
      <c r="AO34" s="338">
        <f t="shared" si="159"/>
        <v>0</v>
      </c>
      <c r="AP34" s="338">
        <f t="shared" si="159"/>
        <v>0</v>
      </c>
      <c r="AQ34" s="338">
        <f t="shared" si="159"/>
        <v>0</v>
      </c>
      <c r="AR34" s="338">
        <f t="shared" si="159"/>
        <v>0</v>
      </c>
      <c r="AS34" s="338">
        <f t="shared" si="159"/>
        <v>0</v>
      </c>
      <c r="AT34" s="338">
        <f t="shared" si="159"/>
        <v>0</v>
      </c>
      <c r="AU34" s="338">
        <f t="shared" si="159"/>
        <v>0</v>
      </c>
      <c r="AV34" s="338">
        <f t="shared" si="159"/>
        <v>0</v>
      </c>
      <c r="AW34" s="339">
        <f>SUM(AK34:AM34)</f>
        <v>0</v>
      </c>
      <c r="AX34" s="339">
        <f>SUM(AN34:AP34)</f>
        <v>0</v>
      </c>
      <c r="AY34" s="339">
        <f>SUM(AQ34:AS34)</f>
        <v>0</v>
      </c>
      <c r="AZ34" s="339">
        <f>SUM(AT34:AV34)</f>
        <v>0</v>
      </c>
      <c r="BA34" s="339">
        <f>AW34+AX34+AY34+AZ34</f>
        <v>0</v>
      </c>
      <c r="BB34" s="338"/>
      <c r="BC34" s="338">
        <f t="shared" ref="BC34:BM34" si="160">BB34</f>
        <v>0</v>
      </c>
      <c r="BD34" s="338">
        <f t="shared" si="160"/>
        <v>0</v>
      </c>
      <c r="BE34" s="338">
        <f t="shared" si="160"/>
        <v>0</v>
      </c>
      <c r="BF34" s="338">
        <f t="shared" si="160"/>
        <v>0</v>
      </c>
      <c r="BG34" s="338">
        <f t="shared" si="160"/>
        <v>0</v>
      </c>
      <c r="BH34" s="338">
        <f t="shared" si="160"/>
        <v>0</v>
      </c>
      <c r="BI34" s="338">
        <f t="shared" si="160"/>
        <v>0</v>
      </c>
      <c r="BJ34" s="338">
        <f t="shared" si="160"/>
        <v>0</v>
      </c>
      <c r="BK34" s="338">
        <f t="shared" si="160"/>
        <v>0</v>
      </c>
      <c r="BL34" s="338">
        <f t="shared" si="160"/>
        <v>0</v>
      </c>
      <c r="BM34" s="338">
        <f t="shared" si="160"/>
        <v>0</v>
      </c>
      <c r="BN34" s="339">
        <f>SUM(BB34:BD34)</f>
        <v>0</v>
      </c>
      <c r="BO34" s="339">
        <f>SUM(BE34:BG34)</f>
        <v>0</v>
      </c>
      <c r="BP34" s="339">
        <f>SUM(BH34:BJ34)</f>
        <v>0</v>
      </c>
      <c r="BQ34" s="339">
        <f>SUM(BK34:BM34)</f>
        <v>0</v>
      </c>
      <c r="BR34" s="339">
        <f>BN34+BO34+BP34+BQ34</f>
        <v>0</v>
      </c>
    </row>
    <row r="35" spans="1:70">
      <c r="A35" s="1027"/>
      <c r="B35" s="340" t="s">
        <v>918</v>
      </c>
      <c r="C35" s="338">
        <f t="shared" si="156"/>
        <v>0</v>
      </c>
      <c r="D35" s="338">
        <f t="shared" si="156"/>
        <v>0</v>
      </c>
      <c r="E35" s="338">
        <f t="shared" si="156"/>
        <v>0</v>
      </c>
      <c r="F35" s="338">
        <f t="shared" si="156"/>
        <v>0</v>
      </c>
      <c r="G35" s="338">
        <f t="shared" si="156"/>
        <v>0</v>
      </c>
      <c r="H35" s="338">
        <f t="shared" si="156"/>
        <v>0</v>
      </c>
      <c r="I35" s="338">
        <f t="shared" si="156"/>
        <v>0</v>
      </c>
      <c r="J35" s="338">
        <f t="shared" si="156"/>
        <v>0</v>
      </c>
      <c r="K35" s="338">
        <f t="shared" si="156"/>
        <v>0</v>
      </c>
      <c r="L35" s="338">
        <f t="shared" si="156"/>
        <v>0</v>
      </c>
      <c r="M35" s="338">
        <f t="shared" si="156"/>
        <v>0</v>
      </c>
      <c r="N35" s="338">
        <f t="shared" si="156"/>
        <v>0</v>
      </c>
      <c r="O35" s="414">
        <f>SUM(C35:E35)</f>
        <v>0</v>
      </c>
      <c r="P35" s="414">
        <f>SUM(F35:H35)</f>
        <v>0</v>
      </c>
      <c r="Q35" s="414">
        <f>SUM(I35:K35)</f>
        <v>0</v>
      </c>
      <c r="R35" s="414">
        <f>SUM(L35:N35)</f>
        <v>0</v>
      </c>
      <c r="S35" s="414">
        <f>O35+P35+Q35+R35</f>
        <v>0</v>
      </c>
      <c r="T35" s="338"/>
      <c r="U35" s="338">
        <f t="shared" ref="U35:AE35" si="161">T35</f>
        <v>0</v>
      </c>
      <c r="V35" s="338">
        <f t="shared" si="161"/>
        <v>0</v>
      </c>
      <c r="W35" s="338">
        <f t="shared" si="161"/>
        <v>0</v>
      </c>
      <c r="X35" s="338">
        <f t="shared" si="161"/>
        <v>0</v>
      </c>
      <c r="Y35" s="338">
        <f t="shared" si="161"/>
        <v>0</v>
      </c>
      <c r="Z35" s="338">
        <f t="shared" si="161"/>
        <v>0</v>
      </c>
      <c r="AA35" s="338">
        <f t="shared" si="161"/>
        <v>0</v>
      </c>
      <c r="AB35" s="338">
        <f t="shared" si="161"/>
        <v>0</v>
      </c>
      <c r="AC35" s="338">
        <f t="shared" si="161"/>
        <v>0</v>
      </c>
      <c r="AD35" s="338">
        <f t="shared" si="161"/>
        <v>0</v>
      </c>
      <c r="AE35" s="338">
        <f t="shared" si="161"/>
        <v>0</v>
      </c>
      <c r="AF35" s="339">
        <f>SUM(T35:V35)</f>
        <v>0</v>
      </c>
      <c r="AG35" s="339">
        <f>SUM(W35:Y35)</f>
        <v>0</v>
      </c>
      <c r="AH35" s="339">
        <f>SUM(Z35:AB35)</f>
        <v>0</v>
      </c>
      <c r="AI35" s="339">
        <f>SUM(AC35:AE35)</f>
        <v>0</v>
      </c>
      <c r="AJ35" s="339">
        <f>AF35+AG35+AH35+AI35</f>
        <v>0</v>
      </c>
      <c r="AK35" s="338"/>
      <c r="AL35" s="338">
        <f t="shared" ref="AL35:AV35" si="162">AK35</f>
        <v>0</v>
      </c>
      <c r="AM35" s="338">
        <f t="shared" si="162"/>
        <v>0</v>
      </c>
      <c r="AN35" s="338">
        <f t="shared" si="162"/>
        <v>0</v>
      </c>
      <c r="AO35" s="338">
        <f t="shared" si="162"/>
        <v>0</v>
      </c>
      <c r="AP35" s="338">
        <f t="shared" si="162"/>
        <v>0</v>
      </c>
      <c r="AQ35" s="338">
        <f t="shared" si="162"/>
        <v>0</v>
      </c>
      <c r="AR35" s="338">
        <f t="shared" si="162"/>
        <v>0</v>
      </c>
      <c r="AS35" s="338">
        <f t="shared" si="162"/>
        <v>0</v>
      </c>
      <c r="AT35" s="338">
        <f t="shared" si="162"/>
        <v>0</v>
      </c>
      <c r="AU35" s="338">
        <f t="shared" si="162"/>
        <v>0</v>
      </c>
      <c r="AV35" s="338">
        <f t="shared" si="162"/>
        <v>0</v>
      </c>
      <c r="AW35" s="339">
        <f>SUM(AK35:AM35)</f>
        <v>0</v>
      </c>
      <c r="AX35" s="339">
        <f>SUM(AN35:AP35)</f>
        <v>0</v>
      </c>
      <c r="AY35" s="339">
        <f>SUM(AQ35:AS35)</f>
        <v>0</v>
      </c>
      <c r="AZ35" s="339">
        <f>SUM(AT35:AV35)</f>
        <v>0</v>
      </c>
      <c r="BA35" s="339">
        <f>AW35+AX35+AY35+AZ35</f>
        <v>0</v>
      </c>
      <c r="BB35" s="338"/>
      <c r="BC35" s="338">
        <f t="shared" ref="BC35:BM35" si="163">BB35</f>
        <v>0</v>
      </c>
      <c r="BD35" s="338">
        <f t="shared" si="163"/>
        <v>0</v>
      </c>
      <c r="BE35" s="338">
        <f t="shared" si="163"/>
        <v>0</v>
      </c>
      <c r="BF35" s="338">
        <f t="shared" si="163"/>
        <v>0</v>
      </c>
      <c r="BG35" s="338">
        <f t="shared" si="163"/>
        <v>0</v>
      </c>
      <c r="BH35" s="338">
        <f t="shared" si="163"/>
        <v>0</v>
      </c>
      <c r="BI35" s="338">
        <f t="shared" si="163"/>
        <v>0</v>
      </c>
      <c r="BJ35" s="338">
        <f t="shared" si="163"/>
        <v>0</v>
      </c>
      <c r="BK35" s="338">
        <f t="shared" si="163"/>
        <v>0</v>
      </c>
      <c r="BL35" s="338">
        <f t="shared" si="163"/>
        <v>0</v>
      </c>
      <c r="BM35" s="338">
        <f t="shared" si="163"/>
        <v>0</v>
      </c>
      <c r="BN35" s="339">
        <f>SUM(BB35:BD35)</f>
        <v>0</v>
      </c>
      <c r="BO35" s="339">
        <f>SUM(BE35:BG35)</f>
        <v>0</v>
      </c>
      <c r="BP35" s="339">
        <f>SUM(BH35:BJ35)</f>
        <v>0</v>
      </c>
      <c r="BQ35" s="339">
        <f>SUM(BK35:BM35)</f>
        <v>0</v>
      </c>
      <c r="BR35" s="339">
        <f>BN35+BO35+BP35+BQ35</f>
        <v>0</v>
      </c>
    </row>
    <row r="36" spans="1:70">
      <c r="A36" s="1027"/>
      <c r="B36" s="340" t="s">
        <v>919</v>
      </c>
      <c r="C36" s="338">
        <f t="shared" si="156"/>
        <v>0</v>
      </c>
      <c r="D36" s="338">
        <f t="shared" si="156"/>
        <v>0</v>
      </c>
      <c r="E36" s="338">
        <f t="shared" si="156"/>
        <v>0</v>
      </c>
      <c r="F36" s="338">
        <f t="shared" si="156"/>
        <v>0</v>
      </c>
      <c r="G36" s="338">
        <f t="shared" si="156"/>
        <v>0</v>
      </c>
      <c r="H36" s="338">
        <f t="shared" si="156"/>
        <v>0</v>
      </c>
      <c r="I36" s="338">
        <f t="shared" si="156"/>
        <v>0</v>
      </c>
      <c r="J36" s="338">
        <f t="shared" si="156"/>
        <v>0</v>
      </c>
      <c r="K36" s="338">
        <f t="shared" si="156"/>
        <v>0</v>
      </c>
      <c r="L36" s="338">
        <f t="shared" si="156"/>
        <v>0</v>
      </c>
      <c r="M36" s="338">
        <f t="shared" si="156"/>
        <v>0</v>
      </c>
      <c r="N36" s="338">
        <f t="shared" si="156"/>
        <v>0</v>
      </c>
      <c r="O36" s="414">
        <f>SUM(C36:E36)</f>
        <v>0</v>
      </c>
      <c r="P36" s="414">
        <f>SUM(F36:H36)</f>
        <v>0</v>
      </c>
      <c r="Q36" s="414">
        <f>SUM(I36:K36)</f>
        <v>0</v>
      </c>
      <c r="R36" s="414">
        <f>SUM(L36:N36)</f>
        <v>0</v>
      </c>
      <c r="S36" s="414">
        <f>O36+P36+Q36+R36</f>
        <v>0</v>
      </c>
      <c r="T36" s="338"/>
      <c r="U36" s="338">
        <f t="shared" ref="U36:AE38" si="164">T36</f>
        <v>0</v>
      </c>
      <c r="V36" s="338">
        <f t="shared" si="164"/>
        <v>0</v>
      </c>
      <c r="W36" s="338">
        <f t="shared" si="164"/>
        <v>0</v>
      </c>
      <c r="X36" s="338">
        <f t="shared" si="164"/>
        <v>0</v>
      </c>
      <c r="Y36" s="338">
        <f t="shared" si="164"/>
        <v>0</v>
      </c>
      <c r="Z36" s="338">
        <f t="shared" si="164"/>
        <v>0</v>
      </c>
      <c r="AA36" s="338">
        <f t="shared" si="164"/>
        <v>0</v>
      </c>
      <c r="AB36" s="338">
        <f t="shared" si="164"/>
        <v>0</v>
      </c>
      <c r="AC36" s="338">
        <f t="shared" si="164"/>
        <v>0</v>
      </c>
      <c r="AD36" s="338">
        <f t="shared" si="164"/>
        <v>0</v>
      </c>
      <c r="AE36" s="338">
        <f t="shared" si="164"/>
        <v>0</v>
      </c>
      <c r="AF36" s="339">
        <f>SUM(T36:V36)</f>
        <v>0</v>
      </c>
      <c r="AG36" s="339">
        <f>SUM(W36:Y36)</f>
        <v>0</v>
      </c>
      <c r="AH36" s="339">
        <f>SUM(Z36:AB36)</f>
        <v>0</v>
      </c>
      <c r="AI36" s="339">
        <f>SUM(AC36:AE36)</f>
        <v>0</v>
      </c>
      <c r="AJ36" s="339">
        <f>AF36+AG36+AH36+AI36</f>
        <v>0</v>
      </c>
      <c r="AK36" s="338"/>
      <c r="AL36" s="338">
        <f t="shared" ref="AL36:AV38" si="165">AK36</f>
        <v>0</v>
      </c>
      <c r="AM36" s="338">
        <f t="shared" si="165"/>
        <v>0</v>
      </c>
      <c r="AN36" s="338">
        <f t="shared" si="165"/>
        <v>0</v>
      </c>
      <c r="AO36" s="338">
        <f t="shared" si="165"/>
        <v>0</v>
      </c>
      <c r="AP36" s="338">
        <f t="shared" si="165"/>
        <v>0</v>
      </c>
      <c r="AQ36" s="338">
        <f t="shared" si="165"/>
        <v>0</v>
      </c>
      <c r="AR36" s="338">
        <f t="shared" si="165"/>
        <v>0</v>
      </c>
      <c r="AS36" s="338">
        <f t="shared" si="165"/>
        <v>0</v>
      </c>
      <c r="AT36" s="338">
        <f t="shared" si="165"/>
        <v>0</v>
      </c>
      <c r="AU36" s="338">
        <f t="shared" si="165"/>
        <v>0</v>
      </c>
      <c r="AV36" s="338">
        <f t="shared" si="165"/>
        <v>0</v>
      </c>
      <c r="AW36" s="339">
        <f>SUM(AK36:AM36)</f>
        <v>0</v>
      </c>
      <c r="AX36" s="339">
        <f>SUM(AN36:AP36)</f>
        <v>0</v>
      </c>
      <c r="AY36" s="339">
        <f>SUM(AQ36:AS36)</f>
        <v>0</v>
      </c>
      <c r="AZ36" s="339">
        <f>SUM(AT36:AV36)</f>
        <v>0</v>
      </c>
      <c r="BA36" s="339">
        <f>AW36+AX36+AY36+AZ36</f>
        <v>0</v>
      </c>
      <c r="BB36" s="338"/>
      <c r="BC36" s="338">
        <f t="shared" ref="BC36:BM36" si="166">BB36</f>
        <v>0</v>
      </c>
      <c r="BD36" s="338">
        <f t="shared" si="166"/>
        <v>0</v>
      </c>
      <c r="BE36" s="338">
        <f t="shared" si="166"/>
        <v>0</v>
      </c>
      <c r="BF36" s="338">
        <f t="shared" si="166"/>
        <v>0</v>
      </c>
      <c r="BG36" s="338">
        <f t="shared" si="166"/>
        <v>0</v>
      </c>
      <c r="BH36" s="338">
        <f t="shared" si="166"/>
        <v>0</v>
      </c>
      <c r="BI36" s="338">
        <f t="shared" si="166"/>
        <v>0</v>
      </c>
      <c r="BJ36" s="338">
        <f t="shared" si="166"/>
        <v>0</v>
      </c>
      <c r="BK36" s="338">
        <f t="shared" si="166"/>
        <v>0</v>
      </c>
      <c r="BL36" s="338">
        <f t="shared" si="166"/>
        <v>0</v>
      </c>
      <c r="BM36" s="338">
        <f t="shared" si="166"/>
        <v>0</v>
      </c>
      <c r="BN36" s="339">
        <f>SUM(BB36:BD36)</f>
        <v>0</v>
      </c>
      <c r="BO36" s="339">
        <f>SUM(BE36:BG36)</f>
        <v>0</v>
      </c>
      <c r="BP36" s="339">
        <f>SUM(BH36:BJ36)</f>
        <v>0</v>
      </c>
      <c r="BQ36" s="339">
        <f>SUM(BK36:BM36)</f>
        <v>0</v>
      </c>
      <c r="BR36" s="339">
        <f>BN36+BO36+BP36+BQ36</f>
        <v>0</v>
      </c>
    </row>
    <row r="37" spans="1:70">
      <c r="A37" s="1028"/>
      <c r="B37" s="342" t="s">
        <v>920</v>
      </c>
      <c r="C37" s="345">
        <f>SUM(C38,C39,C40,C41,C42)</f>
        <v>25550</v>
      </c>
      <c r="D37" s="345">
        <f t="shared" ref="D37:R37" si="167">SUM(D38,D39,D40,D41,D42)</f>
        <v>25550</v>
      </c>
      <c r="E37" s="345">
        <f t="shared" si="167"/>
        <v>25550</v>
      </c>
      <c r="F37" s="345">
        <f t="shared" si="167"/>
        <v>25550</v>
      </c>
      <c r="G37" s="345">
        <f t="shared" si="167"/>
        <v>25550</v>
      </c>
      <c r="H37" s="345">
        <f t="shared" si="167"/>
        <v>25550</v>
      </c>
      <c r="I37" s="345">
        <f t="shared" si="167"/>
        <v>25550</v>
      </c>
      <c r="J37" s="345">
        <f t="shared" si="167"/>
        <v>25550</v>
      </c>
      <c r="K37" s="345">
        <f t="shared" si="167"/>
        <v>25550</v>
      </c>
      <c r="L37" s="345">
        <f t="shared" si="167"/>
        <v>25550</v>
      </c>
      <c r="M37" s="345">
        <f t="shared" si="167"/>
        <v>25550</v>
      </c>
      <c r="N37" s="345">
        <f t="shared" si="167"/>
        <v>25550</v>
      </c>
      <c r="O37" s="415">
        <f t="shared" si="167"/>
        <v>76650</v>
      </c>
      <c r="P37" s="415">
        <f t="shared" si="167"/>
        <v>76650</v>
      </c>
      <c r="Q37" s="415">
        <f t="shared" si="167"/>
        <v>76650</v>
      </c>
      <c r="R37" s="415">
        <f t="shared" si="167"/>
        <v>76650</v>
      </c>
      <c r="S37" s="415">
        <f>SUM(S38,S39,S40,S41,S42)</f>
        <v>306600</v>
      </c>
      <c r="T37" s="345">
        <f>SUM(T38,T39,T40,T41,T42)</f>
        <v>25550</v>
      </c>
      <c r="U37" s="345">
        <f t="shared" ref="U37:AJ37" si="168">SUM(U38,U39,U40,U41,U42)</f>
        <v>25550</v>
      </c>
      <c r="V37" s="345">
        <f t="shared" si="168"/>
        <v>25550</v>
      </c>
      <c r="W37" s="345">
        <f t="shared" si="168"/>
        <v>25550</v>
      </c>
      <c r="X37" s="345">
        <f t="shared" si="168"/>
        <v>25550</v>
      </c>
      <c r="Y37" s="345">
        <f t="shared" si="168"/>
        <v>25550</v>
      </c>
      <c r="Z37" s="345">
        <f t="shared" si="168"/>
        <v>25550</v>
      </c>
      <c r="AA37" s="345">
        <f t="shared" si="168"/>
        <v>25550</v>
      </c>
      <c r="AB37" s="345">
        <f t="shared" si="168"/>
        <v>25550</v>
      </c>
      <c r="AC37" s="345">
        <f t="shared" si="168"/>
        <v>25550</v>
      </c>
      <c r="AD37" s="345">
        <f t="shared" si="168"/>
        <v>25550</v>
      </c>
      <c r="AE37" s="345">
        <f t="shared" si="168"/>
        <v>25550</v>
      </c>
      <c r="AF37" s="345">
        <f t="shared" si="168"/>
        <v>76650</v>
      </c>
      <c r="AG37" s="345">
        <f t="shared" si="168"/>
        <v>76650</v>
      </c>
      <c r="AH37" s="345">
        <f t="shared" si="168"/>
        <v>76650</v>
      </c>
      <c r="AI37" s="345">
        <f t="shared" si="168"/>
        <v>76650</v>
      </c>
      <c r="AJ37" s="345">
        <f t="shared" si="168"/>
        <v>306600</v>
      </c>
      <c r="AK37" s="345">
        <f>SUM(AK38,AK39,AK40,AK41,AK42)</f>
        <v>0</v>
      </c>
      <c r="AL37" s="345">
        <f t="shared" ref="AL37:BA37" si="169">SUM(AL38,AL39,AL40,AL41,AL42)</f>
        <v>0</v>
      </c>
      <c r="AM37" s="345">
        <f t="shared" si="169"/>
        <v>0</v>
      </c>
      <c r="AN37" s="345">
        <f t="shared" si="169"/>
        <v>0</v>
      </c>
      <c r="AO37" s="345">
        <f t="shared" si="169"/>
        <v>0</v>
      </c>
      <c r="AP37" s="345">
        <f t="shared" si="169"/>
        <v>0</v>
      </c>
      <c r="AQ37" s="345">
        <f t="shared" si="169"/>
        <v>0</v>
      </c>
      <c r="AR37" s="345">
        <f t="shared" si="169"/>
        <v>0</v>
      </c>
      <c r="AS37" s="345">
        <f t="shared" si="169"/>
        <v>0</v>
      </c>
      <c r="AT37" s="345">
        <f t="shared" si="169"/>
        <v>0</v>
      </c>
      <c r="AU37" s="345">
        <f t="shared" si="169"/>
        <v>0</v>
      </c>
      <c r="AV37" s="345">
        <f t="shared" si="169"/>
        <v>0</v>
      </c>
      <c r="AW37" s="345">
        <f t="shared" si="169"/>
        <v>0</v>
      </c>
      <c r="AX37" s="345">
        <f t="shared" si="169"/>
        <v>0</v>
      </c>
      <c r="AY37" s="345">
        <f t="shared" si="169"/>
        <v>0</v>
      </c>
      <c r="AZ37" s="345">
        <f t="shared" si="169"/>
        <v>0</v>
      </c>
      <c r="BA37" s="345">
        <f t="shared" si="169"/>
        <v>0</v>
      </c>
      <c r="BB37" s="345">
        <f>SUM(BB38,BB39,BB40,BB41,BB42)</f>
        <v>0</v>
      </c>
      <c r="BC37" s="345">
        <f t="shared" ref="BC37:BM37" si="170">SUM(BC38,BC39,BC40,BC41,BC42)</f>
        <v>0</v>
      </c>
      <c r="BD37" s="345">
        <f t="shared" si="170"/>
        <v>0</v>
      </c>
      <c r="BE37" s="345">
        <f t="shared" si="170"/>
        <v>0</v>
      </c>
      <c r="BF37" s="345">
        <f t="shared" si="170"/>
        <v>0</v>
      </c>
      <c r="BG37" s="345">
        <f t="shared" si="170"/>
        <v>0</v>
      </c>
      <c r="BH37" s="345">
        <f t="shared" si="170"/>
        <v>0</v>
      </c>
      <c r="BI37" s="345">
        <f t="shared" si="170"/>
        <v>0</v>
      </c>
      <c r="BJ37" s="345">
        <f t="shared" si="170"/>
        <v>0</v>
      </c>
      <c r="BK37" s="345">
        <f t="shared" si="170"/>
        <v>0</v>
      </c>
      <c r="BL37" s="345">
        <f t="shared" si="170"/>
        <v>0</v>
      </c>
      <c r="BM37" s="345">
        <f t="shared" si="170"/>
        <v>0</v>
      </c>
      <c r="BN37" s="345">
        <f>SUM(BN38,BN39,BN40,BN41,BN42)</f>
        <v>0</v>
      </c>
      <c r="BO37" s="345">
        <f>SUM(BO38,BO39,BO40,BO41,BO42)</f>
        <v>0</v>
      </c>
      <c r="BP37" s="345">
        <f>SUM(BP38,BP39,BP40,BP41,BP42)</f>
        <v>0</v>
      </c>
      <c r="BQ37" s="345">
        <f>SUM(BQ38,BQ39,BQ40,BQ41,BQ42)</f>
        <v>0</v>
      </c>
      <c r="BR37" s="345">
        <f>SUM(BR38,BR39,BR40,BR41,BR42)</f>
        <v>0</v>
      </c>
    </row>
    <row r="38" spans="1:70">
      <c r="A38" s="1027"/>
      <c r="B38" s="343" t="s">
        <v>921</v>
      </c>
      <c r="C38" s="338">
        <f t="shared" ref="C38:N38" si="171">T38+AK38+BB38</f>
        <v>6250</v>
      </c>
      <c r="D38" s="338">
        <f t="shared" si="171"/>
        <v>6250</v>
      </c>
      <c r="E38" s="338">
        <f t="shared" si="171"/>
        <v>6250</v>
      </c>
      <c r="F38" s="338">
        <f t="shared" si="171"/>
        <v>6250</v>
      </c>
      <c r="G38" s="338">
        <f t="shared" si="171"/>
        <v>6250</v>
      </c>
      <c r="H38" s="338">
        <f t="shared" si="171"/>
        <v>6250</v>
      </c>
      <c r="I38" s="338">
        <f t="shared" si="171"/>
        <v>6250</v>
      </c>
      <c r="J38" s="338">
        <f t="shared" si="171"/>
        <v>6250</v>
      </c>
      <c r="K38" s="338">
        <f t="shared" si="171"/>
        <v>6250</v>
      </c>
      <c r="L38" s="338">
        <f t="shared" si="171"/>
        <v>6250</v>
      </c>
      <c r="M38" s="338">
        <f t="shared" si="171"/>
        <v>6250</v>
      </c>
      <c r="N38" s="338">
        <f t="shared" si="171"/>
        <v>6250</v>
      </c>
      <c r="O38" s="414">
        <f>SUM(C38:E38)</f>
        <v>18750</v>
      </c>
      <c r="P38" s="414">
        <f>SUM(F38:H38)</f>
        <v>18750</v>
      </c>
      <c r="Q38" s="414">
        <f>SUM(I38:K38)</f>
        <v>18750</v>
      </c>
      <c r="R38" s="414">
        <f>SUM(L38:N38)</f>
        <v>18750</v>
      </c>
      <c r="S38" s="414">
        <f>O38+P38+Q38+R38</f>
        <v>75000</v>
      </c>
      <c r="T38" s="338">
        <f>6250</f>
        <v>6250</v>
      </c>
      <c r="U38" s="338">
        <f t="shared" si="164"/>
        <v>6250</v>
      </c>
      <c r="V38" s="338">
        <f t="shared" si="164"/>
        <v>6250</v>
      </c>
      <c r="W38" s="338">
        <f t="shared" si="164"/>
        <v>6250</v>
      </c>
      <c r="X38" s="338">
        <f t="shared" si="164"/>
        <v>6250</v>
      </c>
      <c r="Y38" s="338">
        <f t="shared" si="164"/>
        <v>6250</v>
      </c>
      <c r="Z38" s="338">
        <f t="shared" si="164"/>
        <v>6250</v>
      </c>
      <c r="AA38" s="338">
        <f t="shared" si="164"/>
        <v>6250</v>
      </c>
      <c r="AB38" s="338">
        <f t="shared" si="164"/>
        <v>6250</v>
      </c>
      <c r="AC38" s="338">
        <f t="shared" si="164"/>
        <v>6250</v>
      </c>
      <c r="AD38" s="338">
        <f t="shared" si="164"/>
        <v>6250</v>
      </c>
      <c r="AE38" s="338">
        <f t="shared" si="164"/>
        <v>6250</v>
      </c>
      <c r="AF38" s="339">
        <f t="shared" ref="AF38:AF53" si="172">SUM(T38:V38)</f>
        <v>18750</v>
      </c>
      <c r="AG38" s="339">
        <f t="shared" ref="AG38:AG53" si="173">SUM(W38:Y38)</f>
        <v>18750</v>
      </c>
      <c r="AH38" s="339">
        <f t="shared" ref="AH38:AH53" si="174">SUM(Z38:AB38)</f>
        <v>18750</v>
      </c>
      <c r="AI38" s="339">
        <f t="shared" ref="AI38:AI53" si="175">SUM(AC38:AE38)</f>
        <v>18750</v>
      </c>
      <c r="AJ38" s="339">
        <f t="shared" ref="AJ38:AJ53" si="176">AF38+AG38+AH38+AI38</f>
        <v>75000</v>
      </c>
      <c r="AK38" s="338"/>
      <c r="AL38" s="338">
        <f t="shared" si="165"/>
        <v>0</v>
      </c>
      <c r="AM38" s="338">
        <f t="shared" si="165"/>
        <v>0</v>
      </c>
      <c r="AN38" s="338">
        <f t="shared" si="165"/>
        <v>0</v>
      </c>
      <c r="AO38" s="338">
        <f t="shared" si="165"/>
        <v>0</v>
      </c>
      <c r="AP38" s="338">
        <f t="shared" si="165"/>
        <v>0</v>
      </c>
      <c r="AQ38" s="338">
        <f t="shared" si="165"/>
        <v>0</v>
      </c>
      <c r="AR38" s="338">
        <f t="shared" si="165"/>
        <v>0</v>
      </c>
      <c r="AS38" s="338">
        <f t="shared" si="165"/>
        <v>0</v>
      </c>
      <c r="AT38" s="338">
        <f t="shared" si="165"/>
        <v>0</v>
      </c>
      <c r="AU38" s="338">
        <f t="shared" si="165"/>
        <v>0</v>
      </c>
      <c r="AV38" s="338">
        <f t="shared" si="165"/>
        <v>0</v>
      </c>
      <c r="AW38" s="339">
        <f t="shared" ref="AW38:AW53" si="177">SUM(AK38:AM38)</f>
        <v>0</v>
      </c>
      <c r="AX38" s="339">
        <f t="shared" ref="AX38:AX53" si="178">SUM(AN38:AP38)</f>
        <v>0</v>
      </c>
      <c r="AY38" s="339">
        <f t="shared" ref="AY38:AY53" si="179">SUM(AQ38:AS38)</f>
        <v>0</v>
      </c>
      <c r="AZ38" s="339">
        <f t="shared" ref="AZ38:AZ53" si="180">SUM(AT38:AV38)</f>
        <v>0</v>
      </c>
      <c r="BA38" s="339">
        <f t="shared" ref="BA38:BA53" si="181">AW38+AX38+AY38+AZ38</f>
        <v>0</v>
      </c>
      <c r="BB38" s="338"/>
      <c r="BC38" s="338">
        <f t="shared" ref="BC38:BM38" si="182">BB38</f>
        <v>0</v>
      </c>
      <c r="BD38" s="338">
        <f t="shared" si="182"/>
        <v>0</v>
      </c>
      <c r="BE38" s="338">
        <f t="shared" si="182"/>
        <v>0</v>
      </c>
      <c r="BF38" s="338">
        <f t="shared" si="182"/>
        <v>0</v>
      </c>
      <c r="BG38" s="338">
        <f t="shared" si="182"/>
        <v>0</v>
      </c>
      <c r="BH38" s="338">
        <f t="shared" si="182"/>
        <v>0</v>
      </c>
      <c r="BI38" s="338">
        <f t="shared" si="182"/>
        <v>0</v>
      </c>
      <c r="BJ38" s="338">
        <f t="shared" si="182"/>
        <v>0</v>
      </c>
      <c r="BK38" s="338">
        <f t="shared" si="182"/>
        <v>0</v>
      </c>
      <c r="BL38" s="338">
        <f t="shared" si="182"/>
        <v>0</v>
      </c>
      <c r="BM38" s="338">
        <f t="shared" si="182"/>
        <v>0</v>
      </c>
      <c r="BN38" s="339">
        <f t="shared" ref="BN38:BN53" si="183">SUM(BB38:BD38)</f>
        <v>0</v>
      </c>
      <c r="BO38" s="339">
        <f t="shared" ref="BO38:BO53" si="184">SUM(BE38:BG38)</f>
        <v>0</v>
      </c>
      <c r="BP38" s="339">
        <f t="shared" ref="BP38:BP53" si="185">SUM(BH38:BJ38)</f>
        <v>0</v>
      </c>
      <c r="BQ38" s="339">
        <f t="shared" ref="BQ38:BQ53" si="186">SUM(BK38:BM38)</f>
        <v>0</v>
      </c>
      <c r="BR38" s="339">
        <f t="shared" ref="BR38:BR53" si="187">BN38+BO38+BP38+BQ38</f>
        <v>0</v>
      </c>
    </row>
    <row r="39" spans="1:70">
      <c r="A39" s="1027"/>
      <c r="B39" s="343" t="s">
        <v>922</v>
      </c>
      <c r="C39" s="338">
        <f t="shared" ref="C39:C53" si="188">T39+AK39+BB39</f>
        <v>9000</v>
      </c>
      <c r="D39" s="338">
        <f t="shared" ref="D39:D53" si="189">U39+AL39+BC39</f>
        <v>9000</v>
      </c>
      <c r="E39" s="338">
        <f t="shared" ref="E39:E53" si="190">V39+AM39+BD39</f>
        <v>9000</v>
      </c>
      <c r="F39" s="338">
        <f t="shared" ref="F39:F53" si="191">W39+AN39+BE39</f>
        <v>9000</v>
      </c>
      <c r="G39" s="338">
        <f t="shared" ref="G39:G53" si="192">X39+AO39+BF39</f>
        <v>9000</v>
      </c>
      <c r="H39" s="338">
        <f t="shared" ref="H39:H53" si="193">Y39+AP39+BG39</f>
        <v>9000</v>
      </c>
      <c r="I39" s="338">
        <f t="shared" ref="I39:I53" si="194">Z39+AQ39+BH39</f>
        <v>9000</v>
      </c>
      <c r="J39" s="338">
        <f t="shared" ref="J39:J53" si="195">AA39+AR39+BI39</f>
        <v>9000</v>
      </c>
      <c r="K39" s="338">
        <f t="shared" ref="K39:K53" si="196">AB39+AS39+BJ39</f>
        <v>9000</v>
      </c>
      <c r="L39" s="338">
        <f t="shared" ref="L39:L53" si="197">AC39+AT39+BK39</f>
        <v>9000</v>
      </c>
      <c r="M39" s="338">
        <f t="shared" ref="M39:M53" si="198">AD39+AU39+BL39</f>
        <v>9000</v>
      </c>
      <c r="N39" s="338">
        <f t="shared" ref="N39:N53" si="199">AE39+AV39+BM39</f>
        <v>9000</v>
      </c>
      <c r="O39" s="414">
        <f t="shared" ref="O39:O53" si="200">SUM(C39:E39)</f>
        <v>27000</v>
      </c>
      <c r="P39" s="414">
        <f t="shared" ref="P39:P53" si="201">SUM(F39:H39)</f>
        <v>27000</v>
      </c>
      <c r="Q39" s="414">
        <f t="shared" ref="Q39:Q53" si="202">SUM(I39:K39)</f>
        <v>27000</v>
      </c>
      <c r="R39" s="414">
        <f t="shared" ref="R39:R53" si="203">SUM(L39:N39)</f>
        <v>27000</v>
      </c>
      <c r="S39" s="414">
        <f t="shared" ref="S39:S53" si="204">O39+P39+Q39+R39</f>
        <v>108000</v>
      </c>
      <c r="T39" s="338">
        <f>4000+3000+2000</f>
        <v>9000</v>
      </c>
      <c r="U39" s="338">
        <f t="shared" ref="U39:AE39" si="205">T39</f>
        <v>9000</v>
      </c>
      <c r="V39" s="338">
        <f t="shared" si="205"/>
        <v>9000</v>
      </c>
      <c r="W39" s="338">
        <f t="shared" si="205"/>
        <v>9000</v>
      </c>
      <c r="X39" s="338">
        <f t="shared" si="205"/>
        <v>9000</v>
      </c>
      <c r="Y39" s="338">
        <f t="shared" si="205"/>
        <v>9000</v>
      </c>
      <c r="Z39" s="338">
        <f t="shared" si="205"/>
        <v>9000</v>
      </c>
      <c r="AA39" s="338">
        <f t="shared" si="205"/>
        <v>9000</v>
      </c>
      <c r="AB39" s="338">
        <f t="shared" si="205"/>
        <v>9000</v>
      </c>
      <c r="AC39" s="338">
        <f t="shared" si="205"/>
        <v>9000</v>
      </c>
      <c r="AD39" s="338">
        <f t="shared" si="205"/>
        <v>9000</v>
      </c>
      <c r="AE39" s="338">
        <f t="shared" si="205"/>
        <v>9000</v>
      </c>
      <c r="AF39" s="339">
        <f t="shared" si="172"/>
        <v>27000</v>
      </c>
      <c r="AG39" s="339">
        <f t="shared" si="173"/>
        <v>27000</v>
      </c>
      <c r="AH39" s="339">
        <f t="shared" si="174"/>
        <v>27000</v>
      </c>
      <c r="AI39" s="339">
        <f t="shared" si="175"/>
        <v>27000</v>
      </c>
      <c r="AJ39" s="339">
        <f t="shared" si="176"/>
        <v>108000</v>
      </c>
      <c r="AK39" s="338"/>
      <c r="AL39" s="338">
        <f t="shared" ref="AL39:AV39" si="206">AK39</f>
        <v>0</v>
      </c>
      <c r="AM39" s="338">
        <f t="shared" si="206"/>
        <v>0</v>
      </c>
      <c r="AN39" s="338">
        <f t="shared" si="206"/>
        <v>0</v>
      </c>
      <c r="AO39" s="338">
        <f t="shared" si="206"/>
        <v>0</v>
      </c>
      <c r="AP39" s="338">
        <f t="shared" si="206"/>
        <v>0</v>
      </c>
      <c r="AQ39" s="338">
        <f t="shared" si="206"/>
        <v>0</v>
      </c>
      <c r="AR39" s="338">
        <f t="shared" si="206"/>
        <v>0</v>
      </c>
      <c r="AS39" s="338">
        <f t="shared" si="206"/>
        <v>0</v>
      </c>
      <c r="AT39" s="338">
        <f t="shared" si="206"/>
        <v>0</v>
      </c>
      <c r="AU39" s="338">
        <f t="shared" si="206"/>
        <v>0</v>
      </c>
      <c r="AV39" s="338">
        <f t="shared" si="206"/>
        <v>0</v>
      </c>
      <c r="AW39" s="339">
        <f t="shared" si="177"/>
        <v>0</v>
      </c>
      <c r="AX39" s="339">
        <f t="shared" si="178"/>
        <v>0</v>
      </c>
      <c r="AY39" s="339">
        <f t="shared" si="179"/>
        <v>0</v>
      </c>
      <c r="AZ39" s="339">
        <f t="shared" si="180"/>
        <v>0</v>
      </c>
      <c r="BA39" s="339">
        <f t="shared" si="181"/>
        <v>0</v>
      </c>
      <c r="BB39" s="338"/>
      <c r="BC39" s="338">
        <f t="shared" ref="BC39:BM39" si="207">BB39</f>
        <v>0</v>
      </c>
      <c r="BD39" s="338">
        <f t="shared" si="207"/>
        <v>0</v>
      </c>
      <c r="BE39" s="338">
        <f t="shared" si="207"/>
        <v>0</v>
      </c>
      <c r="BF39" s="338">
        <f t="shared" si="207"/>
        <v>0</v>
      </c>
      <c r="BG39" s="338">
        <f t="shared" si="207"/>
        <v>0</v>
      </c>
      <c r="BH39" s="338">
        <f t="shared" si="207"/>
        <v>0</v>
      </c>
      <c r="BI39" s="338">
        <f t="shared" si="207"/>
        <v>0</v>
      </c>
      <c r="BJ39" s="338">
        <f t="shared" si="207"/>
        <v>0</v>
      </c>
      <c r="BK39" s="338">
        <f t="shared" si="207"/>
        <v>0</v>
      </c>
      <c r="BL39" s="338">
        <f t="shared" si="207"/>
        <v>0</v>
      </c>
      <c r="BM39" s="338">
        <f t="shared" si="207"/>
        <v>0</v>
      </c>
      <c r="BN39" s="339">
        <f t="shared" si="183"/>
        <v>0</v>
      </c>
      <c r="BO39" s="339">
        <f t="shared" si="184"/>
        <v>0</v>
      </c>
      <c r="BP39" s="339">
        <f t="shared" si="185"/>
        <v>0</v>
      </c>
      <c r="BQ39" s="339">
        <f t="shared" si="186"/>
        <v>0</v>
      </c>
      <c r="BR39" s="339">
        <f t="shared" si="187"/>
        <v>0</v>
      </c>
    </row>
    <row r="40" spans="1:70">
      <c r="A40" s="1027"/>
      <c r="B40" s="343" t="s">
        <v>923</v>
      </c>
      <c r="C40" s="338">
        <f t="shared" si="188"/>
        <v>1000</v>
      </c>
      <c r="D40" s="338">
        <f t="shared" si="189"/>
        <v>1000</v>
      </c>
      <c r="E40" s="338">
        <f t="shared" si="190"/>
        <v>1000</v>
      </c>
      <c r="F40" s="338">
        <f t="shared" si="191"/>
        <v>1000</v>
      </c>
      <c r="G40" s="338">
        <f t="shared" si="192"/>
        <v>1000</v>
      </c>
      <c r="H40" s="338">
        <f t="shared" si="193"/>
        <v>1000</v>
      </c>
      <c r="I40" s="338">
        <f t="shared" si="194"/>
        <v>1000</v>
      </c>
      <c r="J40" s="338">
        <f t="shared" si="195"/>
        <v>1000</v>
      </c>
      <c r="K40" s="338">
        <f t="shared" si="196"/>
        <v>1000</v>
      </c>
      <c r="L40" s="338">
        <f t="shared" si="197"/>
        <v>1000</v>
      </c>
      <c r="M40" s="338">
        <f t="shared" si="198"/>
        <v>1000</v>
      </c>
      <c r="N40" s="338">
        <f t="shared" si="199"/>
        <v>1000</v>
      </c>
      <c r="O40" s="414">
        <f t="shared" si="200"/>
        <v>3000</v>
      </c>
      <c r="P40" s="414">
        <f t="shared" si="201"/>
        <v>3000</v>
      </c>
      <c r="Q40" s="414">
        <f t="shared" si="202"/>
        <v>3000</v>
      </c>
      <c r="R40" s="414">
        <f t="shared" si="203"/>
        <v>3000</v>
      </c>
      <c r="S40" s="414">
        <f t="shared" si="204"/>
        <v>12000</v>
      </c>
      <c r="T40" s="338">
        <f>1000</f>
        <v>1000</v>
      </c>
      <c r="U40" s="338">
        <f t="shared" ref="U40:AE40" si="208">T40</f>
        <v>1000</v>
      </c>
      <c r="V40" s="338">
        <f t="shared" si="208"/>
        <v>1000</v>
      </c>
      <c r="W40" s="338">
        <f t="shared" si="208"/>
        <v>1000</v>
      </c>
      <c r="X40" s="338">
        <f t="shared" si="208"/>
        <v>1000</v>
      </c>
      <c r="Y40" s="338">
        <f t="shared" si="208"/>
        <v>1000</v>
      </c>
      <c r="Z40" s="338">
        <f t="shared" si="208"/>
        <v>1000</v>
      </c>
      <c r="AA40" s="338">
        <f t="shared" si="208"/>
        <v>1000</v>
      </c>
      <c r="AB40" s="338">
        <f t="shared" si="208"/>
        <v>1000</v>
      </c>
      <c r="AC40" s="338">
        <f t="shared" si="208"/>
        <v>1000</v>
      </c>
      <c r="AD40" s="338">
        <f t="shared" si="208"/>
        <v>1000</v>
      </c>
      <c r="AE40" s="338">
        <f t="shared" si="208"/>
        <v>1000</v>
      </c>
      <c r="AF40" s="339">
        <f t="shared" si="172"/>
        <v>3000</v>
      </c>
      <c r="AG40" s="339">
        <f t="shared" si="173"/>
        <v>3000</v>
      </c>
      <c r="AH40" s="339">
        <f t="shared" si="174"/>
        <v>3000</v>
      </c>
      <c r="AI40" s="339">
        <f t="shared" si="175"/>
        <v>3000</v>
      </c>
      <c r="AJ40" s="339">
        <f t="shared" si="176"/>
        <v>12000</v>
      </c>
      <c r="AK40" s="338"/>
      <c r="AL40" s="338">
        <f t="shared" ref="AL40:AV40" si="209">AK40</f>
        <v>0</v>
      </c>
      <c r="AM40" s="338">
        <f t="shared" si="209"/>
        <v>0</v>
      </c>
      <c r="AN40" s="338">
        <f t="shared" si="209"/>
        <v>0</v>
      </c>
      <c r="AO40" s="338">
        <f t="shared" si="209"/>
        <v>0</v>
      </c>
      <c r="AP40" s="338">
        <f t="shared" si="209"/>
        <v>0</v>
      </c>
      <c r="AQ40" s="338">
        <f t="shared" si="209"/>
        <v>0</v>
      </c>
      <c r="AR40" s="338">
        <f t="shared" si="209"/>
        <v>0</v>
      </c>
      <c r="AS40" s="338">
        <f t="shared" si="209"/>
        <v>0</v>
      </c>
      <c r="AT40" s="338">
        <f t="shared" si="209"/>
        <v>0</v>
      </c>
      <c r="AU40" s="338">
        <f t="shared" si="209"/>
        <v>0</v>
      </c>
      <c r="AV40" s="338">
        <f t="shared" si="209"/>
        <v>0</v>
      </c>
      <c r="AW40" s="339">
        <f t="shared" si="177"/>
        <v>0</v>
      </c>
      <c r="AX40" s="339">
        <f t="shared" si="178"/>
        <v>0</v>
      </c>
      <c r="AY40" s="339">
        <f t="shared" si="179"/>
        <v>0</v>
      </c>
      <c r="AZ40" s="339">
        <f t="shared" si="180"/>
        <v>0</v>
      </c>
      <c r="BA40" s="339">
        <f t="shared" si="181"/>
        <v>0</v>
      </c>
      <c r="BB40" s="338"/>
      <c r="BC40" s="338">
        <f t="shared" ref="BC40:BM40" si="210">BB40</f>
        <v>0</v>
      </c>
      <c r="BD40" s="338">
        <f t="shared" si="210"/>
        <v>0</v>
      </c>
      <c r="BE40" s="338">
        <f t="shared" si="210"/>
        <v>0</v>
      </c>
      <c r="BF40" s="338">
        <f t="shared" si="210"/>
        <v>0</v>
      </c>
      <c r="BG40" s="338">
        <f t="shared" si="210"/>
        <v>0</v>
      </c>
      <c r="BH40" s="338">
        <f t="shared" si="210"/>
        <v>0</v>
      </c>
      <c r="BI40" s="338">
        <f t="shared" si="210"/>
        <v>0</v>
      </c>
      <c r="BJ40" s="338">
        <f t="shared" si="210"/>
        <v>0</v>
      </c>
      <c r="BK40" s="338">
        <f t="shared" si="210"/>
        <v>0</v>
      </c>
      <c r="BL40" s="338">
        <f t="shared" si="210"/>
        <v>0</v>
      </c>
      <c r="BM40" s="338">
        <f t="shared" si="210"/>
        <v>0</v>
      </c>
      <c r="BN40" s="339">
        <f t="shared" si="183"/>
        <v>0</v>
      </c>
      <c r="BO40" s="339">
        <f t="shared" si="184"/>
        <v>0</v>
      </c>
      <c r="BP40" s="339">
        <f t="shared" si="185"/>
        <v>0</v>
      </c>
      <c r="BQ40" s="339">
        <f t="shared" si="186"/>
        <v>0</v>
      </c>
      <c r="BR40" s="339">
        <f t="shared" si="187"/>
        <v>0</v>
      </c>
    </row>
    <row r="41" spans="1:70">
      <c r="A41" s="1027"/>
      <c r="B41" s="343" t="s">
        <v>941</v>
      </c>
      <c r="C41" s="338">
        <f t="shared" si="188"/>
        <v>9000</v>
      </c>
      <c r="D41" s="338">
        <f t="shared" si="189"/>
        <v>9000</v>
      </c>
      <c r="E41" s="338">
        <f t="shared" si="190"/>
        <v>9000</v>
      </c>
      <c r="F41" s="338">
        <f t="shared" si="191"/>
        <v>9000</v>
      </c>
      <c r="G41" s="338">
        <f t="shared" si="192"/>
        <v>9000</v>
      </c>
      <c r="H41" s="338">
        <f t="shared" si="193"/>
        <v>9000</v>
      </c>
      <c r="I41" s="338">
        <f t="shared" si="194"/>
        <v>9000</v>
      </c>
      <c r="J41" s="338">
        <f t="shared" si="195"/>
        <v>9000</v>
      </c>
      <c r="K41" s="338">
        <f t="shared" si="196"/>
        <v>9000</v>
      </c>
      <c r="L41" s="338">
        <f t="shared" si="197"/>
        <v>9000</v>
      </c>
      <c r="M41" s="338">
        <f t="shared" si="198"/>
        <v>9000</v>
      </c>
      <c r="N41" s="338">
        <f t="shared" si="199"/>
        <v>9000</v>
      </c>
      <c r="O41" s="414">
        <f t="shared" si="200"/>
        <v>27000</v>
      </c>
      <c r="P41" s="414">
        <f t="shared" si="201"/>
        <v>27000</v>
      </c>
      <c r="Q41" s="414">
        <f t="shared" si="202"/>
        <v>27000</v>
      </c>
      <c r="R41" s="414">
        <f t="shared" si="203"/>
        <v>27000</v>
      </c>
      <c r="S41" s="414">
        <f t="shared" si="204"/>
        <v>108000</v>
      </c>
      <c r="T41" s="338">
        <f>4000+3000+2000</f>
        <v>9000</v>
      </c>
      <c r="U41" s="338">
        <f t="shared" ref="U41:AE41" si="211">T41</f>
        <v>9000</v>
      </c>
      <c r="V41" s="338">
        <f t="shared" si="211"/>
        <v>9000</v>
      </c>
      <c r="W41" s="338">
        <f t="shared" si="211"/>
        <v>9000</v>
      </c>
      <c r="X41" s="338">
        <f t="shared" si="211"/>
        <v>9000</v>
      </c>
      <c r="Y41" s="338">
        <f t="shared" si="211"/>
        <v>9000</v>
      </c>
      <c r="Z41" s="338">
        <f t="shared" si="211"/>
        <v>9000</v>
      </c>
      <c r="AA41" s="338">
        <f t="shared" si="211"/>
        <v>9000</v>
      </c>
      <c r="AB41" s="338">
        <f t="shared" si="211"/>
        <v>9000</v>
      </c>
      <c r="AC41" s="338">
        <f t="shared" si="211"/>
        <v>9000</v>
      </c>
      <c r="AD41" s="338">
        <f t="shared" si="211"/>
        <v>9000</v>
      </c>
      <c r="AE41" s="338">
        <f t="shared" si="211"/>
        <v>9000</v>
      </c>
      <c r="AF41" s="339">
        <f t="shared" si="172"/>
        <v>27000</v>
      </c>
      <c r="AG41" s="339">
        <f t="shared" si="173"/>
        <v>27000</v>
      </c>
      <c r="AH41" s="339">
        <f t="shared" si="174"/>
        <v>27000</v>
      </c>
      <c r="AI41" s="339">
        <f t="shared" si="175"/>
        <v>27000</v>
      </c>
      <c r="AJ41" s="339">
        <f t="shared" si="176"/>
        <v>108000</v>
      </c>
      <c r="AK41" s="338"/>
      <c r="AL41" s="338">
        <f t="shared" ref="AL41:AV41" si="212">AK41</f>
        <v>0</v>
      </c>
      <c r="AM41" s="338">
        <f t="shared" si="212"/>
        <v>0</v>
      </c>
      <c r="AN41" s="338">
        <f t="shared" si="212"/>
        <v>0</v>
      </c>
      <c r="AO41" s="338">
        <f t="shared" si="212"/>
        <v>0</v>
      </c>
      <c r="AP41" s="338">
        <f t="shared" si="212"/>
        <v>0</v>
      </c>
      <c r="AQ41" s="338">
        <f t="shared" si="212"/>
        <v>0</v>
      </c>
      <c r="AR41" s="338">
        <f t="shared" si="212"/>
        <v>0</v>
      </c>
      <c r="AS41" s="338">
        <f t="shared" si="212"/>
        <v>0</v>
      </c>
      <c r="AT41" s="338">
        <f t="shared" si="212"/>
        <v>0</v>
      </c>
      <c r="AU41" s="338">
        <f t="shared" si="212"/>
        <v>0</v>
      </c>
      <c r="AV41" s="338">
        <f t="shared" si="212"/>
        <v>0</v>
      </c>
      <c r="AW41" s="339">
        <f t="shared" si="177"/>
        <v>0</v>
      </c>
      <c r="AX41" s="339">
        <f t="shared" si="178"/>
        <v>0</v>
      </c>
      <c r="AY41" s="339">
        <f t="shared" si="179"/>
        <v>0</v>
      </c>
      <c r="AZ41" s="339">
        <f t="shared" si="180"/>
        <v>0</v>
      </c>
      <c r="BA41" s="339">
        <f t="shared" si="181"/>
        <v>0</v>
      </c>
      <c r="BB41" s="338"/>
      <c r="BC41" s="338">
        <f t="shared" ref="BC41:BM41" si="213">BB41</f>
        <v>0</v>
      </c>
      <c r="BD41" s="338">
        <f t="shared" si="213"/>
        <v>0</v>
      </c>
      <c r="BE41" s="338">
        <f t="shared" si="213"/>
        <v>0</v>
      </c>
      <c r="BF41" s="338">
        <f t="shared" si="213"/>
        <v>0</v>
      </c>
      <c r="BG41" s="338">
        <f t="shared" si="213"/>
        <v>0</v>
      </c>
      <c r="BH41" s="338">
        <f t="shared" si="213"/>
        <v>0</v>
      </c>
      <c r="BI41" s="338">
        <f t="shared" si="213"/>
        <v>0</v>
      </c>
      <c r="BJ41" s="338">
        <f t="shared" si="213"/>
        <v>0</v>
      </c>
      <c r="BK41" s="338">
        <f t="shared" si="213"/>
        <v>0</v>
      </c>
      <c r="BL41" s="338">
        <f t="shared" si="213"/>
        <v>0</v>
      </c>
      <c r="BM41" s="338">
        <f t="shared" si="213"/>
        <v>0</v>
      </c>
      <c r="BN41" s="339">
        <f t="shared" si="183"/>
        <v>0</v>
      </c>
      <c r="BO41" s="339">
        <f t="shared" si="184"/>
        <v>0</v>
      </c>
      <c r="BP41" s="339">
        <f t="shared" si="185"/>
        <v>0</v>
      </c>
      <c r="BQ41" s="339">
        <f t="shared" si="186"/>
        <v>0</v>
      </c>
      <c r="BR41" s="339">
        <f t="shared" si="187"/>
        <v>0</v>
      </c>
    </row>
    <row r="42" spans="1:70">
      <c r="A42" s="1027"/>
      <c r="B42" s="343" t="s">
        <v>924</v>
      </c>
      <c r="C42" s="338">
        <f t="shared" si="188"/>
        <v>300</v>
      </c>
      <c r="D42" s="338">
        <f t="shared" si="189"/>
        <v>300</v>
      </c>
      <c r="E42" s="338">
        <f t="shared" si="190"/>
        <v>300</v>
      </c>
      <c r="F42" s="338">
        <f t="shared" si="191"/>
        <v>300</v>
      </c>
      <c r="G42" s="338">
        <f t="shared" si="192"/>
        <v>300</v>
      </c>
      <c r="H42" s="338">
        <f t="shared" si="193"/>
        <v>300</v>
      </c>
      <c r="I42" s="338">
        <f t="shared" si="194"/>
        <v>300</v>
      </c>
      <c r="J42" s="338">
        <f t="shared" si="195"/>
        <v>300</v>
      </c>
      <c r="K42" s="338">
        <f t="shared" si="196"/>
        <v>300</v>
      </c>
      <c r="L42" s="338">
        <f t="shared" si="197"/>
        <v>300</v>
      </c>
      <c r="M42" s="338">
        <f t="shared" si="198"/>
        <v>300</v>
      </c>
      <c r="N42" s="338">
        <f t="shared" si="199"/>
        <v>300</v>
      </c>
      <c r="O42" s="414">
        <f t="shared" si="200"/>
        <v>900</v>
      </c>
      <c r="P42" s="414">
        <f t="shared" si="201"/>
        <v>900</v>
      </c>
      <c r="Q42" s="414">
        <f t="shared" si="202"/>
        <v>900</v>
      </c>
      <c r="R42" s="414">
        <f t="shared" si="203"/>
        <v>900</v>
      </c>
      <c r="S42" s="414">
        <f t="shared" si="204"/>
        <v>3600</v>
      </c>
      <c r="T42" s="338">
        <f>300</f>
        <v>300</v>
      </c>
      <c r="U42" s="338">
        <f t="shared" ref="U42:AE42" si="214">T42</f>
        <v>300</v>
      </c>
      <c r="V42" s="338">
        <f t="shared" si="214"/>
        <v>300</v>
      </c>
      <c r="W42" s="338">
        <f t="shared" si="214"/>
        <v>300</v>
      </c>
      <c r="X42" s="338">
        <f t="shared" si="214"/>
        <v>300</v>
      </c>
      <c r="Y42" s="338">
        <f t="shared" si="214"/>
        <v>300</v>
      </c>
      <c r="Z42" s="338">
        <f t="shared" si="214"/>
        <v>300</v>
      </c>
      <c r="AA42" s="338">
        <f t="shared" si="214"/>
        <v>300</v>
      </c>
      <c r="AB42" s="338">
        <f t="shared" si="214"/>
        <v>300</v>
      </c>
      <c r="AC42" s="338">
        <f t="shared" si="214"/>
        <v>300</v>
      </c>
      <c r="AD42" s="338">
        <f t="shared" si="214"/>
        <v>300</v>
      </c>
      <c r="AE42" s="338">
        <f t="shared" si="214"/>
        <v>300</v>
      </c>
      <c r="AF42" s="339">
        <f t="shared" si="172"/>
        <v>900</v>
      </c>
      <c r="AG42" s="339">
        <f t="shared" si="173"/>
        <v>900</v>
      </c>
      <c r="AH42" s="339">
        <f t="shared" si="174"/>
        <v>900</v>
      </c>
      <c r="AI42" s="339">
        <f t="shared" si="175"/>
        <v>900</v>
      </c>
      <c r="AJ42" s="339">
        <f t="shared" si="176"/>
        <v>3600</v>
      </c>
      <c r="AK42" s="338"/>
      <c r="AL42" s="338">
        <f t="shared" ref="AL42:AV42" si="215">AK42</f>
        <v>0</v>
      </c>
      <c r="AM42" s="338">
        <f t="shared" si="215"/>
        <v>0</v>
      </c>
      <c r="AN42" s="338">
        <f t="shared" si="215"/>
        <v>0</v>
      </c>
      <c r="AO42" s="338">
        <f t="shared" si="215"/>
        <v>0</v>
      </c>
      <c r="AP42" s="338">
        <f t="shared" si="215"/>
        <v>0</v>
      </c>
      <c r="AQ42" s="338">
        <f t="shared" si="215"/>
        <v>0</v>
      </c>
      <c r="AR42" s="338">
        <f t="shared" si="215"/>
        <v>0</v>
      </c>
      <c r="AS42" s="338">
        <f t="shared" si="215"/>
        <v>0</v>
      </c>
      <c r="AT42" s="338">
        <f t="shared" si="215"/>
        <v>0</v>
      </c>
      <c r="AU42" s="338">
        <f t="shared" si="215"/>
        <v>0</v>
      </c>
      <c r="AV42" s="338">
        <f t="shared" si="215"/>
        <v>0</v>
      </c>
      <c r="AW42" s="339">
        <f t="shared" si="177"/>
        <v>0</v>
      </c>
      <c r="AX42" s="339">
        <f t="shared" si="178"/>
        <v>0</v>
      </c>
      <c r="AY42" s="339">
        <f t="shared" si="179"/>
        <v>0</v>
      </c>
      <c r="AZ42" s="339">
        <f t="shared" si="180"/>
        <v>0</v>
      </c>
      <c r="BA42" s="339">
        <f t="shared" si="181"/>
        <v>0</v>
      </c>
      <c r="BB42" s="338"/>
      <c r="BC42" s="338">
        <f t="shared" ref="BC42:BM42" si="216">BB42</f>
        <v>0</v>
      </c>
      <c r="BD42" s="338">
        <f t="shared" si="216"/>
        <v>0</v>
      </c>
      <c r="BE42" s="338">
        <f t="shared" si="216"/>
        <v>0</v>
      </c>
      <c r="BF42" s="338">
        <f t="shared" si="216"/>
        <v>0</v>
      </c>
      <c r="BG42" s="338">
        <f t="shared" si="216"/>
        <v>0</v>
      </c>
      <c r="BH42" s="338">
        <f t="shared" si="216"/>
        <v>0</v>
      </c>
      <c r="BI42" s="338">
        <f t="shared" si="216"/>
        <v>0</v>
      </c>
      <c r="BJ42" s="338">
        <f t="shared" si="216"/>
        <v>0</v>
      </c>
      <c r="BK42" s="338">
        <f t="shared" si="216"/>
        <v>0</v>
      </c>
      <c r="BL42" s="338">
        <f t="shared" si="216"/>
        <v>0</v>
      </c>
      <c r="BM42" s="338">
        <f t="shared" si="216"/>
        <v>0</v>
      </c>
      <c r="BN42" s="339">
        <f t="shared" si="183"/>
        <v>0</v>
      </c>
      <c r="BO42" s="339">
        <f t="shared" si="184"/>
        <v>0</v>
      </c>
      <c r="BP42" s="339">
        <f t="shared" si="185"/>
        <v>0</v>
      </c>
      <c r="BQ42" s="339">
        <f t="shared" si="186"/>
        <v>0</v>
      </c>
      <c r="BR42" s="339">
        <f t="shared" si="187"/>
        <v>0</v>
      </c>
    </row>
    <row r="43" spans="1:70">
      <c r="A43" s="1027"/>
      <c r="B43" s="346" t="s">
        <v>925</v>
      </c>
      <c r="C43" s="338">
        <f t="shared" si="188"/>
        <v>1400</v>
      </c>
      <c r="D43" s="338">
        <f t="shared" si="189"/>
        <v>1400</v>
      </c>
      <c r="E43" s="338">
        <f t="shared" si="190"/>
        <v>1400</v>
      </c>
      <c r="F43" s="338">
        <f t="shared" si="191"/>
        <v>1400</v>
      </c>
      <c r="G43" s="338">
        <f t="shared" si="192"/>
        <v>1400</v>
      </c>
      <c r="H43" s="338">
        <f t="shared" si="193"/>
        <v>1400</v>
      </c>
      <c r="I43" s="338">
        <f t="shared" si="194"/>
        <v>1400</v>
      </c>
      <c r="J43" s="338">
        <f t="shared" si="195"/>
        <v>1400</v>
      </c>
      <c r="K43" s="338">
        <f t="shared" si="196"/>
        <v>1400</v>
      </c>
      <c r="L43" s="338">
        <f t="shared" si="197"/>
        <v>1400</v>
      </c>
      <c r="M43" s="338">
        <f t="shared" si="198"/>
        <v>1400</v>
      </c>
      <c r="N43" s="338">
        <f t="shared" si="199"/>
        <v>1400</v>
      </c>
      <c r="O43" s="414">
        <f t="shared" si="200"/>
        <v>4200</v>
      </c>
      <c r="P43" s="414">
        <f t="shared" si="201"/>
        <v>4200</v>
      </c>
      <c r="Q43" s="414">
        <f t="shared" si="202"/>
        <v>4200</v>
      </c>
      <c r="R43" s="414">
        <f t="shared" si="203"/>
        <v>4200</v>
      </c>
      <c r="S43" s="414">
        <f t="shared" si="204"/>
        <v>16800</v>
      </c>
      <c r="T43" s="338">
        <f>600+800</f>
        <v>1400</v>
      </c>
      <c r="U43" s="338">
        <f t="shared" ref="U43:AE43" si="217">T43</f>
        <v>1400</v>
      </c>
      <c r="V43" s="338">
        <f t="shared" si="217"/>
        <v>1400</v>
      </c>
      <c r="W43" s="338">
        <f t="shared" si="217"/>
        <v>1400</v>
      </c>
      <c r="X43" s="338">
        <f t="shared" si="217"/>
        <v>1400</v>
      </c>
      <c r="Y43" s="338">
        <f t="shared" si="217"/>
        <v>1400</v>
      </c>
      <c r="Z43" s="338">
        <f t="shared" si="217"/>
        <v>1400</v>
      </c>
      <c r="AA43" s="338">
        <f t="shared" si="217"/>
        <v>1400</v>
      </c>
      <c r="AB43" s="338">
        <f t="shared" si="217"/>
        <v>1400</v>
      </c>
      <c r="AC43" s="338">
        <f t="shared" si="217"/>
        <v>1400</v>
      </c>
      <c r="AD43" s="338">
        <f t="shared" si="217"/>
        <v>1400</v>
      </c>
      <c r="AE43" s="338">
        <f t="shared" si="217"/>
        <v>1400</v>
      </c>
      <c r="AF43" s="339">
        <f t="shared" si="172"/>
        <v>4200</v>
      </c>
      <c r="AG43" s="339">
        <f t="shared" si="173"/>
        <v>4200</v>
      </c>
      <c r="AH43" s="339">
        <f t="shared" si="174"/>
        <v>4200</v>
      </c>
      <c r="AI43" s="339">
        <f t="shared" si="175"/>
        <v>4200</v>
      </c>
      <c r="AJ43" s="339">
        <f t="shared" si="176"/>
        <v>16800</v>
      </c>
      <c r="AK43" s="338"/>
      <c r="AL43" s="338">
        <f t="shared" ref="AL43:AV43" si="218">AK43</f>
        <v>0</v>
      </c>
      <c r="AM43" s="338">
        <f t="shared" si="218"/>
        <v>0</v>
      </c>
      <c r="AN43" s="338">
        <f t="shared" si="218"/>
        <v>0</v>
      </c>
      <c r="AO43" s="338">
        <f t="shared" si="218"/>
        <v>0</v>
      </c>
      <c r="AP43" s="338">
        <f t="shared" si="218"/>
        <v>0</v>
      </c>
      <c r="AQ43" s="338">
        <f t="shared" si="218"/>
        <v>0</v>
      </c>
      <c r="AR43" s="338">
        <f t="shared" si="218"/>
        <v>0</v>
      </c>
      <c r="AS43" s="338">
        <f t="shared" si="218"/>
        <v>0</v>
      </c>
      <c r="AT43" s="338">
        <f t="shared" si="218"/>
        <v>0</v>
      </c>
      <c r="AU43" s="338">
        <f t="shared" si="218"/>
        <v>0</v>
      </c>
      <c r="AV43" s="338">
        <f t="shared" si="218"/>
        <v>0</v>
      </c>
      <c r="AW43" s="339">
        <f t="shared" si="177"/>
        <v>0</v>
      </c>
      <c r="AX43" s="339">
        <f t="shared" si="178"/>
        <v>0</v>
      </c>
      <c r="AY43" s="339">
        <f t="shared" si="179"/>
        <v>0</v>
      </c>
      <c r="AZ43" s="339">
        <f t="shared" si="180"/>
        <v>0</v>
      </c>
      <c r="BA43" s="339">
        <f t="shared" si="181"/>
        <v>0</v>
      </c>
      <c r="BB43" s="338"/>
      <c r="BC43" s="338">
        <f t="shared" ref="BC43:BM43" si="219">BB43</f>
        <v>0</v>
      </c>
      <c r="BD43" s="338">
        <f t="shared" si="219"/>
        <v>0</v>
      </c>
      <c r="BE43" s="338">
        <f t="shared" si="219"/>
        <v>0</v>
      </c>
      <c r="BF43" s="338">
        <f t="shared" si="219"/>
        <v>0</v>
      </c>
      <c r="BG43" s="338">
        <f t="shared" si="219"/>
        <v>0</v>
      </c>
      <c r="BH43" s="338">
        <f t="shared" si="219"/>
        <v>0</v>
      </c>
      <c r="BI43" s="338">
        <f t="shared" si="219"/>
        <v>0</v>
      </c>
      <c r="BJ43" s="338">
        <f t="shared" si="219"/>
        <v>0</v>
      </c>
      <c r="BK43" s="338">
        <f t="shared" si="219"/>
        <v>0</v>
      </c>
      <c r="BL43" s="338">
        <f t="shared" si="219"/>
        <v>0</v>
      </c>
      <c r="BM43" s="338">
        <f t="shared" si="219"/>
        <v>0</v>
      </c>
      <c r="BN43" s="339">
        <f t="shared" si="183"/>
        <v>0</v>
      </c>
      <c r="BO43" s="339">
        <f t="shared" si="184"/>
        <v>0</v>
      </c>
      <c r="BP43" s="339">
        <f t="shared" si="185"/>
        <v>0</v>
      </c>
      <c r="BQ43" s="339">
        <f t="shared" si="186"/>
        <v>0</v>
      </c>
      <c r="BR43" s="339">
        <f t="shared" si="187"/>
        <v>0</v>
      </c>
    </row>
    <row r="44" spans="1:70">
      <c r="A44" s="1027"/>
      <c r="B44" s="346" t="s">
        <v>926</v>
      </c>
      <c r="C44" s="338">
        <f t="shared" si="188"/>
        <v>9000</v>
      </c>
      <c r="D44" s="338">
        <f t="shared" si="189"/>
        <v>9000</v>
      </c>
      <c r="E44" s="338">
        <f t="shared" si="190"/>
        <v>9000</v>
      </c>
      <c r="F44" s="338">
        <f t="shared" si="191"/>
        <v>9000</v>
      </c>
      <c r="G44" s="338">
        <f t="shared" si="192"/>
        <v>9000</v>
      </c>
      <c r="H44" s="338">
        <f t="shared" si="193"/>
        <v>9000</v>
      </c>
      <c r="I44" s="338">
        <f t="shared" si="194"/>
        <v>9000</v>
      </c>
      <c r="J44" s="338">
        <f t="shared" si="195"/>
        <v>9000</v>
      </c>
      <c r="K44" s="338">
        <f t="shared" si="196"/>
        <v>9000</v>
      </c>
      <c r="L44" s="338">
        <f t="shared" si="197"/>
        <v>9000</v>
      </c>
      <c r="M44" s="338">
        <f t="shared" si="198"/>
        <v>9000</v>
      </c>
      <c r="N44" s="338">
        <f t="shared" si="199"/>
        <v>9000</v>
      </c>
      <c r="O44" s="414">
        <f t="shared" si="200"/>
        <v>27000</v>
      </c>
      <c r="P44" s="414">
        <f t="shared" si="201"/>
        <v>27000</v>
      </c>
      <c r="Q44" s="414">
        <f t="shared" si="202"/>
        <v>27000</v>
      </c>
      <c r="R44" s="414">
        <f t="shared" si="203"/>
        <v>27000</v>
      </c>
      <c r="S44" s="414">
        <f t="shared" si="204"/>
        <v>108000</v>
      </c>
      <c r="T44" s="338">
        <f>9000</f>
        <v>9000</v>
      </c>
      <c r="U44" s="338">
        <f t="shared" ref="U44:AE44" si="220">T44</f>
        <v>9000</v>
      </c>
      <c r="V44" s="338">
        <f t="shared" si="220"/>
        <v>9000</v>
      </c>
      <c r="W44" s="338">
        <f t="shared" si="220"/>
        <v>9000</v>
      </c>
      <c r="X44" s="338">
        <f t="shared" si="220"/>
        <v>9000</v>
      </c>
      <c r="Y44" s="338">
        <f t="shared" si="220"/>
        <v>9000</v>
      </c>
      <c r="Z44" s="338">
        <f t="shared" si="220"/>
        <v>9000</v>
      </c>
      <c r="AA44" s="338">
        <f t="shared" si="220"/>
        <v>9000</v>
      </c>
      <c r="AB44" s="338">
        <f t="shared" si="220"/>
        <v>9000</v>
      </c>
      <c r="AC44" s="338">
        <f t="shared" si="220"/>
        <v>9000</v>
      </c>
      <c r="AD44" s="338">
        <f t="shared" si="220"/>
        <v>9000</v>
      </c>
      <c r="AE44" s="338">
        <f t="shared" si="220"/>
        <v>9000</v>
      </c>
      <c r="AF44" s="339">
        <f t="shared" si="172"/>
        <v>27000</v>
      </c>
      <c r="AG44" s="339">
        <f t="shared" si="173"/>
        <v>27000</v>
      </c>
      <c r="AH44" s="339">
        <f t="shared" si="174"/>
        <v>27000</v>
      </c>
      <c r="AI44" s="339">
        <f t="shared" si="175"/>
        <v>27000</v>
      </c>
      <c r="AJ44" s="339">
        <f t="shared" si="176"/>
        <v>108000</v>
      </c>
      <c r="AK44" s="338"/>
      <c r="AL44" s="338">
        <f t="shared" ref="AL44:AV44" si="221">AK44</f>
        <v>0</v>
      </c>
      <c r="AM44" s="338">
        <f t="shared" si="221"/>
        <v>0</v>
      </c>
      <c r="AN44" s="338">
        <f t="shared" si="221"/>
        <v>0</v>
      </c>
      <c r="AO44" s="338">
        <f t="shared" si="221"/>
        <v>0</v>
      </c>
      <c r="AP44" s="338">
        <f t="shared" si="221"/>
        <v>0</v>
      </c>
      <c r="AQ44" s="338">
        <f t="shared" si="221"/>
        <v>0</v>
      </c>
      <c r="AR44" s="338">
        <f t="shared" si="221"/>
        <v>0</v>
      </c>
      <c r="AS44" s="338">
        <f t="shared" si="221"/>
        <v>0</v>
      </c>
      <c r="AT44" s="338">
        <f t="shared" si="221"/>
        <v>0</v>
      </c>
      <c r="AU44" s="338">
        <f t="shared" si="221"/>
        <v>0</v>
      </c>
      <c r="AV44" s="338">
        <f t="shared" si="221"/>
        <v>0</v>
      </c>
      <c r="AW44" s="339">
        <f t="shared" si="177"/>
        <v>0</v>
      </c>
      <c r="AX44" s="339">
        <f t="shared" si="178"/>
        <v>0</v>
      </c>
      <c r="AY44" s="339">
        <f t="shared" si="179"/>
        <v>0</v>
      </c>
      <c r="AZ44" s="339">
        <f t="shared" si="180"/>
        <v>0</v>
      </c>
      <c r="BA44" s="339">
        <f t="shared" si="181"/>
        <v>0</v>
      </c>
      <c r="BB44" s="338"/>
      <c r="BC44" s="338">
        <f t="shared" ref="BC44:BM44" si="222">BB44</f>
        <v>0</v>
      </c>
      <c r="BD44" s="338">
        <f t="shared" si="222"/>
        <v>0</v>
      </c>
      <c r="BE44" s="338">
        <f t="shared" si="222"/>
        <v>0</v>
      </c>
      <c r="BF44" s="338">
        <f t="shared" si="222"/>
        <v>0</v>
      </c>
      <c r="BG44" s="338">
        <f t="shared" si="222"/>
        <v>0</v>
      </c>
      <c r="BH44" s="338">
        <f t="shared" si="222"/>
        <v>0</v>
      </c>
      <c r="BI44" s="338">
        <f t="shared" si="222"/>
        <v>0</v>
      </c>
      <c r="BJ44" s="338">
        <f t="shared" si="222"/>
        <v>0</v>
      </c>
      <c r="BK44" s="338">
        <f t="shared" si="222"/>
        <v>0</v>
      </c>
      <c r="BL44" s="338">
        <f t="shared" si="222"/>
        <v>0</v>
      </c>
      <c r="BM44" s="338">
        <f t="shared" si="222"/>
        <v>0</v>
      </c>
      <c r="BN44" s="339">
        <f t="shared" si="183"/>
        <v>0</v>
      </c>
      <c r="BO44" s="339">
        <f t="shared" si="184"/>
        <v>0</v>
      </c>
      <c r="BP44" s="339">
        <f t="shared" si="185"/>
        <v>0</v>
      </c>
      <c r="BQ44" s="339">
        <f t="shared" si="186"/>
        <v>0</v>
      </c>
      <c r="BR44" s="339">
        <f t="shared" si="187"/>
        <v>0</v>
      </c>
    </row>
    <row r="45" spans="1:70">
      <c r="A45" s="1027"/>
      <c r="B45" s="347" t="s">
        <v>927</v>
      </c>
      <c r="C45" s="338">
        <f t="shared" si="188"/>
        <v>3000</v>
      </c>
      <c r="D45" s="338">
        <f t="shared" si="189"/>
        <v>3000</v>
      </c>
      <c r="E45" s="338">
        <f t="shared" si="190"/>
        <v>3000</v>
      </c>
      <c r="F45" s="338">
        <f t="shared" si="191"/>
        <v>3000</v>
      </c>
      <c r="G45" s="338">
        <f t="shared" si="192"/>
        <v>3000</v>
      </c>
      <c r="H45" s="338">
        <f t="shared" si="193"/>
        <v>3000</v>
      </c>
      <c r="I45" s="338">
        <f t="shared" si="194"/>
        <v>3000</v>
      </c>
      <c r="J45" s="338">
        <f t="shared" si="195"/>
        <v>3000</v>
      </c>
      <c r="K45" s="338">
        <f t="shared" si="196"/>
        <v>3000</v>
      </c>
      <c r="L45" s="338">
        <f t="shared" si="197"/>
        <v>3000</v>
      </c>
      <c r="M45" s="338">
        <f t="shared" si="198"/>
        <v>3000</v>
      </c>
      <c r="N45" s="338">
        <f t="shared" si="199"/>
        <v>3000</v>
      </c>
      <c r="O45" s="414">
        <f t="shared" si="200"/>
        <v>9000</v>
      </c>
      <c r="P45" s="414">
        <f t="shared" si="201"/>
        <v>9000</v>
      </c>
      <c r="Q45" s="414">
        <f t="shared" si="202"/>
        <v>9000</v>
      </c>
      <c r="R45" s="414">
        <f t="shared" si="203"/>
        <v>9000</v>
      </c>
      <c r="S45" s="414">
        <f t="shared" si="204"/>
        <v>36000</v>
      </c>
      <c r="T45" s="338">
        <f>1940+770+290</f>
        <v>3000</v>
      </c>
      <c r="U45" s="338">
        <f t="shared" ref="U45:AE45" si="223">T45</f>
        <v>3000</v>
      </c>
      <c r="V45" s="338">
        <f t="shared" si="223"/>
        <v>3000</v>
      </c>
      <c r="W45" s="338">
        <f t="shared" si="223"/>
        <v>3000</v>
      </c>
      <c r="X45" s="338">
        <f t="shared" si="223"/>
        <v>3000</v>
      </c>
      <c r="Y45" s="338">
        <f t="shared" si="223"/>
        <v>3000</v>
      </c>
      <c r="Z45" s="338">
        <f t="shared" si="223"/>
        <v>3000</v>
      </c>
      <c r="AA45" s="338">
        <f t="shared" si="223"/>
        <v>3000</v>
      </c>
      <c r="AB45" s="338">
        <f t="shared" si="223"/>
        <v>3000</v>
      </c>
      <c r="AC45" s="338">
        <f t="shared" si="223"/>
        <v>3000</v>
      </c>
      <c r="AD45" s="338">
        <f t="shared" si="223"/>
        <v>3000</v>
      </c>
      <c r="AE45" s="338">
        <f t="shared" si="223"/>
        <v>3000</v>
      </c>
      <c r="AF45" s="339">
        <f t="shared" si="172"/>
        <v>9000</v>
      </c>
      <c r="AG45" s="339">
        <f t="shared" si="173"/>
        <v>9000</v>
      </c>
      <c r="AH45" s="339">
        <f t="shared" si="174"/>
        <v>9000</v>
      </c>
      <c r="AI45" s="339">
        <f t="shared" si="175"/>
        <v>9000</v>
      </c>
      <c r="AJ45" s="339">
        <f t="shared" si="176"/>
        <v>36000</v>
      </c>
      <c r="AK45" s="338"/>
      <c r="AL45" s="338">
        <f t="shared" ref="AL45:AV45" si="224">AK45</f>
        <v>0</v>
      </c>
      <c r="AM45" s="338">
        <f t="shared" si="224"/>
        <v>0</v>
      </c>
      <c r="AN45" s="338">
        <f t="shared" si="224"/>
        <v>0</v>
      </c>
      <c r="AO45" s="338">
        <f t="shared" si="224"/>
        <v>0</v>
      </c>
      <c r="AP45" s="338">
        <f t="shared" si="224"/>
        <v>0</v>
      </c>
      <c r="AQ45" s="338">
        <f t="shared" si="224"/>
        <v>0</v>
      </c>
      <c r="AR45" s="338">
        <f t="shared" si="224"/>
        <v>0</v>
      </c>
      <c r="AS45" s="338">
        <f t="shared" si="224"/>
        <v>0</v>
      </c>
      <c r="AT45" s="338">
        <f t="shared" si="224"/>
        <v>0</v>
      </c>
      <c r="AU45" s="338">
        <f t="shared" si="224"/>
        <v>0</v>
      </c>
      <c r="AV45" s="338">
        <f t="shared" si="224"/>
        <v>0</v>
      </c>
      <c r="AW45" s="339">
        <f t="shared" si="177"/>
        <v>0</v>
      </c>
      <c r="AX45" s="339">
        <f t="shared" si="178"/>
        <v>0</v>
      </c>
      <c r="AY45" s="339">
        <f t="shared" si="179"/>
        <v>0</v>
      </c>
      <c r="AZ45" s="339">
        <f t="shared" si="180"/>
        <v>0</v>
      </c>
      <c r="BA45" s="339">
        <f t="shared" si="181"/>
        <v>0</v>
      </c>
      <c r="BB45" s="338"/>
      <c r="BC45" s="338">
        <f t="shared" ref="BC45:BM45" si="225">BB45</f>
        <v>0</v>
      </c>
      <c r="BD45" s="338">
        <f t="shared" si="225"/>
        <v>0</v>
      </c>
      <c r="BE45" s="338">
        <f t="shared" si="225"/>
        <v>0</v>
      </c>
      <c r="BF45" s="338">
        <f t="shared" si="225"/>
        <v>0</v>
      </c>
      <c r="BG45" s="338">
        <f t="shared" si="225"/>
        <v>0</v>
      </c>
      <c r="BH45" s="338">
        <f t="shared" si="225"/>
        <v>0</v>
      </c>
      <c r="BI45" s="338">
        <f t="shared" si="225"/>
        <v>0</v>
      </c>
      <c r="BJ45" s="338">
        <f t="shared" si="225"/>
        <v>0</v>
      </c>
      <c r="BK45" s="338">
        <f t="shared" si="225"/>
        <v>0</v>
      </c>
      <c r="BL45" s="338">
        <f t="shared" si="225"/>
        <v>0</v>
      </c>
      <c r="BM45" s="338">
        <f t="shared" si="225"/>
        <v>0</v>
      </c>
      <c r="BN45" s="339">
        <f t="shared" si="183"/>
        <v>0</v>
      </c>
      <c r="BO45" s="339">
        <f t="shared" si="184"/>
        <v>0</v>
      </c>
      <c r="BP45" s="339">
        <f t="shared" si="185"/>
        <v>0</v>
      </c>
      <c r="BQ45" s="339">
        <f t="shared" si="186"/>
        <v>0</v>
      </c>
      <c r="BR45" s="339">
        <f t="shared" si="187"/>
        <v>0</v>
      </c>
    </row>
    <row r="46" spans="1:70">
      <c r="A46" s="1027"/>
      <c r="B46" s="347" t="s">
        <v>928</v>
      </c>
      <c r="C46" s="338">
        <f t="shared" si="188"/>
        <v>250</v>
      </c>
      <c r="D46" s="338">
        <f t="shared" si="189"/>
        <v>250</v>
      </c>
      <c r="E46" s="338">
        <f t="shared" si="190"/>
        <v>250</v>
      </c>
      <c r="F46" s="338">
        <f t="shared" si="191"/>
        <v>250</v>
      </c>
      <c r="G46" s="338">
        <f t="shared" si="192"/>
        <v>250</v>
      </c>
      <c r="H46" s="338">
        <f t="shared" si="193"/>
        <v>250</v>
      </c>
      <c r="I46" s="338">
        <f t="shared" si="194"/>
        <v>250</v>
      </c>
      <c r="J46" s="338">
        <f t="shared" si="195"/>
        <v>250</v>
      </c>
      <c r="K46" s="338">
        <f t="shared" si="196"/>
        <v>250</v>
      </c>
      <c r="L46" s="338">
        <f t="shared" si="197"/>
        <v>250</v>
      </c>
      <c r="M46" s="338">
        <f t="shared" si="198"/>
        <v>250</v>
      </c>
      <c r="N46" s="338">
        <f t="shared" si="199"/>
        <v>250</v>
      </c>
      <c r="O46" s="414">
        <f t="shared" si="200"/>
        <v>750</v>
      </c>
      <c r="P46" s="414">
        <f t="shared" si="201"/>
        <v>750</v>
      </c>
      <c r="Q46" s="414">
        <f t="shared" si="202"/>
        <v>750</v>
      </c>
      <c r="R46" s="414">
        <f t="shared" si="203"/>
        <v>750</v>
      </c>
      <c r="S46" s="414">
        <f t="shared" si="204"/>
        <v>3000</v>
      </c>
      <c r="T46" s="338">
        <f>200+50</f>
        <v>250</v>
      </c>
      <c r="U46" s="338">
        <f t="shared" ref="U46:AE46" si="226">T46</f>
        <v>250</v>
      </c>
      <c r="V46" s="338">
        <f t="shared" si="226"/>
        <v>250</v>
      </c>
      <c r="W46" s="338">
        <f t="shared" si="226"/>
        <v>250</v>
      </c>
      <c r="X46" s="338">
        <f t="shared" si="226"/>
        <v>250</v>
      </c>
      <c r="Y46" s="338">
        <f t="shared" si="226"/>
        <v>250</v>
      </c>
      <c r="Z46" s="338">
        <f t="shared" si="226"/>
        <v>250</v>
      </c>
      <c r="AA46" s="338">
        <f t="shared" si="226"/>
        <v>250</v>
      </c>
      <c r="AB46" s="338">
        <f t="shared" si="226"/>
        <v>250</v>
      </c>
      <c r="AC46" s="338">
        <f t="shared" si="226"/>
        <v>250</v>
      </c>
      <c r="AD46" s="338">
        <f t="shared" si="226"/>
        <v>250</v>
      </c>
      <c r="AE46" s="338">
        <f t="shared" si="226"/>
        <v>250</v>
      </c>
      <c r="AF46" s="339">
        <f t="shared" si="172"/>
        <v>750</v>
      </c>
      <c r="AG46" s="339">
        <f t="shared" si="173"/>
        <v>750</v>
      </c>
      <c r="AH46" s="339">
        <f t="shared" si="174"/>
        <v>750</v>
      </c>
      <c r="AI46" s="339">
        <f t="shared" si="175"/>
        <v>750</v>
      </c>
      <c r="AJ46" s="339">
        <f t="shared" si="176"/>
        <v>3000</v>
      </c>
      <c r="AK46" s="338"/>
      <c r="AL46" s="338">
        <f t="shared" ref="AL46:AV46" si="227">AK46</f>
        <v>0</v>
      </c>
      <c r="AM46" s="338">
        <f t="shared" si="227"/>
        <v>0</v>
      </c>
      <c r="AN46" s="338">
        <f t="shared" si="227"/>
        <v>0</v>
      </c>
      <c r="AO46" s="338">
        <f t="shared" si="227"/>
        <v>0</v>
      </c>
      <c r="AP46" s="338">
        <f t="shared" si="227"/>
        <v>0</v>
      </c>
      <c r="AQ46" s="338">
        <f t="shared" si="227"/>
        <v>0</v>
      </c>
      <c r="AR46" s="338">
        <f t="shared" si="227"/>
        <v>0</v>
      </c>
      <c r="AS46" s="338">
        <f t="shared" si="227"/>
        <v>0</v>
      </c>
      <c r="AT46" s="338">
        <f t="shared" si="227"/>
        <v>0</v>
      </c>
      <c r="AU46" s="338">
        <f t="shared" si="227"/>
        <v>0</v>
      </c>
      <c r="AV46" s="338">
        <f t="shared" si="227"/>
        <v>0</v>
      </c>
      <c r="AW46" s="339">
        <f t="shared" si="177"/>
        <v>0</v>
      </c>
      <c r="AX46" s="339">
        <f t="shared" si="178"/>
        <v>0</v>
      </c>
      <c r="AY46" s="339">
        <f t="shared" si="179"/>
        <v>0</v>
      </c>
      <c r="AZ46" s="339">
        <f t="shared" si="180"/>
        <v>0</v>
      </c>
      <c r="BA46" s="339">
        <f t="shared" si="181"/>
        <v>0</v>
      </c>
      <c r="BB46" s="338"/>
      <c r="BC46" s="338">
        <f t="shared" ref="BC46:BM46" si="228">BB46</f>
        <v>0</v>
      </c>
      <c r="BD46" s="338">
        <f t="shared" si="228"/>
        <v>0</v>
      </c>
      <c r="BE46" s="338">
        <f t="shared" si="228"/>
        <v>0</v>
      </c>
      <c r="BF46" s="338">
        <f t="shared" si="228"/>
        <v>0</v>
      </c>
      <c r="BG46" s="338">
        <f t="shared" si="228"/>
        <v>0</v>
      </c>
      <c r="BH46" s="338">
        <f t="shared" si="228"/>
        <v>0</v>
      </c>
      <c r="BI46" s="338">
        <f t="shared" si="228"/>
        <v>0</v>
      </c>
      <c r="BJ46" s="338">
        <f t="shared" si="228"/>
        <v>0</v>
      </c>
      <c r="BK46" s="338">
        <f t="shared" si="228"/>
        <v>0</v>
      </c>
      <c r="BL46" s="338">
        <f t="shared" si="228"/>
        <v>0</v>
      </c>
      <c r="BM46" s="338">
        <f t="shared" si="228"/>
        <v>0</v>
      </c>
      <c r="BN46" s="339">
        <f t="shared" si="183"/>
        <v>0</v>
      </c>
      <c r="BO46" s="339">
        <f t="shared" si="184"/>
        <v>0</v>
      </c>
      <c r="BP46" s="339">
        <f t="shared" si="185"/>
        <v>0</v>
      </c>
      <c r="BQ46" s="339">
        <f t="shared" si="186"/>
        <v>0</v>
      </c>
      <c r="BR46" s="339">
        <f t="shared" si="187"/>
        <v>0</v>
      </c>
    </row>
    <row r="47" spans="1:70">
      <c r="A47" s="1027"/>
      <c r="B47" s="347" t="s">
        <v>929</v>
      </c>
      <c r="C47" s="338">
        <f t="shared" si="188"/>
        <v>0</v>
      </c>
      <c r="D47" s="338">
        <f t="shared" si="189"/>
        <v>0</v>
      </c>
      <c r="E47" s="338">
        <f t="shared" si="190"/>
        <v>0</v>
      </c>
      <c r="F47" s="338">
        <f t="shared" si="191"/>
        <v>0</v>
      </c>
      <c r="G47" s="338">
        <f t="shared" si="192"/>
        <v>0</v>
      </c>
      <c r="H47" s="338">
        <f t="shared" si="193"/>
        <v>0</v>
      </c>
      <c r="I47" s="338">
        <f t="shared" si="194"/>
        <v>0</v>
      </c>
      <c r="J47" s="338">
        <f t="shared" si="195"/>
        <v>0</v>
      </c>
      <c r="K47" s="338">
        <f t="shared" si="196"/>
        <v>0</v>
      </c>
      <c r="L47" s="338">
        <f t="shared" si="197"/>
        <v>0</v>
      </c>
      <c r="M47" s="338">
        <f t="shared" si="198"/>
        <v>0</v>
      </c>
      <c r="N47" s="338">
        <f t="shared" si="199"/>
        <v>0</v>
      </c>
      <c r="O47" s="414">
        <f t="shared" si="200"/>
        <v>0</v>
      </c>
      <c r="P47" s="414">
        <f t="shared" si="201"/>
        <v>0</v>
      </c>
      <c r="Q47" s="414">
        <f t="shared" si="202"/>
        <v>0</v>
      </c>
      <c r="R47" s="414">
        <f t="shared" si="203"/>
        <v>0</v>
      </c>
      <c r="S47" s="414">
        <f t="shared" si="204"/>
        <v>0</v>
      </c>
      <c r="T47" s="338">
        <v>0</v>
      </c>
      <c r="U47" s="338">
        <f t="shared" ref="U47:AE47" si="229">T47</f>
        <v>0</v>
      </c>
      <c r="V47" s="338">
        <f t="shared" si="229"/>
        <v>0</v>
      </c>
      <c r="W47" s="338">
        <f t="shared" si="229"/>
        <v>0</v>
      </c>
      <c r="X47" s="338">
        <f t="shared" si="229"/>
        <v>0</v>
      </c>
      <c r="Y47" s="338">
        <f t="shared" si="229"/>
        <v>0</v>
      </c>
      <c r="Z47" s="338">
        <f t="shared" si="229"/>
        <v>0</v>
      </c>
      <c r="AA47" s="338">
        <f t="shared" si="229"/>
        <v>0</v>
      </c>
      <c r="AB47" s="338">
        <f t="shared" si="229"/>
        <v>0</v>
      </c>
      <c r="AC47" s="338">
        <f t="shared" si="229"/>
        <v>0</v>
      </c>
      <c r="AD47" s="338">
        <f t="shared" si="229"/>
        <v>0</v>
      </c>
      <c r="AE47" s="338">
        <f t="shared" si="229"/>
        <v>0</v>
      </c>
      <c r="AF47" s="339">
        <f t="shared" si="172"/>
        <v>0</v>
      </c>
      <c r="AG47" s="339">
        <f t="shared" si="173"/>
        <v>0</v>
      </c>
      <c r="AH47" s="339">
        <f t="shared" si="174"/>
        <v>0</v>
      </c>
      <c r="AI47" s="339">
        <f t="shared" si="175"/>
        <v>0</v>
      </c>
      <c r="AJ47" s="339">
        <f t="shared" si="176"/>
        <v>0</v>
      </c>
      <c r="AK47" s="338"/>
      <c r="AL47" s="338">
        <f t="shared" ref="AL47:AV47" si="230">AK47</f>
        <v>0</v>
      </c>
      <c r="AM47" s="338">
        <f t="shared" si="230"/>
        <v>0</v>
      </c>
      <c r="AN47" s="338">
        <f t="shared" si="230"/>
        <v>0</v>
      </c>
      <c r="AO47" s="338">
        <f t="shared" si="230"/>
        <v>0</v>
      </c>
      <c r="AP47" s="338">
        <f t="shared" si="230"/>
        <v>0</v>
      </c>
      <c r="AQ47" s="338">
        <f t="shared" si="230"/>
        <v>0</v>
      </c>
      <c r="AR47" s="338">
        <f t="shared" si="230"/>
        <v>0</v>
      </c>
      <c r="AS47" s="338">
        <f t="shared" si="230"/>
        <v>0</v>
      </c>
      <c r="AT47" s="338">
        <f t="shared" si="230"/>
        <v>0</v>
      </c>
      <c r="AU47" s="338">
        <f t="shared" si="230"/>
        <v>0</v>
      </c>
      <c r="AV47" s="338">
        <f t="shared" si="230"/>
        <v>0</v>
      </c>
      <c r="AW47" s="339">
        <f t="shared" si="177"/>
        <v>0</v>
      </c>
      <c r="AX47" s="339">
        <f t="shared" si="178"/>
        <v>0</v>
      </c>
      <c r="AY47" s="339">
        <f t="shared" si="179"/>
        <v>0</v>
      </c>
      <c r="AZ47" s="339">
        <f t="shared" si="180"/>
        <v>0</v>
      </c>
      <c r="BA47" s="339">
        <f t="shared" si="181"/>
        <v>0</v>
      </c>
      <c r="BB47" s="338"/>
      <c r="BC47" s="338">
        <f t="shared" ref="BC47:BM47" si="231">BB47</f>
        <v>0</v>
      </c>
      <c r="BD47" s="338">
        <f t="shared" si="231"/>
        <v>0</v>
      </c>
      <c r="BE47" s="338">
        <f t="shared" si="231"/>
        <v>0</v>
      </c>
      <c r="BF47" s="338">
        <f t="shared" si="231"/>
        <v>0</v>
      </c>
      <c r="BG47" s="338">
        <f t="shared" si="231"/>
        <v>0</v>
      </c>
      <c r="BH47" s="338">
        <f t="shared" si="231"/>
        <v>0</v>
      </c>
      <c r="BI47" s="338">
        <f t="shared" si="231"/>
        <v>0</v>
      </c>
      <c r="BJ47" s="338">
        <f t="shared" si="231"/>
        <v>0</v>
      </c>
      <c r="BK47" s="338">
        <f t="shared" si="231"/>
        <v>0</v>
      </c>
      <c r="BL47" s="338">
        <f t="shared" si="231"/>
        <v>0</v>
      </c>
      <c r="BM47" s="338">
        <f t="shared" si="231"/>
        <v>0</v>
      </c>
      <c r="BN47" s="339">
        <f t="shared" si="183"/>
        <v>0</v>
      </c>
      <c r="BO47" s="339">
        <f t="shared" si="184"/>
        <v>0</v>
      </c>
      <c r="BP47" s="339">
        <f t="shared" si="185"/>
        <v>0</v>
      </c>
      <c r="BQ47" s="339">
        <f t="shared" si="186"/>
        <v>0</v>
      </c>
      <c r="BR47" s="339">
        <f t="shared" si="187"/>
        <v>0</v>
      </c>
    </row>
    <row r="48" spans="1:70">
      <c r="A48" s="1027"/>
      <c r="B48" s="347" t="s">
        <v>930</v>
      </c>
      <c r="C48" s="338">
        <f t="shared" si="188"/>
        <v>5000</v>
      </c>
      <c r="D48" s="338">
        <f t="shared" si="189"/>
        <v>0</v>
      </c>
      <c r="E48" s="338">
        <f t="shared" si="190"/>
        <v>0</v>
      </c>
      <c r="F48" s="338">
        <f t="shared" si="191"/>
        <v>0</v>
      </c>
      <c r="G48" s="338">
        <f t="shared" si="192"/>
        <v>0</v>
      </c>
      <c r="H48" s="338">
        <f t="shared" si="193"/>
        <v>10000</v>
      </c>
      <c r="I48" s="338">
        <f t="shared" si="194"/>
        <v>0</v>
      </c>
      <c r="J48" s="338">
        <f t="shared" si="195"/>
        <v>0</v>
      </c>
      <c r="K48" s="338">
        <f t="shared" si="196"/>
        <v>0</v>
      </c>
      <c r="L48" s="338">
        <f t="shared" si="197"/>
        <v>0</v>
      </c>
      <c r="M48" s="338">
        <f t="shared" si="198"/>
        <v>0</v>
      </c>
      <c r="N48" s="338">
        <f t="shared" si="199"/>
        <v>0</v>
      </c>
      <c r="O48" s="414">
        <f t="shared" si="200"/>
        <v>5000</v>
      </c>
      <c r="P48" s="414">
        <f t="shared" si="201"/>
        <v>10000</v>
      </c>
      <c r="Q48" s="414">
        <f t="shared" si="202"/>
        <v>0</v>
      </c>
      <c r="R48" s="414">
        <f t="shared" si="203"/>
        <v>0</v>
      </c>
      <c r="S48" s="414">
        <f t="shared" si="204"/>
        <v>15000</v>
      </c>
      <c r="T48" s="338">
        <f>5000</f>
        <v>5000</v>
      </c>
      <c r="U48" s="338"/>
      <c r="V48" s="338"/>
      <c r="W48" s="338"/>
      <c r="X48" s="338"/>
      <c r="Y48" s="338">
        <f>10000</f>
        <v>10000</v>
      </c>
      <c r="Z48" s="338"/>
      <c r="AA48" s="338"/>
      <c r="AB48" s="338"/>
      <c r="AC48" s="338"/>
      <c r="AD48" s="338"/>
      <c r="AE48" s="338"/>
      <c r="AF48" s="339">
        <f t="shared" si="172"/>
        <v>5000</v>
      </c>
      <c r="AG48" s="339">
        <f t="shared" si="173"/>
        <v>10000</v>
      </c>
      <c r="AH48" s="339">
        <f t="shared" si="174"/>
        <v>0</v>
      </c>
      <c r="AI48" s="339">
        <f t="shared" si="175"/>
        <v>0</v>
      </c>
      <c r="AJ48" s="339">
        <f t="shared" si="176"/>
        <v>15000</v>
      </c>
      <c r="AK48" s="338"/>
      <c r="AL48" s="338">
        <f t="shared" ref="AL48:AV48" si="232">AK48</f>
        <v>0</v>
      </c>
      <c r="AM48" s="338">
        <f t="shared" si="232"/>
        <v>0</v>
      </c>
      <c r="AN48" s="338">
        <f t="shared" si="232"/>
        <v>0</v>
      </c>
      <c r="AO48" s="338">
        <f t="shared" si="232"/>
        <v>0</v>
      </c>
      <c r="AP48" s="338">
        <f t="shared" si="232"/>
        <v>0</v>
      </c>
      <c r="AQ48" s="338">
        <f t="shared" si="232"/>
        <v>0</v>
      </c>
      <c r="AR48" s="338">
        <f t="shared" si="232"/>
        <v>0</v>
      </c>
      <c r="AS48" s="338">
        <f t="shared" si="232"/>
        <v>0</v>
      </c>
      <c r="AT48" s="338">
        <f t="shared" si="232"/>
        <v>0</v>
      </c>
      <c r="AU48" s="338">
        <f t="shared" si="232"/>
        <v>0</v>
      </c>
      <c r="AV48" s="338">
        <f t="shared" si="232"/>
        <v>0</v>
      </c>
      <c r="AW48" s="339">
        <f t="shared" si="177"/>
        <v>0</v>
      </c>
      <c r="AX48" s="339">
        <f t="shared" si="178"/>
        <v>0</v>
      </c>
      <c r="AY48" s="339">
        <f t="shared" si="179"/>
        <v>0</v>
      </c>
      <c r="AZ48" s="339">
        <f t="shared" si="180"/>
        <v>0</v>
      </c>
      <c r="BA48" s="339">
        <f t="shared" si="181"/>
        <v>0</v>
      </c>
      <c r="BB48" s="338"/>
      <c r="BC48" s="338">
        <f t="shared" ref="BC48:BM48" si="233">BB48</f>
        <v>0</v>
      </c>
      <c r="BD48" s="338">
        <f t="shared" si="233"/>
        <v>0</v>
      </c>
      <c r="BE48" s="338">
        <f t="shared" si="233"/>
        <v>0</v>
      </c>
      <c r="BF48" s="338">
        <f t="shared" si="233"/>
        <v>0</v>
      </c>
      <c r="BG48" s="338">
        <f t="shared" si="233"/>
        <v>0</v>
      </c>
      <c r="BH48" s="338">
        <f t="shared" si="233"/>
        <v>0</v>
      </c>
      <c r="BI48" s="338">
        <f t="shared" si="233"/>
        <v>0</v>
      </c>
      <c r="BJ48" s="338">
        <f t="shared" si="233"/>
        <v>0</v>
      </c>
      <c r="BK48" s="338">
        <f t="shared" si="233"/>
        <v>0</v>
      </c>
      <c r="BL48" s="338">
        <f t="shared" si="233"/>
        <v>0</v>
      </c>
      <c r="BM48" s="338">
        <f t="shared" si="233"/>
        <v>0</v>
      </c>
      <c r="BN48" s="339">
        <f t="shared" si="183"/>
        <v>0</v>
      </c>
      <c r="BO48" s="339">
        <f t="shared" si="184"/>
        <v>0</v>
      </c>
      <c r="BP48" s="339">
        <f t="shared" si="185"/>
        <v>0</v>
      </c>
      <c r="BQ48" s="339">
        <f t="shared" si="186"/>
        <v>0</v>
      </c>
      <c r="BR48" s="339">
        <f t="shared" si="187"/>
        <v>0</v>
      </c>
    </row>
    <row r="49" spans="1:71">
      <c r="A49" s="1027"/>
      <c r="B49" s="346" t="s">
        <v>1160</v>
      </c>
      <c r="C49" s="338">
        <f t="shared" si="188"/>
        <v>52900</v>
      </c>
      <c r="D49" s="338">
        <f t="shared" si="189"/>
        <v>52900</v>
      </c>
      <c r="E49" s="338">
        <f t="shared" si="190"/>
        <v>52900</v>
      </c>
      <c r="F49" s="338">
        <f t="shared" si="191"/>
        <v>52900</v>
      </c>
      <c r="G49" s="338">
        <f t="shared" si="192"/>
        <v>52900</v>
      </c>
      <c r="H49" s="338">
        <f t="shared" si="193"/>
        <v>52900</v>
      </c>
      <c r="I49" s="338">
        <f t="shared" si="194"/>
        <v>58570.9</v>
      </c>
      <c r="J49" s="338">
        <f t="shared" si="195"/>
        <v>52900</v>
      </c>
      <c r="K49" s="338">
        <f t="shared" si="196"/>
        <v>52900</v>
      </c>
      <c r="L49" s="338">
        <f t="shared" si="197"/>
        <v>52900</v>
      </c>
      <c r="M49" s="338">
        <f t="shared" si="198"/>
        <v>52900</v>
      </c>
      <c r="N49" s="338">
        <f t="shared" si="199"/>
        <v>52900</v>
      </c>
      <c r="O49" s="414">
        <f t="shared" si="200"/>
        <v>158700</v>
      </c>
      <c r="P49" s="414">
        <f t="shared" si="201"/>
        <v>158700</v>
      </c>
      <c r="Q49" s="414">
        <f t="shared" si="202"/>
        <v>164370.9</v>
      </c>
      <c r="R49" s="414">
        <f t="shared" si="203"/>
        <v>158700</v>
      </c>
      <c r="S49" s="414">
        <f t="shared" si="204"/>
        <v>640470.9</v>
      </c>
      <c r="T49" s="338">
        <f>1700+1200+20000</f>
        <v>22900</v>
      </c>
      <c r="U49" s="338">
        <f t="shared" ref="U49:AE49" si="234">T49</f>
        <v>22900</v>
      </c>
      <c r="V49" s="338">
        <f t="shared" si="234"/>
        <v>22900</v>
      </c>
      <c r="W49" s="338">
        <f t="shared" si="234"/>
        <v>22900</v>
      </c>
      <c r="X49" s="338">
        <f t="shared" si="234"/>
        <v>22900</v>
      </c>
      <c r="Y49" s="338">
        <f t="shared" si="234"/>
        <v>22900</v>
      </c>
      <c r="Z49" s="338">
        <f t="shared" si="234"/>
        <v>22900</v>
      </c>
      <c r="AA49" s="338">
        <f t="shared" si="234"/>
        <v>22900</v>
      </c>
      <c r="AB49" s="338">
        <f t="shared" si="234"/>
        <v>22900</v>
      </c>
      <c r="AC49" s="338">
        <f t="shared" si="234"/>
        <v>22900</v>
      </c>
      <c r="AD49" s="338">
        <f t="shared" si="234"/>
        <v>22900</v>
      </c>
      <c r="AE49" s="338">
        <f t="shared" si="234"/>
        <v>22900</v>
      </c>
      <c r="AF49" s="339">
        <f t="shared" si="172"/>
        <v>68700</v>
      </c>
      <c r="AG49" s="339">
        <f t="shared" si="173"/>
        <v>68700</v>
      </c>
      <c r="AH49" s="339">
        <f t="shared" si="174"/>
        <v>68700</v>
      </c>
      <c r="AI49" s="339">
        <f t="shared" si="175"/>
        <v>68700</v>
      </c>
      <c r="AJ49" s="339">
        <f t="shared" si="176"/>
        <v>274800</v>
      </c>
      <c r="AK49" s="338">
        <v>30000</v>
      </c>
      <c r="AL49" s="338">
        <f t="shared" ref="AL49:AV49" si="235">AK49</f>
        <v>30000</v>
      </c>
      <c r="AM49" s="338">
        <f t="shared" si="235"/>
        <v>30000</v>
      </c>
      <c r="AN49" s="338">
        <f t="shared" si="235"/>
        <v>30000</v>
      </c>
      <c r="AO49" s="338">
        <f t="shared" si="235"/>
        <v>30000</v>
      </c>
      <c r="AP49" s="338">
        <f t="shared" si="235"/>
        <v>30000</v>
      </c>
      <c r="AQ49" s="338">
        <f>AP49+5670.9</f>
        <v>35670.9</v>
      </c>
      <c r="AR49" s="338">
        <f>AP49</f>
        <v>30000</v>
      </c>
      <c r="AS49" s="338">
        <f t="shared" si="235"/>
        <v>30000</v>
      </c>
      <c r="AT49" s="338">
        <f t="shared" si="235"/>
        <v>30000</v>
      </c>
      <c r="AU49" s="338">
        <f t="shared" si="235"/>
        <v>30000</v>
      </c>
      <c r="AV49" s="338">
        <f t="shared" si="235"/>
        <v>30000</v>
      </c>
      <c r="AW49" s="339">
        <f t="shared" si="177"/>
        <v>90000</v>
      </c>
      <c r="AX49" s="339">
        <f t="shared" si="178"/>
        <v>90000</v>
      </c>
      <c r="AY49" s="339">
        <f t="shared" si="179"/>
        <v>95670.9</v>
      </c>
      <c r="AZ49" s="339">
        <f t="shared" si="180"/>
        <v>90000</v>
      </c>
      <c r="BA49" s="339">
        <f t="shared" si="181"/>
        <v>365670.9</v>
      </c>
      <c r="BB49" s="338"/>
      <c r="BC49" s="338">
        <f t="shared" ref="BC49:BM49" si="236">BB49</f>
        <v>0</v>
      </c>
      <c r="BD49" s="338">
        <f t="shared" si="236"/>
        <v>0</v>
      </c>
      <c r="BE49" s="338">
        <f t="shared" si="236"/>
        <v>0</v>
      </c>
      <c r="BF49" s="338">
        <f t="shared" si="236"/>
        <v>0</v>
      </c>
      <c r="BG49" s="338">
        <f t="shared" si="236"/>
        <v>0</v>
      </c>
      <c r="BH49" s="338">
        <f t="shared" si="236"/>
        <v>0</v>
      </c>
      <c r="BI49" s="338">
        <f t="shared" si="236"/>
        <v>0</v>
      </c>
      <c r="BJ49" s="338">
        <f t="shared" si="236"/>
        <v>0</v>
      </c>
      <c r="BK49" s="338">
        <f t="shared" si="236"/>
        <v>0</v>
      </c>
      <c r="BL49" s="338">
        <f t="shared" si="236"/>
        <v>0</v>
      </c>
      <c r="BM49" s="338">
        <f t="shared" si="236"/>
        <v>0</v>
      </c>
      <c r="BN49" s="339">
        <f t="shared" si="183"/>
        <v>0</v>
      </c>
      <c r="BO49" s="339">
        <f t="shared" si="184"/>
        <v>0</v>
      </c>
      <c r="BP49" s="339">
        <f t="shared" si="185"/>
        <v>0</v>
      </c>
      <c r="BQ49" s="339">
        <f t="shared" si="186"/>
        <v>0</v>
      </c>
      <c r="BR49" s="339">
        <f t="shared" si="187"/>
        <v>0</v>
      </c>
    </row>
    <row r="50" spans="1:71">
      <c r="A50" s="1027"/>
      <c r="B50" s="348" t="s">
        <v>931</v>
      </c>
      <c r="C50" s="338">
        <f t="shared" si="188"/>
        <v>17850</v>
      </c>
      <c r="D50" s="338">
        <f t="shared" si="189"/>
        <v>17850</v>
      </c>
      <c r="E50" s="338">
        <f t="shared" si="190"/>
        <v>17850</v>
      </c>
      <c r="F50" s="338">
        <f t="shared" si="191"/>
        <v>17850</v>
      </c>
      <c r="G50" s="338">
        <f t="shared" si="192"/>
        <v>17850</v>
      </c>
      <c r="H50" s="338">
        <f t="shared" si="193"/>
        <v>17850</v>
      </c>
      <c r="I50" s="338">
        <f t="shared" si="194"/>
        <v>17850</v>
      </c>
      <c r="J50" s="338">
        <f t="shared" si="195"/>
        <v>17850</v>
      </c>
      <c r="K50" s="338">
        <f t="shared" si="196"/>
        <v>17850</v>
      </c>
      <c r="L50" s="338">
        <f t="shared" si="197"/>
        <v>17850</v>
      </c>
      <c r="M50" s="338">
        <f t="shared" si="198"/>
        <v>17850</v>
      </c>
      <c r="N50" s="338">
        <f t="shared" si="199"/>
        <v>17850</v>
      </c>
      <c r="O50" s="414">
        <f t="shared" si="200"/>
        <v>53550</v>
      </c>
      <c r="P50" s="414">
        <f t="shared" si="201"/>
        <v>53550</v>
      </c>
      <c r="Q50" s="414">
        <f t="shared" si="202"/>
        <v>53550</v>
      </c>
      <c r="R50" s="414">
        <f t="shared" si="203"/>
        <v>53550</v>
      </c>
      <c r="S50" s="414">
        <f t="shared" si="204"/>
        <v>214200</v>
      </c>
      <c r="T50" s="338">
        <f>1000</f>
        <v>1000</v>
      </c>
      <c r="U50" s="338">
        <f t="shared" ref="U50:AE50" si="237">T50</f>
        <v>1000</v>
      </c>
      <c r="V50" s="338">
        <f t="shared" si="237"/>
        <v>1000</v>
      </c>
      <c r="W50" s="338">
        <f t="shared" si="237"/>
        <v>1000</v>
      </c>
      <c r="X50" s="338">
        <f t="shared" si="237"/>
        <v>1000</v>
      </c>
      <c r="Y50" s="338">
        <f t="shared" si="237"/>
        <v>1000</v>
      </c>
      <c r="Z50" s="338">
        <f t="shared" si="237"/>
        <v>1000</v>
      </c>
      <c r="AA50" s="338">
        <f t="shared" si="237"/>
        <v>1000</v>
      </c>
      <c r="AB50" s="338">
        <f t="shared" si="237"/>
        <v>1000</v>
      </c>
      <c r="AC50" s="338">
        <f t="shared" si="237"/>
        <v>1000</v>
      </c>
      <c r="AD50" s="338">
        <f t="shared" si="237"/>
        <v>1000</v>
      </c>
      <c r="AE50" s="338">
        <f t="shared" si="237"/>
        <v>1000</v>
      </c>
      <c r="AF50" s="339">
        <f t="shared" si="172"/>
        <v>3000</v>
      </c>
      <c r="AG50" s="339">
        <f t="shared" si="173"/>
        <v>3000</v>
      </c>
      <c r="AH50" s="339">
        <f t="shared" si="174"/>
        <v>3000</v>
      </c>
      <c r="AI50" s="339">
        <f t="shared" si="175"/>
        <v>3000</v>
      </c>
      <c r="AJ50" s="339">
        <f t="shared" si="176"/>
        <v>12000</v>
      </c>
      <c r="AK50" s="338">
        <f>15000+700+150+1000</f>
        <v>16850</v>
      </c>
      <c r="AL50" s="338">
        <f t="shared" ref="AL50:AV50" si="238">AK50</f>
        <v>16850</v>
      </c>
      <c r="AM50" s="338">
        <f t="shared" si="238"/>
        <v>16850</v>
      </c>
      <c r="AN50" s="338">
        <f t="shared" si="238"/>
        <v>16850</v>
      </c>
      <c r="AO50" s="338">
        <f t="shared" si="238"/>
        <v>16850</v>
      </c>
      <c r="AP50" s="338">
        <f t="shared" si="238"/>
        <v>16850</v>
      </c>
      <c r="AQ50" s="338">
        <f t="shared" si="238"/>
        <v>16850</v>
      </c>
      <c r="AR50" s="338">
        <f t="shared" si="238"/>
        <v>16850</v>
      </c>
      <c r="AS50" s="338">
        <f t="shared" si="238"/>
        <v>16850</v>
      </c>
      <c r="AT50" s="338">
        <f t="shared" si="238"/>
        <v>16850</v>
      </c>
      <c r="AU50" s="338">
        <f t="shared" si="238"/>
        <v>16850</v>
      </c>
      <c r="AV50" s="338">
        <f t="shared" si="238"/>
        <v>16850</v>
      </c>
      <c r="AW50" s="339">
        <f t="shared" si="177"/>
        <v>50550</v>
      </c>
      <c r="AX50" s="339">
        <f t="shared" si="178"/>
        <v>50550</v>
      </c>
      <c r="AY50" s="339">
        <f t="shared" si="179"/>
        <v>50550</v>
      </c>
      <c r="AZ50" s="339">
        <f t="shared" si="180"/>
        <v>50550</v>
      </c>
      <c r="BA50" s="339">
        <f t="shared" si="181"/>
        <v>202200</v>
      </c>
      <c r="BB50" s="338"/>
      <c r="BC50" s="338">
        <f t="shared" ref="BC50:BM50" si="239">BB50</f>
        <v>0</v>
      </c>
      <c r="BD50" s="338">
        <f t="shared" si="239"/>
        <v>0</v>
      </c>
      <c r="BE50" s="338">
        <f t="shared" si="239"/>
        <v>0</v>
      </c>
      <c r="BF50" s="338">
        <f t="shared" si="239"/>
        <v>0</v>
      </c>
      <c r="BG50" s="338">
        <f t="shared" si="239"/>
        <v>0</v>
      </c>
      <c r="BH50" s="338">
        <f t="shared" si="239"/>
        <v>0</v>
      </c>
      <c r="BI50" s="338">
        <f t="shared" si="239"/>
        <v>0</v>
      </c>
      <c r="BJ50" s="338">
        <f t="shared" si="239"/>
        <v>0</v>
      </c>
      <c r="BK50" s="338">
        <f t="shared" si="239"/>
        <v>0</v>
      </c>
      <c r="BL50" s="338">
        <f t="shared" si="239"/>
        <v>0</v>
      </c>
      <c r="BM50" s="338">
        <f t="shared" si="239"/>
        <v>0</v>
      </c>
      <c r="BN50" s="339">
        <f t="shared" si="183"/>
        <v>0</v>
      </c>
      <c r="BO50" s="339">
        <f t="shared" si="184"/>
        <v>0</v>
      </c>
      <c r="BP50" s="339">
        <f t="shared" si="185"/>
        <v>0</v>
      </c>
      <c r="BQ50" s="339">
        <f t="shared" si="186"/>
        <v>0</v>
      </c>
      <c r="BR50" s="339">
        <f t="shared" si="187"/>
        <v>0</v>
      </c>
    </row>
    <row r="51" spans="1:71">
      <c r="A51" s="1027"/>
      <c r="B51" s="348" t="s">
        <v>932</v>
      </c>
      <c r="C51" s="338">
        <f t="shared" si="188"/>
        <v>150</v>
      </c>
      <c r="D51" s="338">
        <f t="shared" si="189"/>
        <v>150</v>
      </c>
      <c r="E51" s="338">
        <f t="shared" si="190"/>
        <v>150</v>
      </c>
      <c r="F51" s="338">
        <f t="shared" si="191"/>
        <v>150</v>
      </c>
      <c r="G51" s="338">
        <f t="shared" si="192"/>
        <v>150</v>
      </c>
      <c r="H51" s="338">
        <f t="shared" si="193"/>
        <v>150</v>
      </c>
      <c r="I51" s="338">
        <f t="shared" si="194"/>
        <v>150</v>
      </c>
      <c r="J51" s="338">
        <f t="shared" si="195"/>
        <v>150</v>
      </c>
      <c r="K51" s="338">
        <f t="shared" si="196"/>
        <v>150</v>
      </c>
      <c r="L51" s="338">
        <f t="shared" si="197"/>
        <v>150</v>
      </c>
      <c r="M51" s="338">
        <f t="shared" si="198"/>
        <v>150</v>
      </c>
      <c r="N51" s="338">
        <f t="shared" si="199"/>
        <v>150</v>
      </c>
      <c r="O51" s="414">
        <f t="shared" si="200"/>
        <v>450</v>
      </c>
      <c r="P51" s="414">
        <f t="shared" si="201"/>
        <v>450</v>
      </c>
      <c r="Q51" s="414">
        <f t="shared" si="202"/>
        <v>450</v>
      </c>
      <c r="R51" s="414">
        <f t="shared" si="203"/>
        <v>450</v>
      </c>
      <c r="S51" s="414">
        <f t="shared" si="204"/>
        <v>1800</v>
      </c>
      <c r="T51" s="338">
        <v>0</v>
      </c>
      <c r="U51" s="338">
        <f t="shared" ref="U51:AE51" si="240">T51</f>
        <v>0</v>
      </c>
      <c r="V51" s="338">
        <f t="shared" si="240"/>
        <v>0</v>
      </c>
      <c r="W51" s="338">
        <f t="shared" si="240"/>
        <v>0</v>
      </c>
      <c r="X51" s="338">
        <f t="shared" si="240"/>
        <v>0</v>
      </c>
      <c r="Y51" s="338">
        <f t="shared" si="240"/>
        <v>0</v>
      </c>
      <c r="Z51" s="338">
        <f t="shared" si="240"/>
        <v>0</v>
      </c>
      <c r="AA51" s="338">
        <f t="shared" si="240"/>
        <v>0</v>
      </c>
      <c r="AB51" s="338">
        <f t="shared" si="240"/>
        <v>0</v>
      </c>
      <c r="AC51" s="338">
        <f t="shared" si="240"/>
        <v>0</v>
      </c>
      <c r="AD51" s="338">
        <f t="shared" si="240"/>
        <v>0</v>
      </c>
      <c r="AE51" s="338">
        <f t="shared" si="240"/>
        <v>0</v>
      </c>
      <c r="AF51" s="339">
        <f t="shared" si="172"/>
        <v>0</v>
      </c>
      <c r="AG51" s="339">
        <f t="shared" si="173"/>
        <v>0</v>
      </c>
      <c r="AH51" s="339">
        <f t="shared" si="174"/>
        <v>0</v>
      </c>
      <c r="AI51" s="339">
        <f t="shared" si="175"/>
        <v>0</v>
      </c>
      <c r="AJ51" s="339">
        <f t="shared" si="176"/>
        <v>0</v>
      </c>
      <c r="AK51" s="338">
        <v>150</v>
      </c>
      <c r="AL51" s="338">
        <f t="shared" ref="AL51:AV51" si="241">AK51</f>
        <v>150</v>
      </c>
      <c r="AM51" s="338">
        <f t="shared" si="241"/>
        <v>150</v>
      </c>
      <c r="AN51" s="338">
        <f t="shared" si="241"/>
        <v>150</v>
      </c>
      <c r="AO51" s="338">
        <f t="shared" si="241"/>
        <v>150</v>
      </c>
      <c r="AP51" s="338">
        <f t="shared" si="241"/>
        <v>150</v>
      </c>
      <c r="AQ51" s="338">
        <f t="shared" si="241"/>
        <v>150</v>
      </c>
      <c r="AR51" s="338">
        <f t="shared" si="241"/>
        <v>150</v>
      </c>
      <c r="AS51" s="338">
        <f t="shared" si="241"/>
        <v>150</v>
      </c>
      <c r="AT51" s="338">
        <f t="shared" si="241"/>
        <v>150</v>
      </c>
      <c r="AU51" s="338">
        <f t="shared" si="241"/>
        <v>150</v>
      </c>
      <c r="AV51" s="338">
        <f t="shared" si="241"/>
        <v>150</v>
      </c>
      <c r="AW51" s="339">
        <f t="shared" si="177"/>
        <v>450</v>
      </c>
      <c r="AX51" s="339">
        <f t="shared" si="178"/>
        <v>450</v>
      </c>
      <c r="AY51" s="339">
        <f t="shared" si="179"/>
        <v>450</v>
      </c>
      <c r="AZ51" s="339">
        <f t="shared" si="180"/>
        <v>450</v>
      </c>
      <c r="BA51" s="339">
        <f t="shared" si="181"/>
        <v>1800</v>
      </c>
      <c r="BB51" s="338"/>
      <c r="BC51" s="338">
        <f t="shared" ref="BC51:BM51" si="242">BB51</f>
        <v>0</v>
      </c>
      <c r="BD51" s="338">
        <f t="shared" si="242"/>
        <v>0</v>
      </c>
      <c r="BE51" s="338">
        <f t="shared" si="242"/>
        <v>0</v>
      </c>
      <c r="BF51" s="338">
        <f t="shared" si="242"/>
        <v>0</v>
      </c>
      <c r="BG51" s="338">
        <f t="shared" si="242"/>
        <v>0</v>
      </c>
      <c r="BH51" s="338">
        <f t="shared" si="242"/>
        <v>0</v>
      </c>
      <c r="BI51" s="338">
        <f t="shared" si="242"/>
        <v>0</v>
      </c>
      <c r="BJ51" s="338">
        <f t="shared" si="242"/>
        <v>0</v>
      </c>
      <c r="BK51" s="338">
        <f t="shared" si="242"/>
        <v>0</v>
      </c>
      <c r="BL51" s="338">
        <f t="shared" si="242"/>
        <v>0</v>
      </c>
      <c r="BM51" s="338">
        <f t="shared" si="242"/>
        <v>0</v>
      </c>
      <c r="BN51" s="339">
        <f t="shared" si="183"/>
        <v>0</v>
      </c>
      <c r="BO51" s="339">
        <f t="shared" si="184"/>
        <v>0</v>
      </c>
      <c r="BP51" s="339">
        <f t="shared" si="185"/>
        <v>0</v>
      </c>
      <c r="BQ51" s="339">
        <f t="shared" si="186"/>
        <v>0</v>
      </c>
      <c r="BR51" s="339">
        <f t="shared" si="187"/>
        <v>0</v>
      </c>
    </row>
    <row r="52" spans="1:71">
      <c r="A52" s="1027"/>
      <c r="B52" s="349" t="s">
        <v>933</v>
      </c>
      <c r="C52" s="338">
        <f t="shared" si="188"/>
        <v>0</v>
      </c>
      <c r="D52" s="338">
        <f t="shared" si="189"/>
        <v>0</v>
      </c>
      <c r="E52" s="338">
        <f t="shared" si="190"/>
        <v>0</v>
      </c>
      <c r="F52" s="338">
        <f t="shared" si="191"/>
        <v>0</v>
      </c>
      <c r="G52" s="338">
        <f t="shared" si="192"/>
        <v>0</v>
      </c>
      <c r="H52" s="338">
        <f t="shared" si="193"/>
        <v>0</v>
      </c>
      <c r="I52" s="338">
        <f t="shared" si="194"/>
        <v>0</v>
      </c>
      <c r="J52" s="338">
        <f t="shared" si="195"/>
        <v>0</v>
      </c>
      <c r="K52" s="338">
        <f t="shared" si="196"/>
        <v>0</v>
      </c>
      <c r="L52" s="338">
        <f t="shared" si="197"/>
        <v>0</v>
      </c>
      <c r="M52" s="338">
        <f t="shared" si="198"/>
        <v>0</v>
      </c>
      <c r="N52" s="338">
        <f t="shared" si="199"/>
        <v>0</v>
      </c>
      <c r="O52" s="414">
        <f t="shared" si="200"/>
        <v>0</v>
      </c>
      <c r="P52" s="414">
        <f t="shared" si="201"/>
        <v>0</v>
      </c>
      <c r="Q52" s="414">
        <f t="shared" si="202"/>
        <v>0</v>
      </c>
      <c r="R52" s="414">
        <f t="shared" si="203"/>
        <v>0</v>
      </c>
      <c r="S52" s="414">
        <f t="shared" si="204"/>
        <v>0</v>
      </c>
      <c r="T52" s="338">
        <v>0</v>
      </c>
      <c r="U52" s="338">
        <f t="shared" ref="U52:AE52" si="243">T52</f>
        <v>0</v>
      </c>
      <c r="V52" s="338">
        <f t="shared" si="243"/>
        <v>0</v>
      </c>
      <c r="W52" s="338">
        <f t="shared" si="243"/>
        <v>0</v>
      </c>
      <c r="X52" s="338">
        <f t="shared" si="243"/>
        <v>0</v>
      </c>
      <c r="Y52" s="338">
        <f t="shared" si="243"/>
        <v>0</v>
      </c>
      <c r="Z52" s="338">
        <f t="shared" si="243"/>
        <v>0</v>
      </c>
      <c r="AA52" s="338">
        <f t="shared" si="243"/>
        <v>0</v>
      </c>
      <c r="AB52" s="338">
        <f t="shared" si="243"/>
        <v>0</v>
      </c>
      <c r="AC52" s="338">
        <f t="shared" si="243"/>
        <v>0</v>
      </c>
      <c r="AD52" s="338">
        <f t="shared" si="243"/>
        <v>0</v>
      </c>
      <c r="AE52" s="338">
        <f t="shared" si="243"/>
        <v>0</v>
      </c>
      <c r="AF52" s="339">
        <f t="shared" si="172"/>
        <v>0</v>
      </c>
      <c r="AG52" s="339">
        <f t="shared" si="173"/>
        <v>0</v>
      </c>
      <c r="AH52" s="339">
        <f t="shared" si="174"/>
        <v>0</v>
      </c>
      <c r="AI52" s="339">
        <f t="shared" si="175"/>
        <v>0</v>
      </c>
      <c r="AJ52" s="339">
        <f t="shared" si="176"/>
        <v>0</v>
      </c>
      <c r="AK52" s="338"/>
      <c r="AL52" s="338">
        <f t="shared" ref="AL52:AV52" si="244">AK52</f>
        <v>0</v>
      </c>
      <c r="AM52" s="338">
        <f t="shared" si="244"/>
        <v>0</v>
      </c>
      <c r="AN52" s="338">
        <f t="shared" si="244"/>
        <v>0</v>
      </c>
      <c r="AO52" s="338">
        <f t="shared" si="244"/>
        <v>0</v>
      </c>
      <c r="AP52" s="338">
        <f t="shared" si="244"/>
        <v>0</v>
      </c>
      <c r="AQ52" s="338">
        <f t="shared" si="244"/>
        <v>0</v>
      </c>
      <c r="AR52" s="338">
        <f t="shared" si="244"/>
        <v>0</v>
      </c>
      <c r="AS52" s="338">
        <f t="shared" si="244"/>
        <v>0</v>
      </c>
      <c r="AT52" s="338">
        <f t="shared" si="244"/>
        <v>0</v>
      </c>
      <c r="AU52" s="338">
        <f t="shared" si="244"/>
        <v>0</v>
      </c>
      <c r="AV52" s="338">
        <f t="shared" si="244"/>
        <v>0</v>
      </c>
      <c r="AW52" s="339">
        <f t="shared" si="177"/>
        <v>0</v>
      </c>
      <c r="AX52" s="339">
        <f t="shared" si="178"/>
        <v>0</v>
      </c>
      <c r="AY52" s="339">
        <f t="shared" si="179"/>
        <v>0</v>
      </c>
      <c r="AZ52" s="339">
        <f t="shared" si="180"/>
        <v>0</v>
      </c>
      <c r="BA52" s="339">
        <f t="shared" si="181"/>
        <v>0</v>
      </c>
      <c r="BB52" s="338"/>
      <c r="BC52" s="338">
        <f t="shared" ref="BC52:BM52" si="245">BB52</f>
        <v>0</v>
      </c>
      <c r="BD52" s="338">
        <f t="shared" si="245"/>
        <v>0</v>
      </c>
      <c r="BE52" s="338">
        <f t="shared" si="245"/>
        <v>0</v>
      </c>
      <c r="BF52" s="338">
        <f t="shared" si="245"/>
        <v>0</v>
      </c>
      <c r="BG52" s="338">
        <f t="shared" si="245"/>
        <v>0</v>
      </c>
      <c r="BH52" s="338">
        <f t="shared" si="245"/>
        <v>0</v>
      </c>
      <c r="BI52" s="338">
        <f t="shared" si="245"/>
        <v>0</v>
      </c>
      <c r="BJ52" s="338">
        <f t="shared" si="245"/>
        <v>0</v>
      </c>
      <c r="BK52" s="338">
        <f t="shared" si="245"/>
        <v>0</v>
      </c>
      <c r="BL52" s="338">
        <f t="shared" si="245"/>
        <v>0</v>
      </c>
      <c r="BM52" s="338">
        <f t="shared" si="245"/>
        <v>0</v>
      </c>
      <c r="BN52" s="339">
        <f t="shared" si="183"/>
        <v>0</v>
      </c>
      <c r="BO52" s="339">
        <f t="shared" si="184"/>
        <v>0</v>
      </c>
      <c r="BP52" s="339">
        <f t="shared" si="185"/>
        <v>0</v>
      </c>
      <c r="BQ52" s="339">
        <f t="shared" si="186"/>
        <v>0</v>
      </c>
      <c r="BR52" s="339">
        <f t="shared" si="187"/>
        <v>0</v>
      </c>
    </row>
    <row r="53" spans="1:71">
      <c r="A53" s="1027"/>
      <c r="B53" s="346" t="s">
        <v>89</v>
      </c>
      <c r="C53" s="338">
        <f t="shared" si="188"/>
        <v>10000</v>
      </c>
      <c r="D53" s="338">
        <f t="shared" si="189"/>
        <v>10000</v>
      </c>
      <c r="E53" s="338">
        <f t="shared" si="190"/>
        <v>10000</v>
      </c>
      <c r="F53" s="338">
        <f t="shared" si="191"/>
        <v>10000</v>
      </c>
      <c r="G53" s="338">
        <f t="shared" si="192"/>
        <v>10000</v>
      </c>
      <c r="H53" s="338">
        <f t="shared" si="193"/>
        <v>10000</v>
      </c>
      <c r="I53" s="338">
        <f t="shared" si="194"/>
        <v>10000</v>
      </c>
      <c r="J53" s="338">
        <f t="shared" si="195"/>
        <v>10000</v>
      </c>
      <c r="K53" s="338">
        <f t="shared" si="196"/>
        <v>10000</v>
      </c>
      <c r="L53" s="338">
        <f t="shared" si="197"/>
        <v>10000</v>
      </c>
      <c r="M53" s="338">
        <f t="shared" si="198"/>
        <v>10000</v>
      </c>
      <c r="N53" s="338">
        <f t="shared" si="199"/>
        <v>10000</v>
      </c>
      <c r="O53" s="414">
        <f t="shared" si="200"/>
        <v>30000</v>
      </c>
      <c r="P53" s="414">
        <f t="shared" si="201"/>
        <v>30000</v>
      </c>
      <c r="Q53" s="414">
        <f t="shared" si="202"/>
        <v>30000</v>
      </c>
      <c r="R53" s="414">
        <f t="shared" si="203"/>
        <v>30000</v>
      </c>
      <c r="S53" s="414">
        <f t="shared" si="204"/>
        <v>120000</v>
      </c>
      <c r="T53" s="338">
        <v>10000</v>
      </c>
      <c r="U53" s="338">
        <f t="shared" ref="U53:AE55" si="246">T53</f>
        <v>10000</v>
      </c>
      <c r="V53" s="338">
        <f t="shared" si="246"/>
        <v>10000</v>
      </c>
      <c r="W53" s="338">
        <f t="shared" si="246"/>
        <v>10000</v>
      </c>
      <c r="X53" s="338">
        <f t="shared" si="246"/>
        <v>10000</v>
      </c>
      <c r="Y53" s="338">
        <f t="shared" si="246"/>
        <v>10000</v>
      </c>
      <c r="Z53" s="338">
        <f t="shared" si="246"/>
        <v>10000</v>
      </c>
      <c r="AA53" s="338">
        <f t="shared" si="246"/>
        <v>10000</v>
      </c>
      <c r="AB53" s="338">
        <f t="shared" si="246"/>
        <v>10000</v>
      </c>
      <c r="AC53" s="338">
        <f t="shared" si="246"/>
        <v>10000</v>
      </c>
      <c r="AD53" s="338">
        <f t="shared" si="246"/>
        <v>10000</v>
      </c>
      <c r="AE53" s="338">
        <f t="shared" si="246"/>
        <v>10000</v>
      </c>
      <c r="AF53" s="339">
        <f t="shared" si="172"/>
        <v>30000</v>
      </c>
      <c r="AG53" s="339">
        <f t="shared" si="173"/>
        <v>30000</v>
      </c>
      <c r="AH53" s="339">
        <f t="shared" si="174"/>
        <v>30000</v>
      </c>
      <c r="AI53" s="339">
        <f t="shared" si="175"/>
        <v>30000</v>
      </c>
      <c r="AJ53" s="339">
        <f t="shared" si="176"/>
        <v>120000</v>
      </c>
      <c r="AK53" s="338"/>
      <c r="AL53" s="338">
        <f t="shared" ref="AL53:AV55" si="247">AK53</f>
        <v>0</v>
      </c>
      <c r="AM53" s="338">
        <f t="shared" si="247"/>
        <v>0</v>
      </c>
      <c r="AN53" s="338">
        <f t="shared" si="247"/>
        <v>0</v>
      </c>
      <c r="AO53" s="338">
        <f t="shared" si="247"/>
        <v>0</v>
      </c>
      <c r="AP53" s="338">
        <f t="shared" si="247"/>
        <v>0</v>
      </c>
      <c r="AQ53" s="338">
        <f t="shared" si="247"/>
        <v>0</v>
      </c>
      <c r="AR53" s="338">
        <f t="shared" si="247"/>
        <v>0</v>
      </c>
      <c r="AS53" s="338">
        <f t="shared" si="247"/>
        <v>0</v>
      </c>
      <c r="AT53" s="338">
        <f t="shared" si="247"/>
        <v>0</v>
      </c>
      <c r="AU53" s="338">
        <f t="shared" si="247"/>
        <v>0</v>
      </c>
      <c r="AV53" s="338">
        <f t="shared" si="247"/>
        <v>0</v>
      </c>
      <c r="AW53" s="339">
        <f t="shared" si="177"/>
        <v>0</v>
      </c>
      <c r="AX53" s="339">
        <f t="shared" si="178"/>
        <v>0</v>
      </c>
      <c r="AY53" s="339">
        <f t="shared" si="179"/>
        <v>0</v>
      </c>
      <c r="AZ53" s="339">
        <f t="shared" si="180"/>
        <v>0</v>
      </c>
      <c r="BA53" s="339">
        <f t="shared" si="181"/>
        <v>0</v>
      </c>
      <c r="BB53" s="338"/>
      <c r="BC53" s="338">
        <f t="shared" ref="BC53:BM53" si="248">BB53</f>
        <v>0</v>
      </c>
      <c r="BD53" s="338">
        <f t="shared" si="248"/>
        <v>0</v>
      </c>
      <c r="BE53" s="338">
        <f t="shared" si="248"/>
        <v>0</v>
      </c>
      <c r="BF53" s="338">
        <f t="shared" si="248"/>
        <v>0</v>
      </c>
      <c r="BG53" s="338">
        <f t="shared" si="248"/>
        <v>0</v>
      </c>
      <c r="BH53" s="338">
        <f t="shared" si="248"/>
        <v>0</v>
      </c>
      <c r="BI53" s="338">
        <f t="shared" si="248"/>
        <v>0</v>
      </c>
      <c r="BJ53" s="338">
        <f t="shared" si="248"/>
        <v>0</v>
      </c>
      <c r="BK53" s="338">
        <f t="shared" si="248"/>
        <v>0</v>
      </c>
      <c r="BL53" s="338">
        <f t="shared" si="248"/>
        <v>0</v>
      </c>
      <c r="BM53" s="338">
        <f t="shared" si="248"/>
        <v>0</v>
      </c>
      <c r="BN53" s="339">
        <f t="shared" si="183"/>
        <v>0</v>
      </c>
      <c r="BO53" s="339">
        <f t="shared" si="184"/>
        <v>0</v>
      </c>
      <c r="BP53" s="339">
        <f t="shared" si="185"/>
        <v>0</v>
      </c>
      <c r="BQ53" s="339">
        <f t="shared" si="186"/>
        <v>0</v>
      </c>
      <c r="BR53" s="339">
        <f t="shared" si="187"/>
        <v>0</v>
      </c>
    </row>
    <row r="54" spans="1:71">
      <c r="A54" s="1026"/>
      <c r="B54" s="341" t="s">
        <v>969</v>
      </c>
      <c r="C54" s="336">
        <f>SUM(C55:C57)</f>
        <v>2390264</v>
      </c>
      <c r="D54" s="336">
        <f t="shared" ref="D54:S54" si="249">SUM(D55:D57)</f>
        <v>0</v>
      </c>
      <c r="E54" s="336">
        <f t="shared" si="249"/>
        <v>0</v>
      </c>
      <c r="F54" s="336">
        <f t="shared" si="249"/>
        <v>0</v>
      </c>
      <c r="G54" s="336">
        <f t="shared" si="249"/>
        <v>0</v>
      </c>
      <c r="H54" s="336">
        <f t="shared" si="249"/>
        <v>1800000</v>
      </c>
      <c r="I54" s="336">
        <f t="shared" si="249"/>
        <v>0</v>
      </c>
      <c r="J54" s="336">
        <f t="shared" si="249"/>
        <v>0</v>
      </c>
      <c r="K54" s="336">
        <f t="shared" si="249"/>
        <v>0</v>
      </c>
      <c r="L54" s="336">
        <f t="shared" si="249"/>
        <v>0</v>
      </c>
      <c r="M54" s="336">
        <f t="shared" si="249"/>
        <v>0</v>
      </c>
      <c r="N54" s="336">
        <f t="shared" si="249"/>
        <v>0</v>
      </c>
      <c r="O54" s="413">
        <f t="shared" si="249"/>
        <v>2390264</v>
      </c>
      <c r="P54" s="413">
        <f t="shared" si="249"/>
        <v>1800000</v>
      </c>
      <c r="Q54" s="413">
        <f t="shared" si="249"/>
        <v>0</v>
      </c>
      <c r="R54" s="413">
        <f t="shared" si="249"/>
        <v>0</v>
      </c>
      <c r="S54" s="413">
        <f t="shared" si="249"/>
        <v>4190264</v>
      </c>
      <c r="T54" s="336">
        <f>SUM(T55:T57)</f>
        <v>2390264</v>
      </c>
      <c r="U54" s="336">
        <f t="shared" ref="U54:AJ54" si="250">SUM(U55:U57)</f>
        <v>0</v>
      </c>
      <c r="V54" s="336">
        <f t="shared" si="250"/>
        <v>0</v>
      </c>
      <c r="W54" s="336">
        <f t="shared" si="250"/>
        <v>0</v>
      </c>
      <c r="X54" s="336">
        <f t="shared" si="250"/>
        <v>0</v>
      </c>
      <c r="Y54" s="336">
        <f t="shared" si="250"/>
        <v>779750</v>
      </c>
      <c r="Z54" s="336">
        <f t="shared" si="250"/>
        <v>0</v>
      </c>
      <c r="AA54" s="336">
        <f t="shared" si="250"/>
        <v>0</v>
      </c>
      <c r="AB54" s="336">
        <f t="shared" si="250"/>
        <v>0</v>
      </c>
      <c r="AC54" s="336">
        <f t="shared" si="250"/>
        <v>0</v>
      </c>
      <c r="AD54" s="336">
        <f t="shared" si="250"/>
        <v>0</v>
      </c>
      <c r="AE54" s="336">
        <f t="shared" si="250"/>
        <v>0</v>
      </c>
      <c r="AF54" s="336">
        <f t="shared" si="250"/>
        <v>2390264</v>
      </c>
      <c r="AG54" s="336">
        <f t="shared" si="250"/>
        <v>779750</v>
      </c>
      <c r="AH54" s="336">
        <f t="shared" si="250"/>
        <v>0</v>
      </c>
      <c r="AI54" s="336">
        <f t="shared" si="250"/>
        <v>0</v>
      </c>
      <c r="AJ54" s="336">
        <f t="shared" si="250"/>
        <v>3170014</v>
      </c>
      <c r="AK54" s="336">
        <f>SUM(AK55:AK57)</f>
        <v>0</v>
      </c>
      <c r="AL54" s="336">
        <f t="shared" ref="AL54:BA54" si="251">SUM(AL55:AL57)</f>
        <v>0</v>
      </c>
      <c r="AM54" s="336">
        <f t="shared" si="251"/>
        <v>0</v>
      </c>
      <c r="AN54" s="336">
        <f t="shared" si="251"/>
        <v>0</v>
      </c>
      <c r="AO54" s="336">
        <f t="shared" si="251"/>
        <v>0</v>
      </c>
      <c r="AP54" s="336">
        <f t="shared" si="251"/>
        <v>0</v>
      </c>
      <c r="AQ54" s="336">
        <f t="shared" si="251"/>
        <v>0</v>
      </c>
      <c r="AR54" s="336">
        <f t="shared" si="251"/>
        <v>0</v>
      </c>
      <c r="AS54" s="336">
        <f t="shared" si="251"/>
        <v>0</v>
      </c>
      <c r="AT54" s="336">
        <f t="shared" si="251"/>
        <v>0</v>
      </c>
      <c r="AU54" s="336">
        <f t="shared" si="251"/>
        <v>0</v>
      </c>
      <c r="AV54" s="336">
        <f t="shared" si="251"/>
        <v>0</v>
      </c>
      <c r="AW54" s="336">
        <f t="shared" si="251"/>
        <v>0</v>
      </c>
      <c r="AX54" s="336">
        <f t="shared" si="251"/>
        <v>0</v>
      </c>
      <c r="AY54" s="336">
        <f t="shared" si="251"/>
        <v>0</v>
      </c>
      <c r="AZ54" s="336">
        <f t="shared" si="251"/>
        <v>0</v>
      </c>
      <c r="BA54" s="336">
        <f t="shared" si="251"/>
        <v>0</v>
      </c>
      <c r="BB54" s="336">
        <f>SUM(BB55:BB57)</f>
        <v>0</v>
      </c>
      <c r="BC54" s="336">
        <f t="shared" ref="BC54:BM54" si="252">SUM(BC55:BC57)</f>
        <v>0</v>
      </c>
      <c r="BD54" s="336">
        <f t="shared" si="252"/>
        <v>0</v>
      </c>
      <c r="BE54" s="336">
        <f t="shared" si="252"/>
        <v>0</v>
      </c>
      <c r="BF54" s="336">
        <f t="shared" si="252"/>
        <v>0</v>
      </c>
      <c r="BG54" s="336">
        <f t="shared" si="252"/>
        <v>1020250</v>
      </c>
      <c r="BH54" s="336">
        <f t="shared" si="252"/>
        <v>0</v>
      </c>
      <c r="BI54" s="336">
        <f t="shared" si="252"/>
        <v>0</v>
      </c>
      <c r="BJ54" s="336">
        <f t="shared" si="252"/>
        <v>0</v>
      </c>
      <c r="BK54" s="336">
        <f t="shared" si="252"/>
        <v>0</v>
      </c>
      <c r="BL54" s="336">
        <f t="shared" si="252"/>
        <v>0</v>
      </c>
      <c r="BM54" s="336">
        <f t="shared" si="252"/>
        <v>0</v>
      </c>
      <c r="BN54" s="336">
        <f>SUM(BN55:BN57)</f>
        <v>0</v>
      </c>
      <c r="BO54" s="336">
        <f>SUM(BO55:BO57)</f>
        <v>1020250</v>
      </c>
      <c r="BP54" s="336">
        <f>SUM(BP55:BP57)</f>
        <v>0</v>
      </c>
      <c r="BQ54" s="336">
        <f>SUM(BQ55:BQ57)</f>
        <v>0</v>
      </c>
      <c r="BR54" s="336">
        <f>SUM(BR55:BR57)</f>
        <v>1020250</v>
      </c>
      <c r="BS54" s="782">
        <f ca="1">'Програма МБ 2022 рік'!D12</f>
        <v>1020250</v>
      </c>
    </row>
    <row r="55" spans="1:71">
      <c r="A55" s="1027"/>
      <c r="B55" s="350" t="s">
        <v>1165</v>
      </c>
      <c r="C55" s="338">
        <f t="shared" ref="C55:N58" si="253">T55+AK55+BB55</f>
        <v>2340264</v>
      </c>
      <c r="D55" s="338">
        <f t="shared" si="253"/>
        <v>0</v>
      </c>
      <c r="E55" s="338">
        <f t="shared" si="253"/>
        <v>0</v>
      </c>
      <c r="F55" s="338">
        <f t="shared" si="253"/>
        <v>0</v>
      </c>
      <c r="G55" s="338">
        <f t="shared" si="253"/>
        <v>0</v>
      </c>
      <c r="H55" s="338">
        <f t="shared" si="253"/>
        <v>1600000</v>
      </c>
      <c r="I55" s="338">
        <f t="shared" si="253"/>
        <v>0</v>
      </c>
      <c r="J55" s="338">
        <f t="shared" si="253"/>
        <v>0</v>
      </c>
      <c r="K55" s="338">
        <f t="shared" si="253"/>
        <v>0</v>
      </c>
      <c r="L55" s="338">
        <f t="shared" si="253"/>
        <v>0</v>
      </c>
      <c r="M55" s="338">
        <f t="shared" si="253"/>
        <v>0</v>
      </c>
      <c r="N55" s="338">
        <f t="shared" si="253"/>
        <v>0</v>
      </c>
      <c r="O55" s="414">
        <f>SUM(C55:E55)</f>
        <v>2340264</v>
      </c>
      <c r="P55" s="414">
        <f>SUM(F55:H55)</f>
        <v>1600000</v>
      </c>
      <c r="Q55" s="414">
        <f>SUM(I55:K55)</f>
        <v>0</v>
      </c>
      <c r="R55" s="414">
        <f>SUM(L55:N55)</f>
        <v>0</v>
      </c>
      <c r="S55" s="414">
        <f>O55+P55+Q55+R55</f>
        <v>3940264</v>
      </c>
      <c r="T55" s="338">
        <f>540264+750000+150000+950000-50000</f>
        <v>2340264</v>
      </c>
      <c r="U55" s="338"/>
      <c r="V55" s="338">
        <f t="shared" si="246"/>
        <v>0</v>
      </c>
      <c r="W55" s="338">
        <f t="shared" si="246"/>
        <v>0</v>
      </c>
      <c r="X55" s="338">
        <f t="shared" si="246"/>
        <v>0</v>
      </c>
      <c r="Y55" s="338">
        <f>1800000-1020250-200000</f>
        <v>579750</v>
      </c>
      <c r="Z55" s="338"/>
      <c r="AA55" s="338">
        <f t="shared" si="246"/>
        <v>0</v>
      </c>
      <c r="AB55" s="338">
        <f t="shared" si="246"/>
        <v>0</v>
      </c>
      <c r="AC55" s="338">
        <f t="shared" si="246"/>
        <v>0</v>
      </c>
      <c r="AD55" s="338">
        <f t="shared" si="246"/>
        <v>0</v>
      </c>
      <c r="AE55" s="338">
        <f t="shared" si="246"/>
        <v>0</v>
      </c>
      <c r="AF55" s="339">
        <f>SUM(T55:V55)</f>
        <v>2340264</v>
      </c>
      <c r="AG55" s="339">
        <f>SUM(W55:Y55)</f>
        <v>579750</v>
      </c>
      <c r="AH55" s="339">
        <f>SUM(Z55:AB55)</f>
        <v>0</v>
      </c>
      <c r="AI55" s="339">
        <f>SUM(AC55:AE55)</f>
        <v>0</v>
      </c>
      <c r="AJ55" s="339">
        <f>AF55+AG55+AH55+AI55</f>
        <v>2920014</v>
      </c>
      <c r="AK55" s="338"/>
      <c r="AL55" s="338">
        <f t="shared" si="247"/>
        <v>0</v>
      </c>
      <c r="AM55" s="338">
        <f t="shared" si="247"/>
        <v>0</v>
      </c>
      <c r="AN55" s="338">
        <f t="shared" si="247"/>
        <v>0</v>
      </c>
      <c r="AO55" s="338">
        <f t="shared" si="247"/>
        <v>0</v>
      </c>
      <c r="AP55" s="338">
        <f t="shared" si="247"/>
        <v>0</v>
      </c>
      <c r="AQ55" s="338">
        <f t="shared" si="247"/>
        <v>0</v>
      </c>
      <c r="AR55" s="338">
        <f t="shared" si="247"/>
        <v>0</v>
      </c>
      <c r="AS55" s="338">
        <f t="shared" si="247"/>
        <v>0</v>
      </c>
      <c r="AT55" s="338">
        <f t="shared" si="247"/>
        <v>0</v>
      </c>
      <c r="AU55" s="338">
        <f t="shared" si="247"/>
        <v>0</v>
      </c>
      <c r="AV55" s="338">
        <f t="shared" si="247"/>
        <v>0</v>
      </c>
      <c r="AW55" s="339">
        <f>SUM(AK55:AM55)</f>
        <v>0</v>
      </c>
      <c r="AX55" s="339">
        <f>SUM(AN55:AP55)</f>
        <v>0</v>
      </c>
      <c r="AY55" s="339">
        <f>SUM(AQ55:AS55)</f>
        <v>0</v>
      </c>
      <c r="AZ55" s="339">
        <f>SUM(AT55:AV55)</f>
        <v>0</v>
      </c>
      <c r="BA55" s="339">
        <f>AW55+AX55+AY55+AZ55</f>
        <v>0</v>
      </c>
      <c r="BB55" s="338">
        <f>750000+200000-950000</f>
        <v>0</v>
      </c>
      <c r="BC55" s="338"/>
      <c r="BD55" s="338"/>
      <c r="BE55" s="338"/>
      <c r="BF55" s="338"/>
      <c r="BG55" s="338">
        <f>1020250</f>
        <v>1020250</v>
      </c>
      <c r="BH55" s="338">
        <f>1000000-1000000</f>
        <v>0</v>
      </c>
      <c r="BI55" s="338">
        <f>1000000-1000000</f>
        <v>0</v>
      </c>
      <c r="BJ55" s="338">
        <f>1500000-1500000</f>
        <v>0</v>
      </c>
      <c r="BK55" s="338"/>
      <c r="BL55" s="338"/>
      <c r="BM55" s="338">
        <f>1100000-1100000</f>
        <v>0</v>
      </c>
      <c r="BN55" s="339">
        <f>SUM(BB55:BD55)</f>
        <v>0</v>
      </c>
      <c r="BO55" s="339">
        <f>SUM(BE55:BG55)</f>
        <v>1020250</v>
      </c>
      <c r="BP55" s="339">
        <f>SUM(BH55:BJ55)</f>
        <v>0</v>
      </c>
      <c r="BQ55" s="339">
        <f>SUM(BK55:BM55)</f>
        <v>0</v>
      </c>
      <c r="BR55" s="339">
        <f>BN55+BO55+BP55+BQ55</f>
        <v>1020250</v>
      </c>
    </row>
    <row r="56" spans="1:71">
      <c r="A56" s="1027"/>
      <c r="B56" s="350" t="s">
        <v>934</v>
      </c>
      <c r="C56" s="338">
        <f t="shared" si="253"/>
        <v>50000</v>
      </c>
      <c r="D56" s="338">
        <f t="shared" si="253"/>
        <v>0</v>
      </c>
      <c r="E56" s="338">
        <f t="shared" si="253"/>
        <v>0</v>
      </c>
      <c r="F56" s="338">
        <f t="shared" si="253"/>
        <v>0</v>
      </c>
      <c r="G56" s="338">
        <f t="shared" si="253"/>
        <v>0</v>
      </c>
      <c r="H56" s="338">
        <f t="shared" si="253"/>
        <v>200000</v>
      </c>
      <c r="I56" s="338">
        <f t="shared" si="253"/>
        <v>0</v>
      </c>
      <c r="J56" s="338">
        <f t="shared" si="253"/>
        <v>0</v>
      </c>
      <c r="K56" s="338">
        <f t="shared" si="253"/>
        <v>0</v>
      </c>
      <c r="L56" s="338">
        <f t="shared" si="253"/>
        <v>0</v>
      </c>
      <c r="M56" s="338">
        <f t="shared" si="253"/>
        <v>0</v>
      </c>
      <c r="N56" s="338">
        <f t="shared" si="253"/>
        <v>0</v>
      </c>
      <c r="O56" s="414">
        <f>SUM(C56:E56)</f>
        <v>50000</v>
      </c>
      <c r="P56" s="414">
        <f>SUM(F56:H56)</f>
        <v>200000</v>
      </c>
      <c r="Q56" s="414">
        <f>SUM(I56:K56)</f>
        <v>0</v>
      </c>
      <c r="R56" s="414">
        <f>SUM(L56:N56)</f>
        <v>0</v>
      </c>
      <c r="S56" s="414">
        <f>O56+P56+Q56+R56</f>
        <v>250000</v>
      </c>
      <c r="T56" s="338">
        <f>50000</f>
        <v>50000</v>
      </c>
      <c r="U56" s="338">
        <v>0</v>
      </c>
      <c r="V56" s="338">
        <f t="shared" ref="V56:AE56" si="254">U56</f>
        <v>0</v>
      </c>
      <c r="W56" s="338">
        <f t="shared" si="254"/>
        <v>0</v>
      </c>
      <c r="X56" s="338">
        <f t="shared" si="254"/>
        <v>0</v>
      </c>
      <c r="Y56" s="338">
        <f>200000</f>
        <v>200000</v>
      </c>
      <c r="Z56" s="338">
        <v>0</v>
      </c>
      <c r="AA56" s="338">
        <f t="shared" si="254"/>
        <v>0</v>
      </c>
      <c r="AB56" s="338">
        <f t="shared" si="254"/>
        <v>0</v>
      </c>
      <c r="AC56" s="338">
        <f t="shared" si="254"/>
        <v>0</v>
      </c>
      <c r="AD56" s="338">
        <f t="shared" si="254"/>
        <v>0</v>
      </c>
      <c r="AE56" s="338">
        <f t="shared" si="254"/>
        <v>0</v>
      </c>
      <c r="AF56" s="339">
        <f>SUM(T56:V56)</f>
        <v>50000</v>
      </c>
      <c r="AG56" s="339">
        <f>SUM(W56:Y56)</f>
        <v>200000</v>
      </c>
      <c r="AH56" s="339">
        <f>SUM(Z56:AB56)</f>
        <v>0</v>
      </c>
      <c r="AI56" s="339">
        <f>SUM(AC56:AE56)</f>
        <v>0</v>
      </c>
      <c r="AJ56" s="339">
        <f>AF56+AG56+AH56+AI56</f>
        <v>250000</v>
      </c>
      <c r="AK56" s="338"/>
      <c r="AL56" s="338">
        <f t="shared" ref="AL56:AV56" si="255">AK56</f>
        <v>0</v>
      </c>
      <c r="AM56" s="338">
        <f t="shared" si="255"/>
        <v>0</v>
      </c>
      <c r="AN56" s="338">
        <f t="shared" si="255"/>
        <v>0</v>
      </c>
      <c r="AO56" s="338">
        <f t="shared" si="255"/>
        <v>0</v>
      </c>
      <c r="AP56" s="338">
        <f t="shared" si="255"/>
        <v>0</v>
      </c>
      <c r="AQ56" s="338">
        <f t="shared" si="255"/>
        <v>0</v>
      </c>
      <c r="AR56" s="338">
        <f t="shared" si="255"/>
        <v>0</v>
      </c>
      <c r="AS56" s="338">
        <f t="shared" si="255"/>
        <v>0</v>
      </c>
      <c r="AT56" s="338">
        <f t="shared" si="255"/>
        <v>0</v>
      </c>
      <c r="AU56" s="338">
        <f t="shared" si="255"/>
        <v>0</v>
      </c>
      <c r="AV56" s="338">
        <f t="shared" si="255"/>
        <v>0</v>
      </c>
      <c r="AW56" s="339">
        <f>SUM(AK56:AM56)</f>
        <v>0</v>
      </c>
      <c r="AX56" s="339">
        <f>SUM(AN56:AP56)</f>
        <v>0</v>
      </c>
      <c r="AY56" s="339">
        <f>SUM(AQ56:AS56)</f>
        <v>0</v>
      </c>
      <c r="AZ56" s="339">
        <f>SUM(AT56:AV56)</f>
        <v>0</v>
      </c>
      <c r="BA56" s="339">
        <f>AW56+AX56+AY56+AZ56</f>
        <v>0</v>
      </c>
      <c r="BB56" s="338"/>
      <c r="BC56" s="338">
        <f t="shared" ref="BC56:BM56" si="256">BB56</f>
        <v>0</v>
      </c>
      <c r="BD56" s="338">
        <f t="shared" si="256"/>
        <v>0</v>
      </c>
      <c r="BE56" s="338">
        <f t="shared" si="256"/>
        <v>0</v>
      </c>
      <c r="BF56" s="338">
        <f t="shared" si="256"/>
        <v>0</v>
      </c>
      <c r="BG56" s="338">
        <f t="shared" si="256"/>
        <v>0</v>
      </c>
      <c r="BH56" s="338">
        <f t="shared" si="256"/>
        <v>0</v>
      </c>
      <c r="BI56" s="338">
        <f t="shared" si="256"/>
        <v>0</v>
      </c>
      <c r="BJ56" s="338">
        <f t="shared" si="256"/>
        <v>0</v>
      </c>
      <c r="BK56" s="338">
        <f t="shared" si="256"/>
        <v>0</v>
      </c>
      <c r="BL56" s="338">
        <f t="shared" si="256"/>
        <v>0</v>
      </c>
      <c r="BM56" s="338">
        <f t="shared" si="256"/>
        <v>0</v>
      </c>
      <c r="BN56" s="339">
        <f>SUM(BB56:BD56)</f>
        <v>0</v>
      </c>
      <c r="BO56" s="339">
        <f>SUM(BE56:BG56)</f>
        <v>0</v>
      </c>
      <c r="BP56" s="339">
        <f>SUM(BH56:BJ56)</f>
        <v>0</v>
      </c>
      <c r="BQ56" s="339">
        <f>SUM(BK56:BM56)</f>
        <v>0</v>
      </c>
      <c r="BR56" s="339">
        <f>BN56+BO56+BP56+BQ56</f>
        <v>0</v>
      </c>
    </row>
    <row r="57" spans="1:71">
      <c r="A57" s="1027"/>
      <c r="B57" s="350" t="s">
        <v>935</v>
      </c>
      <c r="C57" s="338">
        <f t="shared" si="253"/>
        <v>0</v>
      </c>
      <c r="D57" s="338">
        <f t="shared" si="253"/>
        <v>0</v>
      </c>
      <c r="E57" s="338">
        <f t="shared" si="253"/>
        <v>0</v>
      </c>
      <c r="F57" s="338">
        <f t="shared" si="253"/>
        <v>0</v>
      </c>
      <c r="G57" s="338">
        <f t="shared" si="253"/>
        <v>0</v>
      </c>
      <c r="H57" s="338">
        <f t="shared" si="253"/>
        <v>0</v>
      </c>
      <c r="I57" s="338">
        <f t="shared" si="253"/>
        <v>0</v>
      </c>
      <c r="J57" s="338">
        <f t="shared" si="253"/>
        <v>0</v>
      </c>
      <c r="K57" s="338">
        <f t="shared" si="253"/>
        <v>0</v>
      </c>
      <c r="L57" s="338">
        <f t="shared" si="253"/>
        <v>0</v>
      </c>
      <c r="M57" s="338">
        <f t="shared" si="253"/>
        <v>0</v>
      </c>
      <c r="N57" s="338">
        <f t="shared" si="253"/>
        <v>0</v>
      </c>
      <c r="O57" s="414">
        <f>SUM(C57:E57)</f>
        <v>0</v>
      </c>
      <c r="P57" s="414">
        <f>SUM(F57:H57)</f>
        <v>0</v>
      </c>
      <c r="Q57" s="414">
        <f>SUM(I57:K57)</f>
        <v>0</v>
      </c>
      <c r="R57" s="414">
        <f>SUM(L57:N57)</f>
        <v>0</v>
      </c>
      <c r="S57" s="414">
        <f>O57+P57+Q57+R57</f>
        <v>0</v>
      </c>
      <c r="T57" s="338"/>
      <c r="U57" s="338">
        <f t="shared" ref="U57:AE57" si="257">T57</f>
        <v>0</v>
      </c>
      <c r="V57" s="338">
        <f t="shared" si="257"/>
        <v>0</v>
      </c>
      <c r="W57" s="338">
        <f t="shared" si="257"/>
        <v>0</v>
      </c>
      <c r="X57" s="338">
        <f t="shared" si="257"/>
        <v>0</v>
      </c>
      <c r="Y57" s="338">
        <f t="shared" si="257"/>
        <v>0</v>
      </c>
      <c r="Z57" s="338">
        <f t="shared" si="257"/>
        <v>0</v>
      </c>
      <c r="AA57" s="338">
        <f t="shared" si="257"/>
        <v>0</v>
      </c>
      <c r="AB57" s="338">
        <f t="shared" si="257"/>
        <v>0</v>
      </c>
      <c r="AC57" s="338">
        <f t="shared" si="257"/>
        <v>0</v>
      </c>
      <c r="AD57" s="338">
        <f t="shared" si="257"/>
        <v>0</v>
      </c>
      <c r="AE57" s="338">
        <f t="shared" si="257"/>
        <v>0</v>
      </c>
      <c r="AF57" s="339">
        <f>SUM(T57:V57)</f>
        <v>0</v>
      </c>
      <c r="AG57" s="339">
        <f>SUM(W57:Y57)</f>
        <v>0</v>
      </c>
      <c r="AH57" s="339">
        <f>SUM(Z57:AB57)</f>
        <v>0</v>
      </c>
      <c r="AI57" s="339">
        <f>SUM(AC57:AE57)</f>
        <v>0</v>
      </c>
      <c r="AJ57" s="339">
        <f>AF57+AG57+AH57+AI57</f>
        <v>0</v>
      </c>
      <c r="AK57" s="338"/>
      <c r="AL57" s="338">
        <f t="shared" ref="AL57:AV57" si="258">AK57</f>
        <v>0</v>
      </c>
      <c r="AM57" s="338">
        <f t="shared" si="258"/>
        <v>0</v>
      </c>
      <c r="AN57" s="338">
        <f t="shared" si="258"/>
        <v>0</v>
      </c>
      <c r="AO57" s="338">
        <f t="shared" si="258"/>
        <v>0</v>
      </c>
      <c r="AP57" s="338">
        <f t="shared" si="258"/>
        <v>0</v>
      </c>
      <c r="AQ57" s="338">
        <f t="shared" si="258"/>
        <v>0</v>
      </c>
      <c r="AR57" s="338">
        <f t="shared" si="258"/>
        <v>0</v>
      </c>
      <c r="AS57" s="338">
        <f t="shared" si="258"/>
        <v>0</v>
      </c>
      <c r="AT57" s="338">
        <f t="shared" si="258"/>
        <v>0</v>
      </c>
      <c r="AU57" s="338">
        <f t="shared" si="258"/>
        <v>0</v>
      </c>
      <c r="AV57" s="338">
        <f t="shared" si="258"/>
        <v>0</v>
      </c>
      <c r="AW57" s="339">
        <f>SUM(AK57:AM57)</f>
        <v>0</v>
      </c>
      <c r="AX57" s="339">
        <f>SUM(AN57:AP57)</f>
        <v>0</v>
      </c>
      <c r="AY57" s="339">
        <f>SUM(AQ57:AS57)</f>
        <v>0</v>
      </c>
      <c r="AZ57" s="339">
        <f>SUM(AT57:AV57)</f>
        <v>0</v>
      </c>
      <c r="BA57" s="339">
        <f>AW57+AX57+AY57+AZ57</f>
        <v>0</v>
      </c>
      <c r="BB57" s="338"/>
      <c r="BC57" s="338">
        <f t="shared" ref="BC57:BM57" si="259">BB57</f>
        <v>0</v>
      </c>
      <c r="BD57" s="338">
        <f t="shared" si="259"/>
        <v>0</v>
      </c>
      <c r="BE57" s="338">
        <f t="shared" si="259"/>
        <v>0</v>
      </c>
      <c r="BF57" s="338">
        <f t="shared" si="259"/>
        <v>0</v>
      </c>
      <c r="BG57" s="338">
        <f t="shared" si="259"/>
        <v>0</v>
      </c>
      <c r="BH57" s="338">
        <f t="shared" si="259"/>
        <v>0</v>
      </c>
      <c r="BI57" s="338">
        <f t="shared" si="259"/>
        <v>0</v>
      </c>
      <c r="BJ57" s="338">
        <f t="shared" si="259"/>
        <v>0</v>
      </c>
      <c r="BK57" s="338">
        <f t="shared" si="259"/>
        <v>0</v>
      </c>
      <c r="BL57" s="338">
        <f t="shared" si="259"/>
        <v>0</v>
      </c>
      <c r="BM57" s="338">
        <f t="shared" si="259"/>
        <v>0</v>
      </c>
      <c r="BN57" s="339">
        <f>SUM(BB57:BD57)</f>
        <v>0</v>
      </c>
      <c r="BO57" s="339">
        <f>SUM(BE57:BG57)</f>
        <v>0</v>
      </c>
      <c r="BP57" s="339">
        <f>SUM(BH57:BJ57)</f>
        <v>0</v>
      </c>
      <c r="BQ57" s="339">
        <f>SUM(BK57:BM57)</f>
        <v>0</v>
      </c>
      <c r="BR57" s="339">
        <f>BN57+BO57+BP57+BQ57</f>
        <v>0</v>
      </c>
    </row>
    <row r="58" spans="1:71">
      <c r="A58" s="1027"/>
      <c r="B58" s="351" t="s">
        <v>936</v>
      </c>
      <c r="C58" s="338">
        <f t="shared" si="253"/>
        <v>0</v>
      </c>
      <c r="D58" s="338">
        <f t="shared" si="253"/>
        <v>0</v>
      </c>
      <c r="E58" s="338">
        <f t="shared" si="253"/>
        <v>0</v>
      </c>
      <c r="F58" s="338">
        <f t="shared" si="253"/>
        <v>0</v>
      </c>
      <c r="G58" s="338">
        <f t="shared" si="253"/>
        <v>0</v>
      </c>
      <c r="H58" s="338">
        <f t="shared" si="253"/>
        <v>0</v>
      </c>
      <c r="I58" s="338">
        <f t="shared" si="253"/>
        <v>0</v>
      </c>
      <c r="J58" s="338">
        <f t="shared" si="253"/>
        <v>0</v>
      </c>
      <c r="K58" s="338">
        <f t="shared" si="253"/>
        <v>0</v>
      </c>
      <c r="L58" s="338">
        <f t="shared" si="253"/>
        <v>0</v>
      </c>
      <c r="M58" s="338">
        <f t="shared" si="253"/>
        <v>0</v>
      </c>
      <c r="N58" s="338">
        <f t="shared" si="253"/>
        <v>0</v>
      </c>
      <c r="O58" s="414">
        <f>SUM(C58:E58)</f>
        <v>0</v>
      </c>
      <c r="P58" s="414">
        <f>SUM(F58:H58)</f>
        <v>0</v>
      </c>
      <c r="Q58" s="414">
        <f>SUM(I58:K58)</f>
        <v>0</v>
      </c>
      <c r="R58" s="414">
        <f>SUM(L58:N58)</f>
        <v>0</v>
      </c>
      <c r="S58" s="414">
        <f>O58+P58+Q58+R58</f>
        <v>0</v>
      </c>
      <c r="T58" s="338"/>
      <c r="U58" s="338">
        <f t="shared" ref="U58:AE58" si="260">T58</f>
        <v>0</v>
      </c>
      <c r="V58" s="338">
        <f t="shared" si="260"/>
        <v>0</v>
      </c>
      <c r="W58" s="338">
        <f t="shared" si="260"/>
        <v>0</v>
      </c>
      <c r="X58" s="338">
        <f t="shared" si="260"/>
        <v>0</v>
      </c>
      <c r="Y58" s="338">
        <f t="shared" si="260"/>
        <v>0</v>
      </c>
      <c r="Z58" s="338">
        <f t="shared" si="260"/>
        <v>0</v>
      </c>
      <c r="AA58" s="338">
        <f t="shared" si="260"/>
        <v>0</v>
      </c>
      <c r="AB58" s="338">
        <f t="shared" si="260"/>
        <v>0</v>
      </c>
      <c r="AC58" s="338">
        <f t="shared" si="260"/>
        <v>0</v>
      </c>
      <c r="AD58" s="338">
        <f t="shared" si="260"/>
        <v>0</v>
      </c>
      <c r="AE58" s="338">
        <f t="shared" si="260"/>
        <v>0</v>
      </c>
      <c r="AF58" s="339">
        <f>SUM(T58:V58)</f>
        <v>0</v>
      </c>
      <c r="AG58" s="339">
        <f>SUM(W58:Y58)</f>
        <v>0</v>
      </c>
      <c r="AH58" s="339">
        <f>SUM(Z58:AB58)</f>
        <v>0</v>
      </c>
      <c r="AI58" s="339">
        <f>SUM(AC58:AE58)</f>
        <v>0</v>
      </c>
      <c r="AJ58" s="339">
        <f>AF58+AG58+AH58+AI58</f>
        <v>0</v>
      </c>
      <c r="AK58" s="338"/>
      <c r="AL58" s="338">
        <f t="shared" ref="AL58:AV58" si="261">AK58</f>
        <v>0</v>
      </c>
      <c r="AM58" s="338">
        <f t="shared" si="261"/>
        <v>0</v>
      </c>
      <c r="AN58" s="338">
        <f t="shared" si="261"/>
        <v>0</v>
      </c>
      <c r="AO58" s="338">
        <f t="shared" si="261"/>
        <v>0</v>
      </c>
      <c r="AP58" s="338">
        <f t="shared" si="261"/>
        <v>0</v>
      </c>
      <c r="AQ58" s="338">
        <f t="shared" si="261"/>
        <v>0</v>
      </c>
      <c r="AR58" s="338">
        <f t="shared" si="261"/>
        <v>0</v>
      </c>
      <c r="AS58" s="338">
        <f t="shared" si="261"/>
        <v>0</v>
      </c>
      <c r="AT58" s="338">
        <f t="shared" si="261"/>
        <v>0</v>
      </c>
      <c r="AU58" s="338">
        <f t="shared" si="261"/>
        <v>0</v>
      </c>
      <c r="AV58" s="338">
        <f t="shared" si="261"/>
        <v>0</v>
      </c>
      <c r="AW58" s="339">
        <f>SUM(AK58:AM58)</f>
        <v>0</v>
      </c>
      <c r="AX58" s="339">
        <f>SUM(AN58:AP58)</f>
        <v>0</v>
      </c>
      <c r="AY58" s="339">
        <f>SUM(AQ58:AS58)</f>
        <v>0</v>
      </c>
      <c r="AZ58" s="339">
        <f>SUM(AT58:AV58)</f>
        <v>0</v>
      </c>
      <c r="BA58" s="339">
        <f>AW58+AX58+AY58+AZ58</f>
        <v>0</v>
      </c>
      <c r="BB58" s="338"/>
      <c r="BC58" s="338">
        <f t="shared" ref="BC58:BM58" si="262">BB58</f>
        <v>0</v>
      </c>
      <c r="BD58" s="338">
        <f t="shared" si="262"/>
        <v>0</v>
      </c>
      <c r="BE58" s="338">
        <f t="shared" si="262"/>
        <v>0</v>
      </c>
      <c r="BF58" s="338">
        <f t="shared" si="262"/>
        <v>0</v>
      </c>
      <c r="BG58" s="338">
        <f t="shared" si="262"/>
        <v>0</v>
      </c>
      <c r="BH58" s="338">
        <f t="shared" si="262"/>
        <v>0</v>
      </c>
      <c r="BI58" s="338">
        <f t="shared" si="262"/>
        <v>0</v>
      </c>
      <c r="BJ58" s="338">
        <f t="shared" si="262"/>
        <v>0</v>
      </c>
      <c r="BK58" s="338">
        <f t="shared" si="262"/>
        <v>0</v>
      </c>
      <c r="BL58" s="338">
        <f t="shared" si="262"/>
        <v>0</v>
      </c>
      <c r="BM58" s="338">
        <f t="shared" si="262"/>
        <v>0</v>
      </c>
      <c r="BN58" s="339">
        <f>SUM(BB58:BD58)</f>
        <v>0</v>
      </c>
      <c r="BO58" s="339">
        <f>SUM(BE58:BG58)</f>
        <v>0</v>
      </c>
      <c r="BP58" s="339">
        <f>SUM(BH58:BJ58)</f>
        <v>0</v>
      </c>
      <c r="BQ58" s="339">
        <f>SUM(BK58:BM58)</f>
        <v>0</v>
      </c>
      <c r="BR58" s="339">
        <f>BN58+BO58+BP58+BQ58</f>
        <v>0</v>
      </c>
    </row>
    <row r="59" spans="1:71" ht="18.75">
      <c r="A59" s="1027"/>
      <c r="B59" s="759" t="s">
        <v>1256</v>
      </c>
      <c r="C59" s="338">
        <f t="shared" ref="C59:N59" si="263">T59+AK59+BB59</f>
        <v>201340</v>
      </c>
      <c r="D59" s="338">
        <f t="shared" si="263"/>
        <v>201340</v>
      </c>
      <c r="E59" s="338">
        <f t="shared" si="263"/>
        <v>201340</v>
      </c>
      <c r="F59" s="338">
        <f t="shared" si="263"/>
        <v>201340</v>
      </c>
      <c r="G59" s="338">
        <f t="shared" si="263"/>
        <v>201340</v>
      </c>
      <c r="H59" s="338">
        <f t="shared" si="263"/>
        <v>201340</v>
      </c>
      <c r="I59" s="338">
        <f t="shared" si="263"/>
        <v>201340</v>
      </c>
      <c r="J59" s="338">
        <f t="shared" si="263"/>
        <v>201340</v>
      </c>
      <c r="K59" s="338">
        <f t="shared" si="263"/>
        <v>201340</v>
      </c>
      <c r="L59" s="338">
        <f t="shared" si="263"/>
        <v>201340</v>
      </c>
      <c r="M59" s="338">
        <f t="shared" si="263"/>
        <v>201340</v>
      </c>
      <c r="N59" s="338">
        <f t="shared" si="263"/>
        <v>201340</v>
      </c>
      <c r="O59" s="414">
        <f>SUM(C59:E59)</f>
        <v>604020</v>
      </c>
      <c r="P59" s="414">
        <f>SUM(F59:H59)</f>
        <v>604020</v>
      </c>
      <c r="Q59" s="414">
        <f>SUM(I59:K59)</f>
        <v>604020</v>
      </c>
      <c r="R59" s="414">
        <f>SUM(L59:N59)</f>
        <v>604020</v>
      </c>
      <c r="S59" s="414">
        <f>O59+P59+Q59+R59</f>
        <v>2416080</v>
      </c>
      <c r="T59" s="332"/>
      <c r="U59" s="338">
        <f t="shared" ref="U59:AE59" si="264">T59</f>
        <v>0</v>
      </c>
      <c r="V59" s="338">
        <f t="shared" si="264"/>
        <v>0</v>
      </c>
      <c r="W59" s="338">
        <f t="shared" si="264"/>
        <v>0</v>
      </c>
      <c r="X59" s="338">
        <f t="shared" si="264"/>
        <v>0</v>
      </c>
      <c r="Y59" s="338">
        <f t="shared" si="264"/>
        <v>0</v>
      </c>
      <c r="Z59" s="338">
        <f t="shared" si="264"/>
        <v>0</v>
      </c>
      <c r="AA59" s="338">
        <f t="shared" si="264"/>
        <v>0</v>
      </c>
      <c r="AB59" s="338">
        <f t="shared" si="264"/>
        <v>0</v>
      </c>
      <c r="AC59" s="338">
        <f t="shared" si="264"/>
        <v>0</v>
      </c>
      <c r="AD59" s="338">
        <f t="shared" si="264"/>
        <v>0</v>
      </c>
      <c r="AE59" s="338">
        <f t="shared" si="264"/>
        <v>0</v>
      </c>
      <c r="AF59" s="339">
        <f>SUM(T59:V59)</f>
        <v>0</v>
      </c>
      <c r="AG59" s="339">
        <f>SUM(W59:Y59)</f>
        <v>0</v>
      </c>
      <c r="AH59" s="339">
        <f>SUM(Z59:AB59)</f>
        <v>0</v>
      </c>
      <c r="AI59" s="339">
        <f>SUM(AC59:AE59)</f>
        <v>0</v>
      </c>
      <c r="AJ59" s="339">
        <f>AF59+AG59+AH59+AI59</f>
        <v>0</v>
      </c>
      <c r="AK59" s="338">
        <f>201340</f>
        <v>201340</v>
      </c>
      <c r="AL59" s="338">
        <f t="shared" ref="AL59:AV59" si="265">AK59</f>
        <v>201340</v>
      </c>
      <c r="AM59" s="338">
        <f t="shared" si="265"/>
        <v>201340</v>
      </c>
      <c r="AN59" s="338">
        <f t="shared" si="265"/>
        <v>201340</v>
      </c>
      <c r="AO59" s="338">
        <f t="shared" si="265"/>
        <v>201340</v>
      </c>
      <c r="AP59" s="338">
        <f t="shared" si="265"/>
        <v>201340</v>
      </c>
      <c r="AQ59" s="338">
        <f t="shared" si="265"/>
        <v>201340</v>
      </c>
      <c r="AR59" s="338">
        <f t="shared" si="265"/>
        <v>201340</v>
      </c>
      <c r="AS59" s="338">
        <f t="shared" si="265"/>
        <v>201340</v>
      </c>
      <c r="AT59" s="338">
        <f t="shared" si="265"/>
        <v>201340</v>
      </c>
      <c r="AU59" s="338">
        <f t="shared" si="265"/>
        <v>201340</v>
      </c>
      <c r="AV59" s="338">
        <f t="shared" si="265"/>
        <v>201340</v>
      </c>
      <c r="AW59" s="339">
        <f>SUM(AK59:AM59)</f>
        <v>604020</v>
      </c>
      <c r="AX59" s="339">
        <f>SUM(AN59:AP59)</f>
        <v>604020</v>
      </c>
      <c r="AY59" s="339">
        <f>SUM(AQ59:AS59)</f>
        <v>604020</v>
      </c>
      <c r="AZ59" s="339">
        <f>SUM(AT59:AV59)</f>
        <v>604020</v>
      </c>
      <c r="BA59" s="339">
        <f>AW59+AX59+AY59+AZ59</f>
        <v>2416080</v>
      </c>
      <c r="BB59" s="338"/>
      <c r="BC59" s="338">
        <f t="shared" ref="BC59:BM59" si="266">BB59</f>
        <v>0</v>
      </c>
      <c r="BD59" s="338">
        <f t="shared" si="266"/>
        <v>0</v>
      </c>
      <c r="BE59" s="338">
        <f t="shared" si="266"/>
        <v>0</v>
      </c>
      <c r="BF59" s="338">
        <f t="shared" si="266"/>
        <v>0</v>
      </c>
      <c r="BG59" s="338">
        <f t="shared" si="266"/>
        <v>0</v>
      </c>
      <c r="BH59" s="338">
        <f t="shared" si="266"/>
        <v>0</v>
      </c>
      <c r="BI59" s="338">
        <f t="shared" si="266"/>
        <v>0</v>
      </c>
      <c r="BJ59" s="338">
        <f t="shared" si="266"/>
        <v>0</v>
      </c>
      <c r="BK59" s="338">
        <f t="shared" si="266"/>
        <v>0</v>
      </c>
      <c r="BL59" s="338">
        <f t="shared" si="266"/>
        <v>0</v>
      </c>
      <c r="BM59" s="338">
        <f t="shared" si="266"/>
        <v>0</v>
      </c>
      <c r="BN59" s="339">
        <f>SUM(BB59:BD59)</f>
        <v>0</v>
      </c>
      <c r="BO59" s="339">
        <f>SUM(BE59:BG59)</f>
        <v>0</v>
      </c>
      <c r="BP59" s="339">
        <f>SUM(BH59:BJ59)</f>
        <v>0</v>
      </c>
      <c r="BQ59" s="339">
        <f>SUM(BK59:BM59)</f>
        <v>0</v>
      </c>
      <c r="BR59" s="339">
        <f>BN59+BO59+BP59+BQ59</f>
        <v>0</v>
      </c>
    </row>
    <row r="60" spans="1:71">
      <c r="A60" s="1023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410"/>
      <c r="P60" s="410"/>
      <c r="Q60" s="410"/>
      <c r="R60" s="410"/>
      <c r="S60" s="410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</row>
  </sheetData>
  <phoneticPr fontId="73" type="noConversion"/>
  <conditionalFormatting sqref="C3:S59">
    <cfRule type="cellIs" dxfId="995" priority="993" operator="lessThan">
      <formula>0</formula>
    </cfRule>
  </conditionalFormatting>
  <conditionalFormatting sqref="C23:C24 D24:S24">
    <cfRule type="cellIs" dxfId="994" priority="992" operator="lessThan">
      <formula>0</formula>
    </cfRule>
  </conditionalFormatting>
  <conditionalFormatting sqref="C50:C51 D32:R32 D37:R37 C54:R54 C8:R9 C3:R4 C32:C37 C57:C59 O3:S59">
    <cfRule type="cellIs" dxfId="993" priority="991" operator="lessThan">
      <formula>0</formula>
    </cfRule>
  </conditionalFormatting>
  <conditionalFormatting sqref="C19:C22">
    <cfRule type="cellIs" dxfId="992" priority="990" operator="lessThan">
      <formula>0</formula>
    </cfRule>
  </conditionalFormatting>
  <conditionalFormatting sqref="D31:R31 C25:C31">
    <cfRule type="cellIs" dxfId="991" priority="989" operator="lessThan">
      <formula>0</formula>
    </cfRule>
  </conditionalFormatting>
  <conditionalFormatting sqref="C5:R7">
    <cfRule type="cellIs" dxfId="990" priority="988" operator="lessThan">
      <formula>0</formula>
    </cfRule>
  </conditionalFormatting>
  <conditionalFormatting sqref="C16:C18">
    <cfRule type="cellIs" dxfId="989" priority="987" operator="lessThan">
      <formula>0</formula>
    </cfRule>
  </conditionalFormatting>
  <conditionalFormatting sqref="C10:C23">
    <cfRule type="cellIs" dxfId="988" priority="986" operator="lessThan">
      <formula>0</formula>
    </cfRule>
  </conditionalFormatting>
  <conditionalFormatting sqref="C55:C59">
    <cfRule type="cellIs" dxfId="987" priority="985" operator="lessThan">
      <formula>0</formula>
    </cfRule>
  </conditionalFormatting>
  <conditionalFormatting sqref="C52">
    <cfRule type="cellIs" dxfId="986" priority="984" operator="lessThan">
      <formula>0</formula>
    </cfRule>
  </conditionalFormatting>
  <conditionalFormatting sqref="C53">
    <cfRule type="cellIs" dxfId="985" priority="983" operator="lessThan">
      <formula>0</formula>
    </cfRule>
  </conditionalFormatting>
  <conditionalFormatting sqref="C38:C53">
    <cfRule type="cellIs" dxfId="984" priority="982" operator="lessThan">
      <formula>0</formula>
    </cfRule>
  </conditionalFormatting>
  <conditionalFormatting sqref="C49">
    <cfRule type="cellIs" dxfId="983" priority="981" operator="lessThan">
      <formula>0</formula>
    </cfRule>
  </conditionalFormatting>
  <conditionalFormatting sqref="C10:R23">
    <cfRule type="cellIs" dxfId="982" priority="980" operator="lessThan">
      <formula>0</formula>
    </cfRule>
  </conditionalFormatting>
  <conditionalFormatting sqref="C21">
    <cfRule type="cellIs" dxfId="981" priority="979" operator="lessThan">
      <formula>0</formula>
    </cfRule>
  </conditionalFormatting>
  <conditionalFormatting sqref="C21:R21">
    <cfRule type="cellIs" dxfId="980" priority="978" operator="lessThan">
      <formula>0</formula>
    </cfRule>
  </conditionalFormatting>
  <conditionalFormatting sqref="C22">
    <cfRule type="cellIs" dxfId="979" priority="977" operator="lessThan">
      <formula>0</formula>
    </cfRule>
  </conditionalFormatting>
  <conditionalFormatting sqref="C22:R22">
    <cfRule type="cellIs" dxfId="978" priority="976" operator="lessThan">
      <formula>0</formula>
    </cfRule>
  </conditionalFormatting>
  <conditionalFormatting sqref="C23">
    <cfRule type="cellIs" dxfId="977" priority="975" operator="lessThan">
      <formula>0</formula>
    </cfRule>
  </conditionalFormatting>
  <conditionalFormatting sqref="C23">
    <cfRule type="cellIs" dxfId="976" priority="974" operator="lessThan">
      <formula>0</formula>
    </cfRule>
  </conditionalFormatting>
  <conditionalFormatting sqref="C23:R23">
    <cfRule type="cellIs" dxfId="975" priority="973" operator="lessThan">
      <formula>0</formula>
    </cfRule>
  </conditionalFormatting>
  <conditionalFormatting sqref="C25:C31">
    <cfRule type="cellIs" dxfId="974" priority="972" operator="lessThan">
      <formula>0</formula>
    </cfRule>
  </conditionalFormatting>
  <conditionalFormatting sqref="C25:C31">
    <cfRule type="cellIs" dxfId="973" priority="971" operator="lessThan">
      <formula>0</formula>
    </cfRule>
  </conditionalFormatting>
  <conditionalFormatting sqref="C25:R31">
    <cfRule type="cellIs" dxfId="972" priority="970" operator="lessThan">
      <formula>0</formula>
    </cfRule>
  </conditionalFormatting>
  <conditionalFormatting sqref="C33:R36">
    <cfRule type="cellIs" dxfId="971" priority="969" operator="lessThan">
      <formula>0</formula>
    </cfRule>
  </conditionalFormatting>
  <conditionalFormatting sqref="C33:C36">
    <cfRule type="cellIs" dxfId="970" priority="968" operator="lessThan">
      <formula>0</formula>
    </cfRule>
  </conditionalFormatting>
  <conditionalFormatting sqref="C33:C36">
    <cfRule type="cellIs" dxfId="969" priority="967" operator="lessThan">
      <formula>0</formula>
    </cfRule>
  </conditionalFormatting>
  <conditionalFormatting sqref="C33:R36">
    <cfRule type="cellIs" dxfId="968" priority="966" operator="lessThan">
      <formula>0</formula>
    </cfRule>
  </conditionalFormatting>
  <conditionalFormatting sqref="C38:C53">
    <cfRule type="cellIs" dxfId="967" priority="965" operator="lessThan">
      <formula>0</formula>
    </cfRule>
  </conditionalFormatting>
  <conditionalFormatting sqref="C38:R53">
    <cfRule type="cellIs" dxfId="966" priority="964" operator="lessThan">
      <formula>0</formula>
    </cfRule>
  </conditionalFormatting>
  <conditionalFormatting sqref="C38:C53">
    <cfRule type="cellIs" dxfId="965" priority="963" operator="lessThan">
      <formula>0</formula>
    </cfRule>
  </conditionalFormatting>
  <conditionalFormatting sqref="C38:C53">
    <cfRule type="cellIs" dxfId="964" priority="962" operator="lessThan">
      <formula>0</formula>
    </cfRule>
  </conditionalFormatting>
  <conditionalFormatting sqref="C38:R53">
    <cfRule type="cellIs" dxfId="963" priority="961" operator="lessThan">
      <formula>0</formula>
    </cfRule>
  </conditionalFormatting>
  <conditionalFormatting sqref="C55:C59">
    <cfRule type="cellIs" dxfId="962" priority="960" operator="lessThan">
      <formula>0</formula>
    </cfRule>
  </conditionalFormatting>
  <conditionalFormatting sqref="C55:C59">
    <cfRule type="cellIs" dxfId="961" priority="959" operator="lessThan">
      <formula>0</formula>
    </cfRule>
  </conditionalFormatting>
  <conditionalFormatting sqref="C55:C59">
    <cfRule type="cellIs" dxfId="960" priority="958" operator="lessThan">
      <formula>0</formula>
    </cfRule>
  </conditionalFormatting>
  <conditionalFormatting sqref="C55:R59">
    <cfRule type="cellIs" dxfId="959" priority="957" operator="lessThan">
      <formula>0</formula>
    </cfRule>
  </conditionalFormatting>
  <conditionalFormatting sqref="C55:C59">
    <cfRule type="cellIs" dxfId="958" priority="956" operator="lessThan">
      <formula>0</formula>
    </cfRule>
  </conditionalFormatting>
  <conditionalFormatting sqref="C55:C59">
    <cfRule type="cellIs" dxfId="957" priority="955" operator="lessThan">
      <formula>0</formula>
    </cfRule>
  </conditionalFormatting>
  <conditionalFormatting sqref="C55:R59">
    <cfRule type="cellIs" dxfId="956" priority="954" operator="lessThan">
      <formula>0</formula>
    </cfRule>
  </conditionalFormatting>
  <conditionalFormatting sqref="C3:S3">
    <cfRule type="cellIs" dxfId="955" priority="953" operator="lessThan">
      <formula>0</formula>
    </cfRule>
  </conditionalFormatting>
  <conditionalFormatting sqref="C3:S3">
    <cfRule type="cellIs" dxfId="954" priority="952" operator="lessThan">
      <formula>0</formula>
    </cfRule>
  </conditionalFormatting>
  <conditionalFormatting sqref="Q10:R23">
    <cfRule type="cellIs" dxfId="953" priority="951" operator="lessThan">
      <formula>0</formula>
    </cfRule>
  </conditionalFormatting>
  <conditionalFormatting sqref="Q25:R31">
    <cfRule type="cellIs" dxfId="952" priority="950" operator="lessThan">
      <formula>0</formula>
    </cfRule>
  </conditionalFormatting>
  <conditionalFormatting sqref="Q25:R31">
    <cfRule type="cellIs" dxfId="951" priority="949" operator="lessThan">
      <formula>0</formula>
    </cfRule>
  </conditionalFormatting>
  <conditionalFormatting sqref="Q25:R31">
    <cfRule type="cellIs" dxfId="950" priority="948" operator="lessThan">
      <formula>0</formula>
    </cfRule>
  </conditionalFormatting>
  <conditionalFormatting sqref="Q33:R36">
    <cfRule type="cellIs" dxfId="949" priority="947" operator="lessThan">
      <formula>0</formula>
    </cfRule>
  </conditionalFormatting>
  <conditionalFormatting sqref="Q33:R36">
    <cfRule type="cellIs" dxfId="948" priority="946" operator="lessThan">
      <formula>0</formula>
    </cfRule>
  </conditionalFormatting>
  <conditionalFormatting sqref="Q33:R36">
    <cfRule type="cellIs" dxfId="947" priority="945" operator="lessThan">
      <formula>0</formula>
    </cfRule>
  </conditionalFormatting>
  <conditionalFormatting sqref="Q33:R36">
    <cfRule type="cellIs" dxfId="946" priority="944" operator="lessThan">
      <formula>0</formula>
    </cfRule>
  </conditionalFormatting>
  <conditionalFormatting sqref="Q33:R36">
    <cfRule type="cellIs" dxfId="945" priority="943" operator="lessThan">
      <formula>0</formula>
    </cfRule>
  </conditionalFormatting>
  <conditionalFormatting sqref="Q38:R53">
    <cfRule type="cellIs" dxfId="944" priority="942" operator="lessThan">
      <formula>0</formula>
    </cfRule>
  </conditionalFormatting>
  <conditionalFormatting sqref="Q38:R53">
    <cfRule type="cellIs" dxfId="943" priority="941" operator="lessThan">
      <formula>0</formula>
    </cfRule>
  </conditionalFormatting>
  <conditionalFormatting sqref="Q38:R53">
    <cfRule type="cellIs" dxfId="942" priority="940" operator="lessThan">
      <formula>0</formula>
    </cfRule>
  </conditionalFormatting>
  <conditionalFormatting sqref="Q38:R53">
    <cfRule type="cellIs" dxfId="941" priority="939" operator="lessThan">
      <formula>0</formula>
    </cfRule>
  </conditionalFormatting>
  <conditionalFormatting sqref="Q38:R53">
    <cfRule type="cellIs" dxfId="940" priority="938" operator="lessThan">
      <formula>0</formula>
    </cfRule>
  </conditionalFormatting>
  <conditionalFormatting sqref="Q38:R53">
    <cfRule type="cellIs" dxfId="939" priority="937" operator="lessThan">
      <formula>0</formula>
    </cfRule>
  </conditionalFormatting>
  <conditionalFormatting sqref="Q38:R53">
    <cfRule type="cellIs" dxfId="938" priority="936" operator="lessThan">
      <formula>0</formula>
    </cfRule>
  </conditionalFormatting>
  <conditionalFormatting sqref="Q55:R59">
    <cfRule type="cellIs" dxfId="937" priority="935" operator="lessThan">
      <formula>0</formula>
    </cfRule>
  </conditionalFormatting>
  <conditionalFormatting sqref="Q55:R59">
    <cfRule type="cellIs" dxfId="936" priority="934" operator="lessThan">
      <formula>0</formula>
    </cfRule>
  </conditionalFormatting>
  <conditionalFormatting sqref="Q55:R59">
    <cfRule type="cellIs" dxfId="935" priority="933" operator="lessThan">
      <formula>0</formula>
    </cfRule>
  </conditionalFormatting>
  <conditionalFormatting sqref="Q55:R59">
    <cfRule type="cellIs" dxfId="934" priority="932" operator="lessThan">
      <formula>0</formula>
    </cfRule>
  </conditionalFormatting>
  <conditionalFormatting sqref="Q55:R59">
    <cfRule type="cellIs" dxfId="933" priority="931" operator="lessThan">
      <formula>0</formula>
    </cfRule>
  </conditionalFormatting>
  <conditionalFormatting sqref="Q55:R59">
    <cfRule type="cellIs" dxfId="932" priority="930" operator="lessThan">
      <formula>0</formula>
    </cfRule>
  </conditionalFormatting>
  <conditionalFormatting sqref="Q55:R59">
    <cfRule type="cellIs" dxfId="931" priority="929" operator="lessThan">
      <formula>0</formula>
    </cfRule>
  </conditionalFormatting>
  <conditionalFormatting sqref="Q55:R59">
    <cfRule type="cellIs" dxfId="930" priority="928" operator="lessThan">
      <formula>0</formula>
    </cfRule>
  </conditionalFormatting>
  <conditionalFormatting sqref="Q55:R59">
    <cfRule type="cellIs" dxfId="929" priority="927" operator="lessThan">
      <formula>0</formula>
    </cfRule>
  </conditionalFormatting>
  <conditionalFormatting sqref="O10:P23">
    <cfRule type="cellIs" dxfId="928" priority="926" operator="lessThan">
      <formula>0</formula>
    </cfRule>
  </conditionalFormatting>
  <conditionalFormatting sqref="O25:P31">
    <cfRule type="cellIs" dxfId="927" priority="925" operator="lessThan">
      <formula>0</formula>
    </cfRule>
  </conditionalFormatting>
  <conditionalFormatting sqref="O25:P31">
    <cfRule type="cellIs" dxfId="926" priority="924" operator="lessThan">
      <formula>0</formula>
    </cfRule>
  </conditionalFormatting>
  <conditionalFormatting sqref="O25:P31">
    <cfRule type="cellIs" dxfId="925" priority="923" operator="lessThan">
      <formula>0</formula>
    </cfRule>
  </conditionalFormatting>
  <conditionalFormatting sqref="O33:P36">
    <cfRule type="cellIs" dxfId="924" priority="922" operator="lessThan">
      <formula>0</formula>
    </cfRule>
  </conditionalFormatting>
  <conditionalFormatting sqref="O33:P36">
    <cfRule type="cellIs" dxfId="923" priority="921" operator="lessThan">
      <formula>0</formula>
    </cfRule>
  </conditionalFormatting>
  <conditionalFormatting sqref="O33:P36">
    <cfRule type="cellIs" dxfId="922" priority="920" operator="lessThan">
      <formula>0</formula>
    </cfRule>
  </conditionalFormatting>
  <conditionalFormatting sqref="O33:P36">
    <cfRule type="cellIs" dxfId="921" priority="919" operator="lessThan">
      <formula>0</formula>
    </cfRule>
  </conditionalFormatting>
  <conditionalFormatting sqref="O33:P36">
    <cfRule type="cellIs" dxfId="920" priority="918" operator="lessThan">
      <formula>0</formula>
    </cfRule>
  </conditionalFormatting>
  <conditionalFormatting sqref="O38:P53">
    <cfRule type="cellIs" dxfId="919" priority="917" operator="lessThan">
      <formula>0</formula>
    </cfRule>
  </conditionalFormatting>
  <conditionalFormatting sqref="O38:P53">
    <cfRule type="cellIs" dxfId="918" priority="916" operator="lessThan">
      <formula>0</formula>
    </cfRule>
  </conditionalFormatting>
  <conditionalFormatting sqref="O38:P53">
    <cfRule type="cellIs" dxfId="917" priority="915" operator="lessThan">
      <formula>0</formula>
    </cfRule>
  </conditionalFormatting>
  <conditionalFormatting sqref="O38:P53">
    <cfRule type="cellIs" dxfId="916" priority="914" operator="lessThan">
      <formula>0</formula>
    </cfRule>
  </conditionalFormatting>
  <conditionalFormatting sqref="O38:P53">
    <cfRule type="cellIs" dxfId="915" priority="913" operator="lessThan">
      <formula>0</formula>
    </cfRule>
  </conditionalFormatting>
  <conditionalFormatting sqref="O38:P53">
    <cfRule type="cellIs" dxfId="914" priority="912" operator="lessThan">
      <formula>0</formula>
    </cfRule>
  </conditionalFormatting>
  <conditionalFormatting sqref="O38:P53">
    <cfRule type="cellIs" dxfId="913" priority="911" operator="lessThan">
      <formula>0</formula>
    </cfRule>
  </conditionalFormatting>
  <conditionalFormatting sqref="O55:P59">
    <cfRule type="cellIs" dxfId="912" priority="910" operator="lessThan">
      <formula>0</formula>
    </cfRule>
  </conditionalFormatting>
  <conditionalFormatting sqref="O55:P59">
    <cfRule type="cellIs" dxfId="911" priority="909" operator="lessThan">
      <formula>0</formula>
    </cfRule>
  </conditionalFormatting>
  <conditionalFormatting sqref="O55:P59">
    <cfRule type="cellIs" dxfId="910" priority="908" operator="lessThan">
      <formula>0</formula>
    </cfRule>
  </conditionalFormatting>
  <conditionalFormatting sqref="O55:P59">
    <cfRule type="cellIs" dxfId="909" priority="907" operator="lessThan">
      <formula>0</formula>
    </cfRule>
  </conditionalFormatting>
  <conditionalFormatting sqref="O55:P59">
    <cfRule type="cellIs" dxfId="908" priority="906" operator="lessThan">
      <formula>0</formula>
    </cfRule>
  </conditionalFormatting>
  <conditionalFormatting sqref="O55:P59">
    <cfRule type="cellIs" dxfId="907" priority="905" operator="lessThan">
      <formula>0</formula>
    </cfRule>
  </conditionalFormatting>
  <conditionalFormatting sqref="O55:P59">
    <cfRule type="cellIs" dxfId="906" priority="904" operator="lessThan">
      <formula>0</formula>
    </cfRule>
  </conditionalFormatting>
  <conditionalFormatting sqref="O55:P59">
    <cfRule type="cellIs" dxfId="905" priority="903" operator="lessThan">
      <formula>0</formula>
    </cfRule>
  </conditionalFormatting>
  <conditionalFormatting sqref="O55:P59">
    <cfRule type="cellIs" dxfId="904" priority="902" operator="lessThan">
      <formula>0</formula>
    </cfRule>
  </conditionalFormatting>
  <conditionalFormatting sqref="O10:R23">
    <cfRule type="cellIs" dxfId="903" priority="901" operator="lessThan">
      <formula>0</formula>
    </cfRule>
  </conditionalFormatting>
  <conditionalFormatting sqref="O25:R31">
    <cfRule type="cellIs" dxfId="902" priority="900" operator="lessThan">
      <formula>0</formula>
    </cfRule>
  </conditionalFormatting>
  <conditionalFormatting sqref="O25:R31">
    <cfRule type="cellIs" dxfId="901" priority="899" operator="lessThan">
      <formula>0</formula>
    </cfRule>
  </conditionalFormatting>
  <conditionalFormatting sqref="Q25:R31">
    <cfRule type="cellIs" dxfId="900" priority="898" operator="lessThan">
      <formula>0</formula>
    </cfRule>
  </conditionalFormatting>
  <conditionalFormatting sqref="O25:P31">
    <cfRule type="cellIs" dxfId="899" priority="897" operator="lessThan">
      <formula>0</formula>
    </cfRule>
  </conditionalFormatting>
  <conditionalFormatting sqref="O25:R31">
    <cfRule type="cellIs" dxfId="898" priority="896" operator="lessThan">
      <formula>0</formula>
    </cfRule>
  </conditionalFormatting>
  <conditionalFormatting sqref="O33:R36">
    <cfRule type="cellIs" dxfId="897" priority="895" operator="lessThan">
      <formula>0</formula>
    </cfRule>
  </conditionalFormatting>
  <conditionalFormatting sqref="O33:R36">
    <cfRule type="cellIs" dxfId="896" priority="894" operator="lessThan">
      <formula>0</formula>
    </cfRule>
  </conditionalFormatting>
  <conditionalFormatting sqref="Q33:R36">
    <cfRule type="cellIs" dxfId="895" priority="893" operator="lessThan">
      <formula>0</formula>
    </cfRule>
  </conditionalFormatting>
  <conditionalFormatting sqref="Q33:R36">
    <cfRule type="cellIs" dxfId="894" priority="892" operator="lessThan">
      <formula>0</formula>
    </cfRule>
  </conditionalFormatting>
  <conditionalFormatting sqref="Q33:R36">
    <cfRule type="cellIs" dxfId="893" priority="891" operator="lessThan">
      <formula>0</formula>
    </cfRule>
  </conditionalFormatting>
  <conditionalFormatting sqref="O33:P36">
    <cfRule type="cellIs" dxfId="892" priority="890" operator="lessThan">
      <formula>0</formula>
    </cfRule>
  </conditionalFormatting>
  <conditionalFormatting sqref="O33:P36">
    <cfRule type="cellIs" dxfId="891" priority="889" operator="lessThan">
      <formula>0</formula>
    </cfRule>
  </conditionalFormatting>
  <conditionalFormatting sqref="O33:P36">
    <cfRule type="cellIs" dxfId="890" priority="888" operator="lessThan">
      <formula>0</formula>
    </cfRule>
  </conditionalFormatting>
  <conditionalFormatting sqref="O33:R36">
    <cfRule type="cellIs" dxfId="889" priority="887" operator="lessThan">
      <formula>0</formula>
    </cfRule>
  </conditionalFormatting>
  <conditionalFormatting sqref="O33:R36">
    <cfRule type="cellIs" dxfId="888" priority="886" operator="lessThan">
      <formula>0</formula>
    </cfRule>
  </conditionalFormatting>
  <conditionalFormatting sqref="Q33:R36">
    <cfRule type="cellIs" dxfId="887" priority="885" operator="lessThan">
      <formula>0</formula>
    </cfRule>
  </conditionalFormatting>
  <conditionalFormatting sqref="O33:P36">
    <cfRule type="cellIs" dxfId="886" priority="884" operator="lessThan">
      <formula>0</formula>
    </cfRule>
  </conditionalFormatting>
  <conditionalFormatting sqref="O33:R36">
    <cfRule type="cellIs" dxfId="885" priority="883" operator="lessThan">
      <formula>0</formula>
    </cfRule>
  </conditionalFormatting>
  <conditionalFormatting sqref="O38:R53">
    <cfRule type="cellIs" dxfId="884" priority="882" operator="lessThan">
      <formula>0</formula>
    </cfRule>
  </conditionalFormatting>
  <conditionalFormatting sqref="O38:R53">
    <cfRule type="cellIs" dxfId="883" priority="881" operator="lessThan">
      <formula>0</formula>
    </cfRule>
  </conditionalFormatting>
  <conditionalFormatting sqref="Q38:R53">
    <cfRule type="cellIs" dxfId="882" priority="880" operator="lessThan">
      <formula>0</formula>
    </cfRule>
  </conditionalFormatting>
  <conditionalFormatting sqref="Q38:R53">
    <cfRule type="cellIs" dxfId="881" priority="879" operator="lessThan">
      <formula>0</formula>
    </cfRule>
  </conditionalFormatting>
  <conditionalFormatting sqref="Q38:R53">
    <cfRule type="cellIs" dxfId="880" priority="878" operator="lessThan">
      <formula>0</formula>
    </cfRule>
  </conditionalFormatting>
  <conditionalFormatting sqref="Q38:R53">
    <cfRule type="cellIs" dxfId="879" priority="877" operator="lessThan">
      <formula>0</formula>
    </cfRule>
  </conditionalFormatting>
  <conditionalFormatting sqref="Q38:R53">
    <cfRule type="cellIs" dxfId="878" priority="876" operator="lessThan">
      <formula>0</formula>
    </cfRule>
  </conditionalFormatting>
  <conditionalFormatting sqref="O38:P53">
    <cfRule type="cellIs" dxfId="877" priority="875" operator="lessThan">
      <formula>0</formula>
    </cfRule>
  </conditionalFormatting>
  <conditionalFormatting sqref="O38:P53">
    <cfRule type="cellIs" dxfId="876" priority="874" operator="lessThan">
      <formula>0</formula>
    </cfRule>
  </conditionalFormatting>
  <conditionalFormatting sqref="O38:P53">
    <cfRule type="cellIs" dxfId="875" priority="873" operator="lessThan">
      <formula>0</formula>
    </cfRule>
  </conditionalFormatting>
  <conditionalFormatting sqref="O38:P53">
    <cfRule type="cellIs" dxfId="874" priority="872" operator="lessThan">
      <formula>0</formula>
    </cfRule>
  </conditionalFormatting>
  <conditionalFormatting sqref="O38:P53">
    <cfRule type="cellIs" dxfId="873" priority="871" operator="lessThan">
      <formula>0</formula>
    </cfRule>
  </conditionalFormatting>
  <conditionalFormatting sqref="O38:R53">
    <cfRule type="cellIs" dxfId="872" priority="870" operator="lessThan">
      <formula>0</formula>
    </cfRule>
  </conditionalFormatting>
  <conditionalFormatting sqref="O38:R53">
    <cfRule type="cellIs" dxfId="871" priority="869" operator="lessThan">
      <formula>0</formula>
    </cfRule>
  </conditionalFormatting>
  <conditionalFormatting sqref="Q38:R53">
    <cfRule type="cellIs" dxfId="870" priority="868" operator="lessThan">
      <formula>0</formula>
    </cfRule>
  </conditionalFormatting>
  <conditionalFormatting sqref="Q38:R53">
    <cfRule type="cellIs" dxfId="869" priority="867" operator="lessThan">
      <formula>0</formula>
    </cfRule>
  </conditionalFormatting>
  <conditionalFormatting sqref="Q38:R53">
    <cfRule type="cellIs" dxfId="868" priority="866" operator="lessThan">
      <formula>0</formula>
    </cfRule>
  </conditionalFormatting>
  <conditionalFormatting sqref="O38:P53">
    <cfRule type="cellIs" dxfId="867" priority="865" operator="lessThan">
      <formula>0</formula>
    </cfRule>
  </conditionalFormatting>
  <conditionalFormatting sqref="O38:P53">
    <cfRule type="cellIs" dxfId="866" priority="864" operator="lessThan">
      <formula>0</formula>
    </cfRule>
  </conditionalFormatting>
  <conditionalFormatting sqref="O38:P53">
    <cfRule type="cellIs" dxfId="865" priority="863" operator="lessThan">
      <formula>0</formula>
    </cfRule>
  </conditionalFormatting>
  <conditionalFormatting sqref="O38:R53">
    <cfRule type="cellIs" dxfId="864" priority="862" operator="lessThan">
      <formula>0</formula>
    </cfRule>
  </conditionalFormatting>
  <conditionalFormatting sqref="O38:R53">
    <cfRule type="cellIs" dxfId="863" priority="861" operator="lessThan">
      <formula>0</formula>
    </cfRule>
  </conditionalFormatting>
  <conditionalFormatting sqref="Q38:R53">
    <cfRule type="cellIs" dxfId="862" priority="860" operator="lessThan">
      <formula>0</formula>
    </cfRule>
  </conditionalFormatting>
  <conditionalFormatting sqref="O38:P53">
    <cfRule type="cellIs" dxfId="861" priority="859" operator="lessThan">
      <formula>0</formula>
    </cfRule>
  </conditionalFormatting>
  <conditionalFormatting sqref="O38:R53">
    <cfRule type="cellIs" dxfId="860" priority="858" operator="lessThan">
      <formula>0</formula>
    </cfRule>
  </conditionalFormatting>
  <conditionalFormatting sqref="O55:R59">
    <cfRule type="cellIs" dxfId="859" priority="857" operator="lessThan">
      <formula>0</formula>
    </cfRule>
  </conditionalFormatting>
  <conditionalFormatting sqref="O55:R59">
    <cfRule type="cellIs" dxfId="858" priority="856" operator="lessThan">
      <formula>0</formula>
    </cfRule>
  </conditionalFormatting>
  <conditionalFormatting sqref="Q55:R59">
    <cfRule type="cellIs" dxfId="857" priority="855" operator="lessThan">
      <formula>0</formula>
    </cfRule>
  </conditionalFormatting>
  <conditionalFormatting sqref="Q55:R59">
    <cfRule type="cellIs" dxfId="856" priority="854" operator="lessThan">
      <formula>0</formula>
    </cfRule>
  </conditionalFormatting>
  <conditionalFormatting sqref="Q55:R59">
    <cfRule type="cellIs" dxfId="855" priority="853" operator="lessThan">
      <formula>0</formula>
    </cfRule>
  </conditionalFormatting>
  <conditionalFormatting sqref="Q55:R59">
    <cfRule type="cellIs" dxfId="854" priority="852" operator="lessThan">
      <formula>0</formula>
    </cfRule>
  </conditionalFormatting>
  <conditionalFormatting sqref="Q55:R59">
    <cfRule type="cellIs" dxfId="853" priority="851" operator="lessThan">
      <formula>0</formula>
    </cfRule>
  </conditionalFormatting>
  <conditionalFormatting sqref="Q55:R59">
    <cfRule type="cellIs" dxfId="852" priority="850" operator="lessThan">
      <formula>0</formula>
    </cfRule>
  </conditionalFormatting>
  <conditionalFormatting sqref="Q55:R59">
    <cfRule type="cellIs" dxfId="851" priority="849" operator="lessThan">
      <formula>0</formula>
    </cfRule>
  </conditionalFormatting>
  <conditionalFormatting sqref="O55:P59">
    <cfRule type="cellIs" dxfId="850" priority="848" operator="lessThan">
      <formula>0</formula>
    </cfRule>
  </conditionalFormatting>
  <conditionalFormatting sqref="O55:P59">
    <cfRule type="cellIs" dxfId="849" priority="847" operator="lessThan">
      <formula>0</formula>
    </cfRule>
  </conditionalFormatting>
  <conditionalFormatting sqref="O55:P59">
    <cfRule type="cellIs" dxfId="848" priority="846" operator="lessThan">
      <formula>0</formula>
    </cfRule>
  </conditionalFormatting>
  <conditionalFormatting sqref="O55:P59">
    <cfRule type="cellIs" dxfId="847" priority="845" operator="lessThan">
      <formula>0</formula>
    </cfRule>
  </conditionalFormatting>
  <conditionalFormatting sqref="O55:P59">
    <cfRule type="cellIs" dxfId="846" priority="844" operator="lessThan">
      <formula>0</formula>
    </cfRule>
  </conditionalFormatting>
  <conditionalFormatting sqref="O55:P59">
    <cfRule type="cellIs" dxfId="845" priority="843" operator="lessThan">
      <formula>0</formula>
    </cfRule>
  </conditionalFormatting>
  <conditionalFormatting sqref="O55:P59">
    <cfRule type="cellIs" dxfId="844" priority="842" operator="lessThan">
      <formula>0</formula>
    </cfRule>
  </conditionalFormatting>
  <conditionalFormatting sqref="O55:R59">
    <cfRule type="cellIs" dxfId="843" priority="841" operator="lessThan">
      <formula>0</formula>
    </cfRule>
  </conditionalFormatting>
  <conditionalFormatting sqref="O55:R59">
    <cfRule type="cellIs" dxfId="842" priority="840" operator="lessThan">
      <formula>0</formula>
    </cfRule>
  </conditionalFormatting>
  <conditionalFormatting sqref="Q55:R59">
    <cfRule type="cellIs" dxfId="841" priority="839" operator="lessThan">
      <formula>0</formula>
    </cfRule>
  </conditionalFormatting>
  <conditionalFormatting sqref="Q55:R59">
    <cfRule type="cellIs" dxfId="840" priority="838" operator="lessThan">
      <formula>0</formula>
    </cfRule>
  </conditionalFormatting>
  <conditionalFormatting sqref="Q55:R59">
    <cfRule type="cellIs" dxfId="839" priority="837" operator="lessThan">
      <formula>0</formula>
    </cfRule>
  </conditionalFormatting>
  <conditionalFormatting sqref="Q55:R59">
    <cfRule type="cellIs" dxfId="838" priority="836" operator="lessThan">
      <formula>0</formula>
    </cfRule>
  </conditionalFormatting>
  <conditionalFormatting sqref="Q55:R59">
    <cfRule type="cellIs" dxfId="837" priority="835" operator="lessThan">
      <formula>0</formula>
    </cfRule>
  </conditionalFormatting>
  <conditionalFormatting sqref="O55:P59">
    <cfRule type="cellIs" dxfId="836" priority="834" operator="lessThan">
      <formula>0</formula>
    </cfRule>
  </conditionalFormatting>
  <conditionalFormatting sqref="O55:P59">
    <cfRule type="cellIs" dxfId="835" priority="833" operator="lessThan">
      <formula>0</formula>
    </cfRule>
  </conditionalFormatting>
  <conditionalFormatting sqref="O55:P59">
    <cfRule type="cellIs" dxfId="834" priority="832" operator="lessThan">
      <formula>0</formula>
    </cfRule>
  </conditionalFormatting>
  <conditionalFormatting sqref="O55:P59">
    <cfRule type="cellIs" dxfId="833" priority="831" operator="lessThan">
      <formula>0</formula>
    </cfRule>
  </conditionalFormatting>
  <conditionalFormatting sqref="O55:P59">
    <cfRule type="cellIs" dxfId="832" priority="830" operator="lessThan">
      <formula>0</formula>
    </cfRule>
  </conditionalFormatting>
  <conditionalFormatting sqref="O55:R59">
    <cfRule type="cellIs" dxfId="831" priority="829" operator="lessThan">
      <formula>0</formula>
    </cfRule>
  </conditionalFormatting>
  <conditionalFormatting sqref="O55:R59">
    <cfRule type="cellIs" dxfId="830" priority="828" operator="lessThan">
      <formula>0</formula>
    </cfRule>
  </conditionalFormatting>
  <conditionalFormatting sqref="Q55:R59">
    <cfRule type="cellIs" dxfId="829" priority="827" operator="lessThan">
      <formula>0</formula>
    </cfRule>
  </conditionalFormatting>
  <conditionalFormatting sqref="Q55:R59">
    <cfRule type="cellIs" dxfId="828" priority="826" operator="lessThan">
      <formula>0</formula>
    </cfRule>
  </conditionalFormatting>
  <conditionalFormatting sqref="Q55:R59">
    <cfRule type="cellIs" dxfId="827" priority="825" operator="lessThan">
      <formula>0</formula>
    </cfRule>
  </conditionalFormatting>
  <conditionalFormatting sqref="O55:P59">
    <cfRule type="cellIs" dxfId="826" priority="824" operator="lessThan">
      <formula>0</formula>
    </cfRule>
  </conditionalFormatting>
  <conditionalFormatting sqref="O55:P59">
    <cfRule type="cellIs" dxfId="825" priority="823" operator="lessThan">
      <formula>0</formula>
    </cfRule>
  </conditionalFormatting>
  <conditionalFormatting sqref="O55:P59">
    <cfRule type="cellIs" dxfId="824" priority="822" operator="lessThan">
      <formula>0</formula>
    </cfRule>
  </conditionalFormatting>
  <conditionalFormatting sqref="O55:R59">
    <cfRule type="cellIs" dxfId="823" priority="821" operator="lessThan">
      <formula>0</formula>
    </cfRule>
  </conditionalFormatting>
  <conditionalFormatting sqref="O55:R59">
    <cfRule type="cellIs" dxfId="822" priority="820" operator="lessThan">
      <formula>0</formula>
    </cfRule>
  </conditionalFormatting>
  <conditionalFormatting sqref="Q55:R59">
    <cfRule type="cellIs" dxfId="821" priority="819" operator="lessThan">
      <formula>0</formula>
    </cfRule>
  </conditionalFormatting>
  <conditionalFormatting sqref="O55:P59">
    <cfRule type="cellIs" dxfId="820" priority="818" operator="lessThan">
      <formula>0</formula>
    </cfRule>
  </conditionalFormatting>
  <conditionalFormatting sqref="O55:R59">
    <cfRule type="cellIs" dxfId="819" priority="817" operator="lessThan">
      <formula>0</formula>
    </cfRule>
  </conditionalFormatting>
  <conditionalFormatting sqref="U59:AJ59 T3:AJ58">
    <cfRule type="cellIs" dxfId="818" priority="816" operator="lessThan">
      <formula>0</formula>
    </cfRule>
  </conditionalFormatting>
  <conditionalFormatting sqref="T23:T24 U24:AJ24">
    <cfRule type="cellIs" dxfId="817" priority="815" operator="lessThan">
      <formula>0</formula>
    </cfRule>
  </conditionalFormatting>
  <conditionalFormatting sqref="T50:T51 T57:T58 T8:AI9 T3:AI4 T32:T37 U32:AJ32 AF5:AI7 AJ3:AJ9 AF10:AJ31 U37:AJ37 AF33:AJ36 T54:AJ54 AF38:AJ53 AF55:AJ59">
    <cfRule type="cellIs" dxfId="816" priority="814" operator="lessThan">
      <formula>0</formula>
    </cfRule>
  </conditionalFormatting>
  <conditionalFormatting sqref="T19:T22 U21:AE21">
    <cfRule type="cellIs" dxfId="815" priority="813" operator="lessThan">
      <formula>0</formula>
    </cfRule>
  </conditionalFormatting>
  <conditionalFormatting sqref="T25:T31 U31:AI31">
    <cfRule type="cellIs" dxfId="814" priority="812" operator="lessThan">
      <formula>0</formula>
    </cfRule>
  </conditionalFormatting>
  <conditionalFormatting sqref="T5:AI7">
    <cfRule type="cellIs" dxfId="813" priority="811" operator="lessThan">
      <formula>0</formula>
    </cfRule>
  </conditionalFormatting>
  <conditionalFormatting sqref="T16:T18">
    <cfRule type="cellIs" dxfId="812" priority="810" operator="lessThan">
      <formula>0</formula>
    </cfRule>
  </conditionalFormatting>
  <conditionalFormatting sqref="T10:T23 U21:AE21">
    <cfRule type="cellIs" dxfId="811" priority="809" operator="lessThan">
      <formula>0</formula>
    </cfRule>
  </conditionalFormatting>
  <conditionalFormatting sqref="T55:T58">
    <cfRule type="cellIs" dxfId="810" priority="808" operator="lessThan">
      <formula>0</formula>
    </cfRule>
  </conditionalFormatting>
  <conditionalFormatting sqref="T52">
    <cfRule type="cellIs" dxfId="809" priority="807" operator="lessThan">
      <formula>0</formula>
    </cfRule>
  </conditionalFormatting>
  <conditionalFormatting sqref="T53">
    <cfRule type="cellIs" dxfId="808" priority="806" operator="lessThan">
      <formula>0</formula>
    </cfRule>
  </conditionalFormatting>
  <conditionalFormatting sqref="T38:T53">
    <cfRule type="cellIs" dxfId="807" priority="805" operator="lessThan">
      <formula>0</formula>
    </cfRule>
  </conditionalFormatting>
  <conditionalFormatting sqref="T49">
    <cfRule type="cellIs" dxfId="806" priority="804" operator="lessThan">
      <formula>0</formula>
    </cfRule>
  </conditionalFormatting>
  <conditionalFormatting sqref="T10:AI20 AF21:AI23 T11:AE23">
    <cfRule type="cellIs" dxfId="805" priority="803" operator="lessThan">
      <formula>0</formula>
    </cfRule>
  </conditionalFormatting>
  <conditionalFormatting sqref="T21:AE21">
    <cfRule type="cellIs" dxfId="804" priority="802" operator="lessThan">
      <formula>0</formula>
    </cfRule>
  </conditionalFormatting>
  <conditionalFormatting sqref="T21:AI21">
    <cfRule type="cellIs" dxfId="803" priority="801" operator="lessThan">
      <formula>0</formula>
    </cfRule>
  </conditionalFormatting>
  <conditionalFormatting sqref="T22">
    <cfRule type="cellIs" dxfId="802" priority="800" operator="lessThan">
      <formula>0</formula>
    </cfRule>
  </conditionalFormatting>
  <conditionalFormatting sqref="T22:AI22">
    <cfRule type="cellIs" dxfId="801" priority="799" operator="lessThan">
      <formula>0</formula>
    </cfRule>
  </conditionalFormatting>
  <conditionalFormatting sqref="T23">
    <cfRule type="cellIs" dxfId="800" priority="798" operator="lessThan">
      <formula>0</formula>
    </cfRule>
  </conditionalFormatting>
  <conditionalFormatting sqref="T23">
    <cfRule type="cellIs" dxfId="799" priority="797" operator="lessThan">
      <formula>0</formula>
    </cfRule>
  </conditionalFormatting>
  <conditionalFormatting sqref="T23:AI23 U22">
    <cfRule type="cellIs" dxfId="798" priority="796" operator="lessThan">
      <formula>0</formula>
    </cfRule>
  </conditionalFormatting>
  <conditionalFormatting sqref="T25:T31">
    <cfRule type="cellIs" dxfId="797" priority="795" operator="lessThan">
      <formula>0</formula>
    </cfRule>
  </conditionalFormatting>
  <conditionalFormatting sqref="T25:T31">
    <cfRule type="cellIs" dxfId="796" priority="794" operator="lessThan">
      <formula>0</formula>
    </cfRule>
  </conditionalFormatting>
  <conditionalFormatting sqref="T25:AI31">
    <cfRule type="cellIs" dxfId="795" priority="793" operator="lessThan">
      <formula>0</formula>
    </cfRule>
  </conditionalFormatting>
  <conditionalFormatting sqref="T33:AI36">
    <cfRule type="cellIs" dxfId="794" priority="792" operator="lessThan">
      <formula>0</formula>
    </cfRule>
  </conditionalFormatting>
  <conditionalFormatting sqref="T33:T36">
    <cfRule type="cellIs" dxfId="793" priority="791" operator="lessThan">
      <formula>0</formula>
    </cfRule>
  </conditionalFormatting>
  <conditionalFormatting sqref="T33:T36">
    <cfRule type="cellIs" dxfId="792" priority="790" operator="lessThan">
      <formula>0</formula>
    </cfRule>
  </conditionalFormatting>
  <conditionalFormatting sqref="T33:AI36">
    <cfRule type="cellIs" dxfId="791" priority="789" operator="lessThan">
      <formula>0</formula>
    </cfRule>
  </conditionalFormatting>
  <conditionalFormatting sqref="T38:T53">
    <cfRule type="cellIs" dxfId="790" priority="788" operator="lessThan">
      <formula>0</formula>
    </cfRule>
  </conditionalFormatting>
  <conditionalFormatting sqref="T38:AI53">
    <cfRule type="cellIs" dxfId="789" priority="787" operator="lessThan">
      <formula>0</formula>
    </cfRule>
  </conditionalFormatting>
  <conditionalFormatting sqref="T38:T53">
    <cfRule type="cellIs" dxfId="788" priority="786" operator="lessThan">
      <formula>0</formula>
    </cfRule>
  </conditionalFormatting>
  <conditionalFormatting sqref="T38:T53">
    <cfRule type="cellIs" dxfId="787" priority="785" operator="lessThan">
      <formula>0</formula>
    </cfRule>
  </conditionalFormatting>
  <conditionalFormatting sqref="T38:AI53">
    <cfRule type="cellIs" dxfId="786" priority="784" operator="lessThan">
      <formula>0</formula>
    </cfRule>
  </conditionalFormatting>
  <conditionalFormatting sqref="T55:T58">
    <cfRule type="cellIs" dxfId="785" priority="783" operator="lessThan">
      <formula>0</formula>
    </cfRule>
  </conditionalFormatting>
  <conditionalFormatting sqref="T55:T58">
    <cfRule type="cellIs" dxfId="784" priority="782" operator="lessThan">
      <formula>0</formula>
    </cfRule>
  </conditionalFormatting>
  <conditionalFormatting sqref="T55:T58">
    <cfRule type="cellIs" dxfId="783" priority="781" operator="lessThan">
      <formula>0</formula>
    </cfRule>
  </conditionalFormatting>
  <conditionalFormatting sqref="T55:AI58 U59:AI59">
    <cfRule type="cellIs" dxfId="782" priority="780" operator="lessThan">
      <formula>0</formula>
    </cfRule>
  </conditionalFormatting>
  <conditionalFormatting sqref="T55:T58">
    <cfRule type="cellIs" dxfId="781" priority="779" operator="lessThan">
      <formula>0</formula>
    </cfRule>
  </conditionalFormatting>
  <conditionalFormatting sqref="T55:T58">
    <cfRule type="cellIs" dxfId="780" priority="778" operator="lessThan">
      <formula>0</formula>
    </cfRule>
  </conditionalFormatting>
  <conditionalFormatting sqref="T55:AI58 U59:AI59">
    <cfRule type="cellIs" dxfId="779" priority="777" operator="lessThan">
      <formula>0</formula>
    </cfRule>
  </conditionalFormatting>
  <conditionalFormatting sqref="T3:AJ3">
    <cfRule type="cellIs" dxfId="778" priority="776" operator="lessThan">
      <formula>0</formula>
    </cfRule>
  </conditionalFormatting>
  <conditionalFormatting sqref="T3:AJ3">
    <cfRule type="cellIs" dxfId="777" priority="775" operator="lessThan">
      <formula>0</formula>
    </cfRule>
  </conditionalFormatting>
  <conditionalFormatting sqref="AH10:AI23">
    <cfRule type="cellIs" dxfId="776" priority="774" operator="lessThan">
      <formula>0</formula>
    </cfRule>
  </conditionalFormatting>
  <conditionalFormatting sqref="AH25:AI31">
    <cfRule type="cellIs" dxfId="775" priority="773" operator="lessThan">
      <formula>0</formula>
    </cfRule>
  </conditionalFormatting>
  <conditionalFormatting sqref="AH25:AI31">
    <cfRule type="cellIs" dxfId="774" priority="772" operator="lessThan">
      <formula>0</formula>
    </cfRule>
  </conditionalFormatting>
  <conditionalFormatting sqref="AH25:AI31">
    <cfRule type="cellIs" dxfId="773" priority="771" operator="lessThan">
      <formula>0</formula>
    </cfRule>
  </conditionalFormatting>
  <conditionalFormatting sqref="AH33:AI36">
    <cfRule type="cellIs" dxfId="772" priority="770" operator="lessThan">
      <formula>0</formula>
    </cfRule>
  </conditionalFormatting>
  <conditionalFormatting sqref="AH33:AI36">
    <cfRule type="cellIs" dxfId="771" priority="769" operator="lessThan">
      <formula>0</formula>
    </cfRule>
  </conditionalFormatting>
  <conditionalFormatting sqref="AH33:AI36">
    <cfRule type="cellIs" dxfId="770" priority="768" operator="lessThan">
      <formula>0</formula>
    </cfRule>
  </conditionalFormatting>
  <conditionalFormatting sqref="AH33:AI36">
    <cfRule type="cellIs" dxfId="769" priority="767" operator="lessThan">
      <formula>0</formula>
    </cfRule>
  </conditionalFormatting>
  <conditionalFormatting sqref="AH33:AI36">
    <cfRule type="cellIs" dxfId="768" priority="766" operator="lessThan">
      <formula>0</formula>
    </cfRule>
  </conditionalFormatting>
  <conditionalFormatting sqref="AH38:AI53">
    <cfRule type="cellIs" dxfId="767" priority="765" operator="lessThan">
      <formula>0</formula>
    </cfRule>
  </conditionalFormatting>
  <conditionalFormatting sqref="AH38:AI53">
    <cfRule type="cellIs" dxfId="766" priority="764" operator="lessThan">
      <formula>0</formula>
    </cfRule>
  </conditionalFormatting>
  <conditionalFormatting sqref="AH38:AI53">
    <cfRule type="cellIs" dxfId="765" priority="763" operator="lessThan">
      <formula>0</formula>
    </cfRule>
  </conditionalFormatting>
  <conditionalFormatting sqref="AH38:AI53">
    <cfRule type="cellIs" dxfId="764" priority="762" operator="lessThan">
      <formula>0</formula>
    </cfRule>
  </conditionalFormatting>
  <conditionalFormatting sqref="AH38:AI53">
    <cfRule type="cellIs" dxfId="763" priority="761" operator="lessThan">
      <formula>0</formula>
    </cfRule>
  </conditionalFormatting>
  <conditionalFormatting sqref="AH38:AI53">
    <cfRule type="cellIs" dxfId="762" priority="760" operator="lessThan">
      <formula>0</formula>
    </cfRule>
  </conditionalFormatting>
  <conditionalFormatting sqref="AH38:AI53">
    <cfRule type="cellIs" dxfId="761" priority="759" operator="lessThan">
      <formula>0</formula>
    </cfRule>
  </conditionalFormatting>
  <conditionalFormatting sqref="AH55:AI59">
    <cfRule type="cellIs" dxfId="760" priority="758" operator="lessThan">
      <formula>0</formula>
    </cfRule>
  </conditionalFormatting>
  <conditionalFormatting sqref="AH55:AI59">
    <cfRule type="cellIs" dxfId="759" priority="757" operator="lessThan">
      <formula>0</formula>
    </cfRule>
  </conditionalFormatting>
  <conditionalFormatting sqref="AH55:AI59">
    <cfRule type="cellIs" dxfId="758" priority="756" operator="lessThan">
      <formula>0</formula>
    </cfRule>
  </conditionalFormatting>
  <conditionalFormatting sqref="AH55:AI59">
    <cfRule type="cellIs" dxfId="757" priority="755" operator="lessThan">
      <formula>0</formula>
    </cfRule>
  </conditionalFormatting>
  <conditionalFormatting sqref="AH55:AI59">
    <cfRule type="cellIs" dxfId="756" priority="754" operator="lessThan">
      <formula>0</formula>
    </cfRule>
  </conditionalFormatting>
  <conditionalFormatting sqref="AH55:AI59">
    <cfRule type="cellIs" dxfId="755" priority="753" operator="lessThan">
      <formula>0</formula>
    </cfRule>
  </conditionalFormatting>
  <conditionalFormatting sqref="AH55:AI59">
    <cfRule type="cellIs" dxfId="754" priority="752" operator="lessThan">
      <formula>0</formula>
    </cfRule>
  </conditionalFormatting>
  <conditionalFormatting sqref="AH55:AI59">
    <cfRule type="cellIs" dxfId="753" priority="751" operator="lessThan">
      <formula>0</formula>
    </cfRule>
  </conditionalFormatting>
  <conditionalFormatting sqref="AH55:AI59">
    <cfRule type="cellIs" dxfId="752" priority="750" operator="lessThan">
      <formula>0</formula>
    </cfRule>
  </conditionalFormatting>
  <conditionalFormatting sqref="AF10:AG23">
    <cfRule type="cellIs" dxfId="751" priority="749" operator="lessThan">
      <formula>0</formula>
    </cfRule>
  </conditionalFormatting>
  <conditionalFormatting sqref="AF25:AG31">
    <cfRule type="cellIs" dxfId="750" priority="748" operator="lessThan">
      <formula>0</formula>
    </cfRule>
  </conditionalFormatting>
  <conditionalFormatting sqref="AF25:AG31">
    <cfRule type="cellIs" dxfId="749" priority="747" operator="lessThan">
      <formula>0</formula>
    </cfRule>
  </conditionalFormatting>
  <conditionalFormatting sqref="AF25:AG31">
    <cfRule type="cellIs" dxfId="748" priority="746" operator="lessThan">
      <formula>0</formula>
    </cfRule>
  </conditionalFormatting>
  <conditionalFormatting sqref="AF33:AG36">
    <cfRule type="cellIs" dxfId="747" priority="745" operator="lessThan">
      <formula>0</formula>
    </cfRule>
  </conditionalFormatting>
  <conditionalFormatting sqref="AF33:AG36">
    <cfRule type="cellIs" dxfId="746" priority="744" operator="lessThan">
      <formula>0</formula>
    </cfRule>
  </conditionalFormatting>
  <conditionalFormatting sqref="AF33:AG36">
    <cfRule type="cellIs" dxfId="745" priority="743" operator="lessThan">
      <formula>0</formula>
    </cfRule>
  </conditionalFormatting>
  <conditionalFormatting sqref="AF33:AG36">
    <cfRule type="cellIs" dxfId="744" priority="742" operator="lessThan">
      <formula>0</formula>
    </cfRule>
  </conditionalFormatting>
  <conditionalFormatting sqref="AF33:AG36">
    <cfRule type="cellIs" dxfId="743" priority="741" operator="lessThan">
      <formula>0</formula>
    </cfRule>
  </conditionalFormatting>
  <conditionalFormatting sqref="AF38:AG53">
    <cfRule type="cellIs" dxfId="742" priority="740" operator="lessThan">
      <formula>0</formula>
    </cfRule>
  </conditionalFormatting>
  <conditionalFormatting sqref="AF38:AG53">
    <cfRule type="cellIs" dxfId="741" priority="739" operator="lessThan">
      <formula>0</formula>
    </cfRule>
  </conditionalFormatting>
  <conditionalFormatting sqref="AF38:AG53">
    <cfRule type="cellIs" dxfId="740" priority="738" operator="lessThan">
      <formula>0</formula>
    </cfRule>
  </conditionalFormatting>
  <conditionalFormatting sqref="AF38:AG53">
    <cfRule type="cellIs" dxfId="739" priority="737" operator="lessThan">
      <formula>0</formula>
    </cfRule>
  </conditionalFormatting>
  <conditionalFormatting sqref="AF38:AG53">
    <cfRule type="cellIs" dxfId="738" priority="736" operator="lessThan">
      <formula>0</formula>
    </cfRule>
  </conditionalFormatting>
  <conditionalFormatting sqref="AF38:AG53">
    <cfRule type="cellIs" dxfId="737" priority="735" operator="lessThan">
      <formula>0</formula>
    </cfRule>
  </conditionalFormatting>
  <conditionalFormatting sqref="AF38:AG53">
    <cfRule type="cellIs" dxfId="736" priority="734" operator="lessThan">
      <formula>0</formula>
    </cfRule>
  </conditionalFormatting>
  <conditionalFormatting sqref="AF55:AG59">
    <cfRule type="cellIs" dxfId="735" priority="733" operator="lessThan">
      <formula>0</formula>
    </cfRule>
  </conditionalFormatting>
  <conditionalFormatting sqref="AF55:AG59">
    <cfRule type="cellIs" dxfId="734" priority="732" operator="lessThan">
      <formula>0</formula>
    </cfRule>
  </conditionalFormatting>
  <conditionalFormatting sqref="AF55:AG59">
    <cfRule type="cellIs" dxfId="733" priority="731" operator="lessThan">
      <formula>0</formula>
    </cfRule>
  </conditionalFormatting>
  <conditionalFormatting sqref="AF55:AG59">
    <cfRule type="cellIs" dxfId="732" priority="730" operator="lessThan">
      <formula>0</formula>
    </cfRule>
  </conditionalFormatting>
  <conditionalFormatting sqref="AF55:AG59">
    <cfRule type="cellIs" dxfId="731" priority="729" operator="lessThan">
      <formula>0</formula>
    </cfRule>
  </conditionalFormatting>
  <conditionalFormatting sqref="AF55:AG59">
    <cfRule type="cellIs" dxfId="730" priority="728" operator="lessThan">
      <formula>0</formula>
    </cfRule>
  </conditionalFormatting>
  <conditionalFormatting sqref="AF55:AG59">
    <cfRule type="cellIs" dxfId="729" priority="727" operator="lessThan">
      <formula>0</formula>
    </cfRule>
  </conditionalFormatting>
  <conditionalFormatting sqref="AF55:AG59">
    <cfRule type="cellIs" dxfId="728" priority="726" operator="lessThan">
      <formula>0</formula>
    </cfRule>
  </conditionalFormatting>
  <conditionalFormatting sqref="AF55:AG59">
    <cfRule type="cellIs" dxfId="727" priority="725" operator="lessThan">
      <formula>0</formula>
    </cfRule>
  </conditionalFormatting>
  <conditionalFormatting sqref="AF10:AI23">
    <cfRule type="cellIs" dxfId="726" priority="724" operator="lessThan">
      <formula>0</formula>
    </cfRule>
  </conditionalFormatting>
  <conditionalFormatting sqref="AF25:AI31">
    <cfRule type="cellIs" dxfId="725" priority="723" operator="lessThan">
      <formula>0</formula>
    </cfRule>
  </conditionalFormatting>
  <conditionalFormatting sqref="AF25:AI31">
    <cfRule type="cellIs" dxfId="724" priority="722" operator="lessThan">
      <formula>0</formula>
    </cfRule>
  </conditionalFormatting>
  <conditionalFormatting sqref="AH25:AI31">
    <cfRule type="cellIs" dxfId="723" priority="721" operator="lessThan">
      <formula>0</formula>
    </cfRule>
  </conditionalFormatting>
  <conditionalFormatting sqref="AF25:AG31">
    <cfRule type="cellIs" dxfId="722" priority="720" operator="lessThan">
      <formula>0</formula>
    </cfRule>
  </conditionalFormatting>
  <conditionalFormatting sqref="AF25:AI31">
    <cfRule type="cellIs" dxfId="721" priority="719" operator="lessThan">
      <formula>0</formula>
    </cfRule>
  </conditionalFormatting>
  <conditionalFormatting sqref="AF33:AI36">
    <cfRule type="cellIs" dxfId="720" priority="718" operator="lessThan">
      <formula>0</formula>
    </cfRule>
  </conditionalFormatting>
  <conditionalFormatting sqref="AF33:AI36">
    <cfRule type="cellIs" dxfId="719" priority="717" operator="lessThan">
      <formula>0</formula>
    </cfRule>
  </conditionalFormatting>
  <conditionalFormatting sqref="AH33:AI36">
    <cfRule type="cellIs" dxfId="718" priority="716" operator="lessThan">
      <formula>0</formula>
    </cfRule>
  </conditionalFormatting>
  <conditionalFormatting sqref="AH33:AI36">
    <cfRule type="cellIs" dxfId="717" priority="715" operator="lessThan">
      <formula>0</formula>
    </cfRule>
  </conditionalFormatting>
  <conditionalFormatting sqref="AH33:AI36">
    <cfRule type="cellIs" dxfId="716" priority="714" operator="lessThan">
      <formula>0</formula>
    </cfRule>
  </conditionalFormatting>
  <conditionalFormatting sqref="AF33:AG36">
    <cfRule type="cellIs" dxfId="715" priority="713" operator="lessThan">
      <formula>0</formula>
    </cfRule>
  </conditionalFormatting>
  <conditionalFormatting sqref="AF33:AG36">
    <cfRule type="cellIs" dxfId="714" priority="712" operator="lessThan">
      <formula>0</formula>
    </cfRule>
  </conditionalFormatting>
  <conditionalFormatting sqref="AF33:AG36">
    <cfRule type="cellIs" dxfId="713" priority="711" operator="lessThan">
      <formula>0</formula>
    </cfRule>
  </conditionalFormatting>
  <conditionalFormatting sqref="AF33:AI36">
    <cfRule type="cellIs" dxfId="712" priority="710" operator="lessThan">
      <formula>0</formula>
    </cfRule>
  </conditionalFormatting>
  <conditionalFormatting sqref="AF33:AI36">
    <cfRule type="cellIs" dxfId="711" priority="709" operator="lessThan">
      <formula>0</formula>
    </cfRule>
  </conditionalFormatting>
  <conditionalFormatting sqref="AH33:AI36">
    <cfRule type="cellIs" dxfId="710" priority="708" operator="lessThan">
      <formula>0</formula>
    </cfRule>
  </conditionalFormatting>
  <conditionalFormatting sqref="AF33:AG36">
    <cfRule type="cellIs" dxfId="709" priority="707" operator="lessThan">
      <formula>0</formula>
    </cfRule>
  </conditionalFormatting>
  <conditionalFormatting sqref="AF33:AI36">
    <cfRule type="cellIs" dxfId="708" priority="706" operator="lessThan">
      <formula>0</formula>
    </cfRule>
  </conditionalFormatting>
  <conditionalFormatting sqref="AF38:AI53">
    <cfRule type="cellIs" dxfId="707" priority="705" operator="lessThan">
      <formula>0</formula>
    </cfRule>
  </conditionalFormatting>
  <conditionalFormatting sqref="AF38:AI53">
    <cfRule type="cellIs" dxfId="706" priority="704" operator="lessThan">
      <formula>0</formula>
    </cfRule>
  </conditionalFormatting>
  <conditionalFormatting sqref="AH38:AI53">
    <cfRule type="cellIs" dxfId="705" priority="703" operator="lessThan">
      <formula>0</formula>
    </cfRule>
  </conditionalFormatting>
  <conditionalFormatting sqref="AH38:AI53">
    <cfRule type="cellIs" dxfId="704" priority="702" operator="lessThan">
      <formula>0</formula>
    </cfRule>
  </conditionalFormatting>
  <conditionalFormatting sqref="AH38:AI53">
    <cfRule type="cellIs" dxfId="703" priority="701" operator="lessThan">
      <formula>0</formula>
    </cfRule>
  </conditionalFormatting>
  <conditionalFormatting sqref="AH38:AI53">
    <cfRule type="cellIs" dxfId="702" priority="700" operator="lessThan">
      <formula>0</formula>
    </cfRule>
  </conditionalFormatting>
  <conditionalFormatting sqref="AH38:AI53">
    <cfRule type="cellIs" dxfId="701" priority="699" operator="lessThan">
      <formula>0</formula>
    </cfRule>
  </conditionalFormatting>
  <conditionalFormatting sqref="AF38:AG53">
    <cfRule type="cellIs" dxfId="700" priority="698" operator="lessThan">
      <formula>0</formula>
    </cfRule>
  </conditionalFormatting>
  <conditionalFormatting sqref="AF38:AG53">
    <cfRule type="cellIs" dxfId="699" priority="697" operator="lessThan">
      <formula>0</formula>
    </cfRule>
  </conditionalFormatting>
  <conditionalFormatting sqref="AF38:AG53">
    <cfRule type="cellIs" dxfId="698" priority="696" operator="lessThan">
      <formula>0</formula>
    </cfRule>
  </conditionalFormatting>
  <conditionalFormatting sqref="AF38:AG53">
    <cfRule type="cellIs" dxfId="697" priority="695" operator="lessThan">
      <formula>0</formula>
    </cfRule>
  </conditionalFormatting>
  <conditionalFormatting sqref="AF38:AG53">
    <cfRule type="cellIs" dxfId="696" priority="694" operator="lessThan">
      <formula>0</formula>
    </cfRule>
  </conditionalFormatting>
  <conditionalFormatting sqref="AF38:AI53">
    <cfRule type="cellIs" dxfId="695" priority="693" operator="lessThan">
      <formula>0</formula>
    </cfRule>
  </conditionalFormatting>
  <conditionalFormatting sqref="AF38:AI53">
    <cfRule type="cellIs" dxfId="694" priority="692" operator="lessThan">
      <formula>0</formula>
    </cfRule>
  </conditionalFormatting>
  <conditionalFormatting sqref="AH38:AI53">
    <cfRule type="cellIs" dxfId="693" priority="691" operator="lessThan">
      <formula>0</formula>
    </cfRule>
  </conditionalFormatting>
  <conditionalFormatting sqref="AH38:AI53">
    <cfRule type="cellIs" dxfId="692" priority="690" operator="lessThan">
      <formula>0</formula>
    </cfRule>
  </conditionalFormatting>
  <conditionalFormatting sqref="AH38:AI53">
    <cfRule type="cellIs" dxfId="691" priority="689" operator="lessThan">
      <formula>0</formula>
    </cfRule>
  </conditionalFormatting>
  <conditionalFormatting sqref="AF38:AG53">
    <cfRule type="cellIs" dxfId="690" priority="688" operator="lessThan">
      <formula>0</formula>
    </cfRule>
  </conditionalFormatting>
  <conditionalFormatting sqref="AF38:AG53">
    <cfRule type="cellIs" dxfId="689" priority="687" operator="lessThan">
      <formula>0</formula>
    </cfRule>
  </conditionalFormatting>
  <conditionalFormatting sqref="AF38:AG53">
    <cfRule type="cellIs" dxfId="688" priority="686" operator="lessThan">
      <formula>0</formula>
    </cfRule>
  </conditionalFormatting>
  <conditionalFormatting sqref="AF38:AI53">
    <cfRule type="cellIs" dxfId="687" priority="685" operator="lessThan">
      <formula>0</formula>
    </cfRule>
  </conditionalFormatting>
  <conditionalFormatting sqref="AF38:AI53">
    <cfRule type="cellIs" dxfId="686" priority="684" operator="lessThan">
      <formula>0</formula>
    </cfRule>
  </conditionalFormatting>
  <conditionalFormatting sqref="AH38:AI53">
    <cfRule type="cellIs" dxfId="685" priority="683" operator="lessThan">
      <formula>0</formula>
    </cfRule>
  </conditionalFormatting>
  <conditionalFormatting sqref="AF38:AG53">
    <cfRule type="cellIs" dxfId="684" priority="682" operator="lessThan">
      <formula>0</formula>
    </cfRule>
  </conditionalFormatting>
  <conditionalFormatting sqref="AF38:AI53">
    <cfRule type="cellIs" dxfId="683" priority="681" operator="lessThan">
      <formula>0</formula>
    </cfRule>
  </conditionalFormatting>
  <conditionalFormatting sqref="AF55:AI59">
    <cfRule type="cellIs" dxfId="682" priority="680" operator="lessThan">
      <formula>0</formula>
    </cfRule>
  </conditionalFormatting>
  <conditionalFormatting sqref="AF55:AI59">
    <cfRule type="cellIs" dxfId="681" priority="679" operator="lessThan">
      <formula>0</formula>
    </cfRule>
  </conditionalFormatting>
  <conditionalFormatting sqref="AH55:AI59">
    <cfRule type="cellIs" dxfId="680" priority="678" operator="lessThan">
      <formula>0</formula>
    </cfRule>
  </conditionalFormatting>
  <conditionalFormatting sqref="AH55:AI59">
    <cfRule type="cellIs" dxfId="679" priority="677" operator="lessThan">
      <formula>0</formula>
    </cfRule>
  </conditionalFormatting>
  <conditionalFormatting sqref="AH55:AI59">
    <cfRule type="cellIs" dxfId="678" priority="676" operator="lessThan">
      <formula>0</formula>
    </cfRule>
  </conditionalFormatting>
  <conditionalFormatting sqref="AH55:AI59">
    <cfRule type="cellIs" dxfId="677" priority="675" operator="lessThan">
      <formula>0</formula>
    </cfRule>
  </conditionalFormatting>
  <conditionalFormatting sqref="AH55:AI59">
    <cfRule type="cellIs" dxfId="676" priority="674" operator="lessThan">
      <formula>0</formula>
    </cfRule>
  </conditionalFormatting>
  <conditionalFormatting sqref="AH55:AI59">
    <cfRule type="cellIs" dxfId="675" priority="673" operator="lessThan">
      <formula>0</formula>
    </cfRule>
  </conditionalFormatting>
  <conditionalFormatting sqref="AH55:AI59">
    <cfRule type="cellIs" dxfId="674" priority="672" operator="lessThan">
      <formula>0</formula>
    </cfRule>
  </conditionalFormatting>
  <conditionalFormatting sqref="AF55:AG59">
    <cfRule type="cellIs" dxfId="673" priority="671" operator="lessThan">
      <formula>0</formula>
    </cfRule>
  </conditionalFormatting>
  <conditionalFormatting sqref="AF55:AG59">
    <cfRule type="cellIs" dxfId="672" priority="670" operator="lessThan">
      <formula>0</formula>
    </cfRule>
  </conditionalFormatting>
  <conditionalFormatting sqref="AF55:AG59">
    <cfRule type="cellIs" dxfId="671" priority="669" operator="lessThan">
      <formula>0</formula>
    </cfRule>
  </conditionalFormatting>
  <conditionalFormatting sqref="AF55:AG59">
    <cfRule type="cellIs" dxfId="670" priority="668" operator="lessThan">
      <formula>0</formula>
    </cfRule>
  </conditionalFormatting>
  <conditionalFormatting sqref="AF55:AG59">
    <cfRule type="cellIs" dxfId="669" priority="667" operator="lessThan">
      <formula>0</formula>
    </cfRule>
  </conditionalFormatting>
  <conditionalFormatting sqref="AF55:AG59">
    <cfRule type="cellIs" dxfId="668" priority="666" operator="lessThan">
      <formula>0</formula>
    </cfRule>
  </conditionalFormatting>
  <conditionalFormatting sqref="AF55:AG59">
    <cfRule type="cellIs" dxfId="667" priority="665" operator="lessThan">
      <formula>0</formula>
    </cfRule>
  </conditionalFormatting>
  <conditionalFormatting sqref="AF55:AI59">
    <cfRule type="cellIs" dxfId="666" priority="664" operator="lessThan">
      <formula>0</formula>
    </cfRule>
  </conditionalFormatting>
  <conditionalFormatting sqref="AF55:AI59">
    <cfRule type="cellIs" dxfId="665" priority="663" operator="lessThan">
      <formula>0</formula>
    </cfRule>
  </conditionalFormatting>
  <conditionalFormatting sqref="AH55:AI59">
    <cfRule type="cellIs" dxfId="664" priority="662" operator="lessThan">
      <formula>0</formula>
    </cfRule>
  </conditionalFormatting>
  <conditionalFormatting sqref="AH55:AI59">
    <cfRule type="cellIs" dxfId="663" priority="661" operator="lessThan">
      <formula>0</formula>
    </cfRule>
  </conditionalFormatting>
  <conditionalFormatting sqref="AH55:AI59">
    <cfRule type="cellIs" dxfId="662" priority="660" operator="lessThan">
      <formula>0</formula>
    </cfRule>
  </conditionalFormatting>
  <conditionalFormatting sqref="AH55:AI59">
    <cfRule type="cellIs" dxfId="661" priority="659" operator="lessThan">
      <formula>0</formula>
    </cfRule>
  </conditionalFormatting>
  <conditionalFormatting sqref="AH55:AI59">
    <cfRule type="cellIs" dxfId="660" priority="658" operator="lessThan">
      <formula>0</formula>
    </cfRule>
  </conditionalFormatting>
  <conditionalFormatting sqref="AF55:AG59">
    <cfRule type="cellIs" dxfId="659" priority="657" operator="lessThan">
      <formula>0</formula>
    </cfRule>
  </conditionalFormatting>
  <conditionalFormatting sqref="AF55:AG59">
    <cfRule type="cellIs" dxfId="658" priority="656" operator="lessThan">
      <formula>0</formula>
    </cfRule>
  </conditionalFormatting>
  <conditionalFormatting sqref="AF55:AG59">
    <cfRule type="cellIs" dxfId="657" priority="655" operator="lessThan">
      <formula>0</formula>
    </cfRule>
  </conditionalFormatting>
  <conditionalFormatting sqref="AF55:AG59">
    <cfRule type="cellIs" dxfId="656" priority="654" operator="lessThan">
      <formula>0</formula>
    </cfRule>
  </conditionalFormatting>
  <conditionalFormatting sqref="AF55:AG59">
    <cfRule type="cellIs" dxfId="655" priority="653" operator="lessThan">
      <formula>0</formula>
    </cfRule>
  </conditionalFormatting>
  <conditionalFormatting sqref="AF55:AI59">
    <cfRule type="cellIs" dxfId="654" priority="652" operator="lessThan">
      <formula>0</formula>
    </cfRule>
  </conditionalFormatting>
  <conditionalFormatting sqref="AF55:AI59">
    <cfRule type="cellIs" dxfId="653" priority="651" operator="lessThan">
      <formula>0</formula>
    </cfRule>
  </conditionalFormatting>
  <conditionalFormatting sqref="AH55:AI59">
    <cfRule type="cellIs" dxfId="652" priority="650" operator="lessThan">
      <formula>0</formula>
    </cfRule>
  </conditionalFormatting>
  <conditionalFormatting sqref="AH55:AI59">
    <cfRule type="cellIs" dxfId="651" priority="649" operator="lessThan">
      <formula>0</formula>
    </cfRule>
  </conditionalFormatting>
  <conditionalFormatting sqref="AH55:AI59">
    <cfRule type="cellIs" dxfId="650" priority="648" operator="lessThan">
      <formula>0</formula>
    </cfRule>
  </conditionalFormatting>
  <conditionalFormatting sqref="AF55:AG59">
    <cfRule type="cellIs" dxfId="649" priority="647" operator="lessThan">
      <formula>0</formula>
    </cfRule>
  </conditionalFormatting>
  <conditionalFormatting sqref="AF55:AG59">
    <cfRule type="cellIs" dxfId="648" priority="646" operator="lessThan">
      <formula>0</formula>
    </cfRule>
  </conditionalFormatting>
  <conditionalFormatting sqref="AF55:AG59">
    <cfRule type="cellIs" dxfId="647" priority="645" operator="lessThan">
      <formula>0</formula>
    </cfRule>
  </conditionalFormatting>
  <conditionalFormatting sqref="AF55:AI59">
    <cfRule type="cellIs" dxfId="646" priority="644" operator="lessThan">
      <formula>0</formula>
    </cfRule>
  </conditionalFormatting>
  <conditionalFormatting sqref="AF55:AI59">
    <cfRule type="cellIs" dxfId="645" priority="643" operator="lessThan">
      <formula>0</formula>
    </cfRule>
  </conditionalFormatting>
  <conditionalFormatting sqref="AH55:AI59">
    <cfRule type="cellIs" dxfId="644" priority="642" operator="lessThan">
      <formula>0</formula>
    </cfRule>
  </conditionalFormatting>
  <conditionalFormatting sqref="AF55:AG59">
    <cfRule type="cellIs" dxfId="643" priority="641" operator="lessThan">
      <formula>0</formula>
    </cfRule>
  </conditionalFormatting>
  <conditionalFormatting sqref="AF55:AI59">
    <cfRule type="cellIs" dxfId="642" priority="640" operator="lessThan">
      <formula>0</formula>
    </cfRule>
  </conditionalFormatting>
  <conditionalFormatting sqref="AK3:BA59">
    <cfRule type="cellIs" dxfId="641" priority="639" operator="lessThan">
      <formula>0</formula>
    </cfRule>
  </conditionalFormatting>
  <conditionalFormatting sqref="AK23:AK24 AL24:BA24">
    <cfRule type="cellIs" dxfId="640" priority="638" operator="lessThan">
      <formula>0</formula>
    </cfRule>
  </conditionalFormatting>
  <conditionalFormatting sqref="AK50:AK51 AK8:AZ9 AK3:AZ4 AK32:AK37 AL32:BA32 AW5:AZ7 BA3:BA9 AW10:BA31 AL37:BA37 AW33:BA36 AK54:BA54 AW38:BA53 AK57:AK59 AW55:BA59">
    <cfRule type="cellIs" dxfId="639" priority="637" operator="lessThan">
      <formula>0</formula>
    </cfRule>
  </conditionalFormatting>
  <conditionalFormatting sqref="AK19:AK22">
    <cfRule type="cellIs" dxfId="638" priority="636" operator="lessThan">
      <formula>0</formula>
    </cfRule>
  </conditionalFormatting>
  <conditionalFormatting sqref="AK25:AK31 AL31:AZ31">
    <cfRule type="cellIs" dxfId="637" priority="635" operator="lessThan">
      <formula>0</formula>
    </cfRule>
  </conditionalFormatting>
  <conditionalFormatting sqref="AK5:AZ7">
    <cfRule type="cellIs" dxfId="636" priority="634" operator="lessThan">
      <formula>0</formula>
    </cfRule>
  </conditionalFormatting>
  <conditionalFormatting sqref="AK16:AK18">
    <cfRule type="cellIs" dxfId="635" priority="633" operator="lessThan">
      <formula>0</formula>
    </cfRule>
  </conditionalFormatting>
  <conditionalFormatting sqref="AK10:AK20">
    <cfRule type="cellIs" dxfId="634" priority="632" operator="lessThan">
      <formula>0</formula>
    </cfRule>
  </conditionalFormatting>
  <conditionalFormatting sqref="AK55:AK59">
    <cfRule type="cellIs" dxfId="633" priority="631" operator="lessThan">
      <formula>0</formula>
    </cfRule>
  </conditionalFormatting>
  <conditionalFormatting sqref="AK52">
    <cfRule type="cellIs" dxfId="632" priority="630" operator="lessThan">
      <formula>0</formula>
    </cfRule>
  </conditionalFormatting>
  <conditionalFormatting sqref="AK53">
    <cfRule type="cellIs" dxfId="631" priority="629" operator="lessThan">
      <formula>0</formula>
    </cfRule>
  </conditionalFormatting>
  <conditionalFormatting sqref="AK38:AK53">
    <cfRule type="cellIs" dxfId="630" priority="628" operator="lessThan">
      <formula>0</formula>
    </cfRule>
  </conditionalFormatting>
  <conditionalFormatting sqref="AK49">
    <cfRule type="cellIs" dxfId="629" priority="627" operator="lessThan">
      <formula>0</formula>
    </cfRule>
  </conditionalFormatting>
  <conditionalFormatting sqref="AK10:AZ20 AW21:AZ23">
    <cfRule type="cellIs" dxfId="628" priority="626" operator="lessThan">
      <formula>0</formula>
    </cfRule>
  </conditionalFormatting>
  <conditionalFormatting sqref="AK21">
    <cfRule type="cellIs" dxfId="627" priority="625" operator="lessThan">
      <formula>0</formula>
    </cfRule>
  </conditionalFormatting>
  <conditionalFormatting sqref="AK21:AZ21">
    <cfRule type="cellIs" dxfId="626" priority="624" operator="lessThan">
      <formula>0</formula>
    </cfRule>
  </conditionalFormatting>
  <conditionalFormatting sqref="AK22">
    <cfRule type="cellIs" dxfId="625" priority="623" operator="lessThan">
      <formula>0</formula>
    </cfRule>
  </conditionalFormatting>
  <conditionalFormatting sqref="AK22:AZ22">
    <cfRule type="cellIs" dxfId="624" priority="622" operator="lessThan">
      <formula>0</formula>
    </cfRule>
  </conditionalFormatting>
  <conditionalFormatting sqref="AK23">
    <cfRule type="cellIs" dxfId="623" priority="621" operator="lessThan">
      <formula>0</formula>
    </cfRule>
  </conditionalFormatting>
  <conditionalFormatting sqref="AK23">
    <cfRule type="cellIs" dxfId="622" priority="620" operator="lessThan">
      <formula>0</formula>
    </cfRule>
  </conditionalFormatting>
  <conditionalFormatting sqref="AK23:AZ23">
    <cfRule type="cellIs" dxfId="621" priority="619" operator="lessThan">
      <formula>0</formula>
    </cfRule>
  </conditionalFormatting>
  <conditionalFormatting sqref="AK25:AK31">
    <cfRule type="cellIs" dxfId="620" priority="618" operator="lessThan">
      <formula>0</formula>
    </cfRule>
  </conditionalFormatting>
  <conditionalFormatting sqref="AK25:AK31">
    <cfRule type="cellIs" dxfId="619" priority="617" operator="lessThan">
      <formula>0</formula>
    </cfRule>
  </conditionalFormatting>
  <conditionalFormatting sqref="AK25:AZ31">
    <cfRule type="cellIs" dxfId="618" priority="616" operator="lessThan">
      <formula>0</formula>
    </cfRule>
  </conditionalFormatting>
  <conditionalFormatting sqref="AK33:AZ36">
    <cfRule type="cellIs" dxfId="617" priority="615" operator="lessThan">
      <formula>0</formula>
    </cfRule>
  </conditionalFormatting>
  <conditionalFormatting sqref="AK33:AK36">
    <cfRule type="cellIs" dxfId="616" priority="614" operator="lessThan">
      <formula>0</formula>
    </cfRule>
  </conditionalFormatting>
  <conditionalFormatting sqref="AK33:AK36">
    <cfRule type="cellIs" dxfId="615" priority="613" operator="lessThan">
      <formula>0</formula>
    </cfRule>
  </conditionalFormatting>
  <conditionalFormatting sqref="AK33:AZ36">
    <cfRule type="cellIs" dxfId="614" priority="612" operator="lessThan">
      <formula>0</formula>
    </cfRule>
  </conditionalFormatting>
  <conditionalFormatting sqref="AK38:AK53">
    <cfRule type="cellIs" dxfId="613" priority="611" operator="lessThan">
      <formula>0</formula>
    </cfRule>
  </conditionalFormatting>
  <conditionalFormatting sqref="AK38:AZ53">
    <cfRule type="cellIs" dxfId="612" priority="610" operator="lessThan">
      <formula>0</formula>
    </cfRule>
  </conditionalFormatting>
  <conditionalFormatting sqref="AK38:AK53">
    <cfRule type="cellIs" dxfId="611" priority="609" operator="lessThan">
      <formula>0</formula>
    </cfRule>
  </conditionalFormatting>
  <conditionalFormatting sqref="AK38:AK53">
    <cfRule type="cellIs" dxfId="610" priority="608" operator="lessThan">
      <formula>0</formula>
    </cfRule>
  </conditionalFormatting>
  <conditionalFormatting sqref="AK38:AZ53">
    <cfRule type="cellIs" dxfId="609" priority="607" operator="lessThan">
      <formula>0</formula>
    </cfRule>
  </conditionalFormatting>
  <conditionalFormatting sqref="AK55:AK59">
    <cfRule type="cellIs" dxfId="608" priority="606" operator="lessThan">
      <formula>0</formula>
    </cfRule>
  </conditionalFormatting>
  <conditionalFormatting sqref="AK55:AK59">
    <cfRule type="cellIs" dxfId="607" priority="605" operator="lessThan">
      <formula>0</formula>
    </cfRule>
  </conditionalFormatting>
  <conditionalFormatting sqref="AK55:AK59">
    <cfRule type="cellIs" dxfId="606" priority="604" operator="lessThan">
      <formula>0</formula>
    </cfRule>
  </conditionalFormatting>
  <conditionalFormatting sqref="AK55:AZ59">
    <cfRule type="cellIs" dxfId="605" priority="603" operator="lessThan">
      <formula>0</formula>
    </cfRule>
  </conditionalFormatting>
  <conditionalFormatting sqref="AK55:AK59">
    <cfRule type="cellIs" dxfId="604" priority="602" operator="lessThan">
      <formula>0</formula>
    </cfRule>
  </conditionalFormatting>
  <conditionalFormatting sqref="AK55:AK59">
    <cfRule type="cellIs" dxfId="603" priority="601" operator="lessThan">
      <formula>0</formula>
    </cfRule>
  </conditionalFormatting>
  <conditionalFormatting sqref="AK55:AZ59">
    <cfRule type="cellIs" dxfId="602" priority="600" operator="lessThan">
      <formula>0</formula>
    </cfRule>
  </conditionalFormatting>
  <conditionalFormatting sqref="AK3:BA3">
    <cfRule type="cellIs" dxfId="601" priority="599" operator="lessThan">
      <formula>0</formula>
    </cfRule>
  </conditionalFormatting>
  <conditionalFormatting sqref="AK3:BA3">
    <cfRule type="cellIs" dxfId="600" priority="598" operator="lessThan">
      <formula>0</formula>
    </cfRule>
  </conditionalFormatting>
  <conditionalFormatting sqref="AY10:AZ23">
    <cfRule type="cellIs" dxfId="599" priority="597" operator="lessThan">
      <formula>0</formula>
    </cfRule>
  </conditionalFormatting>
  <conditionalFormatting sqref="AY25:AZ31">
    <cfRule type="cellIs" dxfId="598" priority="596" operator="lessThan">
      <formula>0</formula>
    </cfRule>
  </conditionalFormatting>
  <conditionalFormatting sqref="AY25:AZ31">
    <cfRule type="cellIs" dxfId="597" priority="595" operator="lessThan">
      <formula>0</formula>
    </cfRule>
  </conditionalFormatting>
  <conditionalFormatting sqref="AY25:AZ31">
    <cfRule type="cellIs" dxfId="596" priority="594" operator="lessThan">
      <formula>0</formula>
    </cfRule>
  </conditionalFormatting>
  <conditionalFormatting sqref="AY33:AZ36">
    <cfRule type="cellIs" dxfId="595" priority="593" operator="lessThan">
      <formula>0</formula>
    </cfRule>
  </conditionalFormatting>
  <conditionalFormatting sqref="AY33:AZ36">
    <cfRule type="cellIs" dxfId="594" priority="592" operator="lessThan">
      <formula>0</formula>
    </cfRule>
  </conditionalFormatting>
  <conditionalFormatting sqref="AY33:AZ36">
    <cfRule type="cellIs" dxfId="593" priority="591" operator="lessThan">
      <formula>0</formula>
    </cfRule>
  </conditionalFormatting>
  <conditionalFormatting sqref="AY33:AZ36">
    <cfRule type="cellIs" dxfId="592" priority="590" operator="lessThan">
      <formula>0</formula>
    </cfRule>
  </conditionalFormatting>
  <conditionalFormatting sqref="AY33:AZ36">
    <cfRule type="cellIs" dxfId="591" priority="589" operator="lessThan">
      <formula>0</formula>
    </cfRule>
  </conditionalFormatting>
  <conditionalFormatting sqref="AY38:AZ53">
    <cfRule type="cellIs" dxfId="590" priority="588" operator="lessThan">
      <formula>0</formula>
    </cfRule>
  </conditionalFormatting>
  <conditionalFormatting sqref="AY38:AZ53">
    <cfRule type="cellIs" dxfId="589" priority="587" operator="lessThan">
      <formula>0</formula>
    </cfRule>
  </conditionalFormatting>
  <conditionalFormatting sqref="AY38:AZ53">
    <cfRule type="cellIs" dxfId="588" priority="586" operator="lessThan">
      <formula>0</formula>
    </cfRule>
  </conditionalFormatting>
  <conditionalFormatting sqref="AY38:AZ53">
    <cfRule type="cellIs" dxfId="587" priority="585" operator="lessThan">
      <formula>0</formula>
    </cfRule>
  </conditionalFormatting>
  <conditionalFormatting sqref="AY38:AZ53">
    <cfRule type="cellIs" dxfId="586" priority="584" operator="lessThan">
      <formula>0</formula>
    </cfRule>
  </conditionalFormatting>
  <conditionalFormatting sqref="AY38:AZ53">
    <cfRule type="cellIs" dxfId="585" priority="583" operator="lessThan">
      <formula>0</formula>
    </cfRule>
  </conditionalFormatting>
  <conditionalFormatting sqref="AY38:AZ53">
    <cfRule type="cellIs" dxfId="584" priority="582" operator="lessThan">
      <formula>0</formula>
    </cfRule>
  </conditionalFormatting>
  <conditionalFormatting sqref="AY55:AZ59">
    <cfRule type="cellIs" dxfId="583" priority="581" operator="lessThan">
      <formula>0</formula>
    </cfRule>
  </conditionalFormatting>
  <conditionalFormatting sqref="AY55:AZ59">
    <cfRule type="cellIs" dxfId="582" priority="580" operator="lessThan">
      <formula>0</formula>
    </cfRule>
  </conditionalFormatting>
  <conditionalFormatting sqref="AY55:AZ59">
    <cfRule type="cellIs" dxfId="581" priority="579" operator="lessThan">
      <formula>0</formula>
    </cfRule>
  </conditionalFormatting>
  <conditionalFormatting sqref="AY55:AZ59">
    <cfRule type="cellIs" dxfId="580" priority="578" operator="lessThan">
      <formula>0</formula>
    </cfRule>
  </conditionalFormatting>
  <conditionalFormatting sqref="AY55:AZ59">
    <cfRule type="cellIs" dxfId="579" priority="577" operator="lessThan">
      <formula>0</formula>
    </cfRule>
  </conditionalFormatting>
  <conditionalFormatting sqref="AY55:AZ59">
    <cfRule type="cellIs" dxfId="578" priority="576" operator="lessThan">
      <formula>0</formula>
    </cfRule>
  </conditionalFormatting>
  <conditionalFormatting sqref="AY55:AZ59">
    <cfRule type="cellIs" dxfId="577" priority="575" operator="lessThan">
      <formula>0</formula>
    </cfRule>
  </conditionalFormatting>
  <conditionalFormatting sqref="AY55:AZ59">
    <cfRule type="cellIs" dxfId="576" priority="574" operator="lessThan">
      <formula>0</formula>
    </cfRule>
  </conditionalFormatting>
  <conditionalFormatting sqref="AY55:AZ59">
    <cfRule type="cellIs" dxfId="575" priority="573" operator="lessThan">
      <formula>0</formula>
    </cfRule>
  </conditionalFormatting>
  <conditionalFormatting sqref="AW10:AX23">
    <cfRule type="cellIs" dxfId="574" priority="572" operator="lessThan">
      <formula>0</formula>
    </cfRule>
  </conditionalFormatting>
  <conditionalFormatting sqref="AW25:AX31">
    <cfRule type="cellIs" dxfId="573" priority="571" operator="lessThan">
      <formula>0</formula>
    </cfRule>
  </conditionalFormatting>
  <conditionalFormatting sqref="AW25:AX31">
    <cfRule type="cellIs" dxfId="572" priority="570" operator="lessThan">
      <formula>0</formula>
    </cfRule>
  </conditionalFormatting>
  <conditionalFormatting sqref="AW25:AX31">
    <cfRule type="cellIs" dxfId="571" priority="569" operator="lessThan">
      <formula>0</formula>
    </cfRule>
  </conditionalFormatting>
  <conditionalFormatting sqref="AW33:AX36">
    <cfRule type="cellIs" dxfId="570" priority="568" operator="lessThan">
      <formula>0</formula>
    </cfRule>
  </conditionalFormatting>
  <conditionalFormatting sqref="AW33:AX36">
    <cfRule type="cellIs" dxfId="569" priority="567" operator="lessThan">
      <formula>0</formula>
    </cfRule>
  </conditionalFormatting>
  <conditionalFormatting sqref="AW33:AX36">
    <cfRule type="cellIs" dxfId="568" priority="566" operator="lessThan">
      <formula>0</formula>
    </cfRule>
  </conditionalFormatting>
  <conditionalFormatting sqref="AW33:AX36">
    <cfRule type="cellIs" dxfId="567" priority="565" operator="lessThan">
      <formula>0</formula>
    </cfRule>
  </conditionalFormatting>
  <conditionalFormatting sqref="AW33:AX36">
    <cfRule type="cellIs" dxfId="566" priority="564" operator="lessThan">
      <formula>0</formula>
    </cfRule>
  </conditionalFormatting>
  <conditionalFormatting sqref="AW38:AX53">
    <cfRule type="cellIs" dxfId="565" priority="563" operator="lessThan">
      <formula>0</formula>
    </cfRule>
  </conditionalFormatting>
  <conditionalFormatting sqref="AW38:AX53">
    <cfRule type="cellIs" dxfId="564" priority="562" operator="lessThan">
      <formula>0</formula>
    </cfRule>
  </conditionalFormatting>
  <conditionalFormatting sqref="AW38:AX53">
    <cfRule type="cellIs" dxfId="563" priority="561" operator="lessThan">
      <formula>0</formula>
    </cfRule>
  </conditionalFormatting>
  <conditionalFormatting sqref="AW38:AX53">
    <cfRule type="cellIs" dxfId="562" priority="560" operator="lessThan">
      <formula>0</formula>
    </cfRule>
  </conditionalFormatting>
  <conditionalFormatting sqref="AW38:AX53">
    <cfRule type="cellIs" dxfId="561" priority="559" operator="lessThan">
      <formula>0</formula>
    </cfRule>
  </conditionalFormatting>
  <conditionalFormatting sqref="AW38:AX53">
    <cfRule type="cellIs" dxfId="560" priority="558" operator="lessThan">
      <formula>0</formula>
    </cfRule>
  </conditionalFormatting>
  <conditionalFormatting sqref="AW38:AX53">
    <cfRule type="cellIs" dxfId="559" priority="557" operator="lessThan">
      <formula>0</formula>
    </cfRule>
  </conditionalFormatting>
  <conditionalFormatting sqref="AW55:AX59">
    <cfRule type="cellIs" dxfId="558" priority="556" operator="lessThan">
      <formula>0</formula>
    </cfRule>
  </conditionalFormatting>
  <conditionalFormatting sqref="AW55:AX59">
    <cfRule type="cellIs" dxfId="557" priority="555" operator="lessThan">
      <formula>0</formula>
    </cfRule>
  </conditionalFormatting>
  <conditionalFormatting sqref="AW55:AX59">
    <cfRule type="cellIs" dxfId="556" priority="554" operator="lessThan">
      <formula>0</formula>
    </cfRule>
  </conditionalFormatting>
  <conditionalFormatting sqref="AW55:AX59">
    <cfRule type="cellIs" dxfId="555" priority="553" operator="lessThan">
      <formula>0</formula>
    </cfRule>
  </conditionalFormatting>
  <conditionalFormatting sqref="AW55:AX59">
    <cfRule type="cellIs" dxfId="554" priority="552" operator="lessThan">
      <formula>0</formula>
    </cfRule>
  </conditionalFormatting>
  <conditionalFormatting sqref="AW55:AX59">
    <cfRule type="cellIs" dxfId="553" priority="551" operator="lessThan">
      <formula>0</formula>
    </cfRule>
  </conditionalFormatting>
  <conditionalFormatting sqref="AW55:AX59">
    <cfRule type="cellIs" dxfId="552" priority="550" operator="lessThan">
      <formula>0</formula>
    </cfRule>
  </conditionalFormatting>
  <conditionalFormatting sqref="AW55:AX59">
    <cfRule type="cellIs" dxfId="551" priority="549" operator="lessThan">
      <formula>0</formula>
    </cfRule>
  </conditionalFormatting>
  <conditionalFormatting sqref="AW55:AX59">
    <cfRule type="cellIs" dxfId="550" priority="548" operator="lessThan">
      <formula>0</formula>
    </cfRule>
  </conditionalFormatting>
  <conditionalFormatting sqref="AW10:AZ23">
    <cfRule type="cellIs" dxfId="549" priority="547" operator="lessThan">
      <formula>0</formula>
    </cfRule>
  </conditionalFormatting>
  <conditionalFormatting sqref="AW25:AZ31">
    <cfRule type="cellIs" dxfId="548" priority="546" operator="lessThan">
      <formula>0</formula>
    </cfRule>
  </conditionalFormatting>
  <conditionalFormatting sqref="AW25:AZ31">
    <cfRule type="cellIs" dxfId="547" priority="545" operator="lessThan">
      <formula>0</formula>
    </cfRule>
  </conditionalFormatting>
  <conditionalFormatting sqref="AY25:AZ31">
    <cfRule type="cellIs" dxfId="546" priority="544" operator="lessThan">
      <formula>0</formula>
    </cfRule>
  </conditionalFormatting>
  <conditionalFormatting sqref="AW25:AX31">
    <cfRule type="cellIs" dxfId="545" priority="543" operator="lessThan">
      <formula>0</formula>
    </cfRule>
  </conditionalFormatting>
  <conditionalFormatting sqref="AW25:AZ31">
    <cfRule type="cellIs" dxfId="544" priority="542" operator="lessThan">
      <formula>0</formula>
    </cfRule>
  </conditionalFormatting>
  <conditionalFormatting sqref="AW33:AZ36">
    <cfRule type="cellIs" dxfId="543" priority="541" operator="lessThan">
      <formula>0</formula>
    </cfRule>
  </conditionalFormatting>
  <conditionalFormatting sqref="AW33:AZ36">
    <cfRule type="cellIs" dxfId="542" priority="540" operator="lessThan">
      <formula>0</formula>
    </cfRule>
  </conditionalFormatting>
  <conditionalFormatting sqref="AY33:AZ36">
    <cfRule type="cellIs" dxfId="541" priority="539" operator="lessThan">
      <formula>0</formula>
    </cfRule>
  </conditionalFormatting>
  <conditionalFormatting sqref="AY33:AZ36">
    <cfRule type="cellIs" dxfId="540" priority="538" operator="lessThan">
      <formula>0</formula>
    </cfRule>
  </conditionalFormatting>
  <conditionalFormatting sqref="AY33:AZ36">
    <cfRule type="cellIs" dxfId="539" priority="537" operator="lessThan">
      <formula>0</formula>
    </cfRule>
  </conditionalFormatting>
  <conditionalFormatting sqref="AW33:AX36">
    <cfRule type="cellIs" dxfId="538" priority="536" operator="lessThan">
      <formula>0</formula>
    </cfRule>
  </conditionalFormatting>
  <conditionalFormatting sqref="AW33:AX36">
    <cfRule type="cellIs" dxfId="537" priority="535" operator="lessThan">
      <formula>0</formula>
    </cfRule>
  </conditionalFormatting>
  <conditionalFormatting sqref="AW33:AX36">
    <cfRule type="cellIs" dxfId="536" priority="534" operator="lessThan">
      <formula>0</formula>
    </cfRule>
  </conditionalFormatting>
  <conditionalFormatting sqref="AW33:AZ36">
    <cfRule type="cellIs" dxfId="535" priority="533" operator="lessThan">
      <formula>0</formula>
    </cfRule>
  </conditionalFormatting>
  <conditionalFormatting sqref="AW33:AZ36">
    <cfRule type="cellIs" dxfId="534" priority="532" operator="lessThan">
      <formula>0</formula>
    </cfRule>
  </conditionalFormatting>
  <conditionalFormatting sqref="AY33:AZ36">
    <cfRule type="cellIs" dxfId="533" priority="531" operator="lessThan">
      <formula>0</formula>
    </cfRule>
  </conditionalFormatting>
  <conditionalFormatting sqref="AW33:AX36">
    <cfRule type="cellIs" dxfId="532" priority="530" operator="lessThan">
      <formula>0</formula>
    </cfRule>
  </conditionalFormatting>
  <conditionalFormatting sqref="AW33:AZ36">
    <cfRule type="cellIs" dxfId="531" priority="529" operator="lessThan">
      <formula>0</formula>
    </cfRule>
  </conditionalFormatting>
  <conditionalFormatting sqref="AW38:AZ53">
    <cfRule type="cellIs" dxfId="530" priority="528" operator="lessThan">
      <formula>0</formula>
    </cfRule>
  </conditionalFormatting>
  <conditionalFormatting sqref="AW38:AZ53">
    <cfRule type="cellIs" dxfId="529" priority="527" operator="lessThan">
      <formula>0</formula>
    </cfRule>
  </conditionalFormatting>
  <conditionalFormatting sqref="AY38:AZ53">
    <cfRule type="cellIs" dxfId="528" priority="526" operator="lessThan">
      <formula>0</formula>
    </cfRule>
  </conditionalFormatting>
  <conditionalFormatting sqref="AY38:AZ53">
    <cfRule type="cellIs" dxfId="527" priority="525" operator="lessThan">
      <formula>0</formula>
    </cfRule>
  </conditionalFormatting>
  <conditionalFormatting sqref="AY38:AZ53">
    <cfRule type="cellIs" dxfId="526" priority="524" operator="lessThan">
      <formula>0</formula>
    </cfRule>
  </conditionalFormatting>
  <conditionalFormatting sqref="AY38:AZ53">
    <cfRule type="cellIs" dxfId="525" priority="523" operator="lessThan">
      <formula>0</formula>
    </cfRule>
  </conditionalFormatting>
  <conditionalFormatting sqref="AY38:AZ53">
    <cfRule type="cellIs" dxfId="524" priority="522" operator="lessThan">
      <formula>0</formula>
    </cfRule>
  </conditionalFormatting>
  <conditionalFormatting sqref="AW38:AX53">
    <cfRule type="cellIs" dxfId="523" priority="521" operator="lessThan">
      <formula>0</formula>
    </cfRule>
  </conditionalFormatting>
  <conditionalFormatting sqref="AW38:AX53">
    <cfRule type="cellIs" dxfId="522" priority="520" operator="lessThan">
      <formula>0</formula>
    </cfRule>
  </conditionalFormatting>
  <conditionalFormatting sqref="AW38:AX53">
    <cfRule type="cellIs" dxfId="521" priority="519" operator="lessThan">
      <formula>0</formula>
    </cfRule>
  </conditionalFormatting>
  <conditionalFormatting sqref="AW38:AX53">
    <cfRule type="cellIs" dxfId="520" priority="518" operator="lessThan">
      <formula>0</formula>
    </cfRule>
  </conditionalFormatting>
  <conditionalFormatting sqref="AW38:AX53">
    <cfRule type="cellIs" dxfId="519" priority="517" operator="lessThan">
      <formula>0</formula>
    </cfRule>
  </conditionalFormatting>
  <conditionalFormatting sqref="AW38:AZ53">
    <cfRule type="cellIs" dxfId="518" priority="516" operator="lessThan">
      <formula>0</formula>
    </cfRule>
  </conditionalFormatting>
  <conditionalFormatting sqref="AW38:AZ53">
    <cfRule type="cellIs" dxfId="517" priority="515" operator="lessThan">
      <formula>0</formula>
    </cfRule>
  </conditionalFormatting>
  <conditionalFormatting sqref="AY38:AZ53">
    <cfRule type="cellIs" dxfId="516" priority="514" operator="lessThan">
      <formula>0</formula>
    </cfRule>
  </conditionalFormatting>
  <conditionalFormatting sqref="AY38:AZ53">
    <cfRule type="cellIs" dxfId="515" priority="513" operator="lessThan">
      <formula>0</formula>
    </cfRule>
  </conditionalFormatting>
  <conditionalFormatting sqref="AY38:AZ53">
    <cfRule type="cellIs" dxfId="514" priority="512" operator="lessThan">
      <formula>0</formula>
    </cfRule>
  </conditionalFormatting>
  <conditionalFormatting sqref="AW38:AX53">
    <cfRule type="cellIs" dxfId="513" priority="511" operator="lessThan">
      <formula>0</formula>
    </cfRule>
  </conditionalFormatting>
  <conditionalFormatting sqref="AW38:AX53">
    <cfRule type="cellIs" dxfId="512" priority="510" operator="lessThan">
      <formula>0</formula>
    </cfRule>
  </conditionalFormatting>
  <conditionalFormatting sqref="AW38:AX53">
    <cfRule type="cellIs" dxfId="511" priority="509" operator="lessThan">
      <formula>0</formula>
    </cfRule>
  </conditionalFormatting>
  <conditionalFormatting sqref="AW38:AZ53">
    <cfRule type="cellIs" dxfId="510" priority="508" operator="lessThan">
      <formula>0</formula>
    </cfRule>
  </conditionalFormatting>
  <conditionalFormatting sqref="AW38:AZ53">
    <cfRule type="cellIs" dxfId="509" priority="507" operator="lessThan">
      <formula>0</formula>
    </cfRule>
  </conditionalFormatting>
  <conditionalFormatting sqref="AY38:AZ53">
    <cfRule type="cellIs" dxfId="508" priority="506" operator="lessThan">
      <formula>0</formula>
    </cfRule>
  </conditionalFormatting>
  <conditionalFormatting sqref="AW38:AX53">
    <cfRule type="cellIs" dxfId="507" priority="505" operator="lessThan">
      <formula>0</formula>
    </cfRule>
  </conditionalFormatting>
  <conditionalFormatting sqref="AW38:AZ53">
    <cfRule type="cellIs" dxfId="506" priority="504" operator="lessThan">
      <formula>0</formula>
    </cfRule>
  </conditionalFormatting>
  <conditionalFormatting sqref="AW55:AZ59">
    <cfRule type="cellIs" dxfId="505" priority="503" operator="lessThan">
      <formula>0</formula>
    </cfRule>
  </conditionalFormatting>
  <conditionalFormatting sqref="AW55:AZ59">
    <cfRule type="cellIs" dxfId="504" priority="502" operator="lessThan">
      <formula>0</formula>
    </cfRule>
  </conditionalFormatting>
  <conditionalFormatting sqref="AY55:AZ59">
    <cfRule type="cellIs" dxfId="503" priority="501" operator="lessThan">
      <formula>0</formula>
    </cfRule>
  </conditionalFormatting>
  <conditionalFormatting sqref="AY55:AZ59">
    <cfRule type="cellIs" dxfId="502" priority="500" operator="lessThan">
      <formula>0</formula>
    </cfRule>
  </conditionalFormatting>
  <conditionalFormatting sqref="AY55:AZ59">
    <cfRule type="cellIs" dxfId="501" priority="499" operator="lessThan">
      <formula>0</formula>
    </cfRule>
  </conditionalFormatting>
  <conditionalFormatting sqref="AY55:AZ59">
    <cfRule type="cellIs" dxfId="500" priority="498" operator="lessThan">
      <formula>0</formula>
    </cfRule>
  </conditionalFormatting>
  <conditionalFormatting sqref="AY55:AZ59">
    <cfRule type="cellIs" dxfId="499" priority="497" operator="lessThan">
      <formula>0</formula>
    </cfRule>
  </conditionalFormatting>
  <conditionalFormatting sqref="AY55:AZ59">
    <cfRule type="cellIs" dxfId="498" priority="496" operator="lessThan">
      <formula>0</formula>
    </cfRule>
  </conditionalFormatting>
  <conditionalFormatting sqref="AY55:AZ59">
    <cfRule type="cellIs" dxfId="497" priority="495" operator="lessThan">
      <formula>0</formula>
    </cfRule>
  </conditionalFormatting>
  <conditionalFormatting sqref="AW55:AX59">
    <cfRule type="cellIs" dxfId="496" priority="494" operator="lessThan">
      <formula>0</formula>
    </cfRule>
  </conditionalFormatting>
  <conditionalFormatting sqref="AW55:AX59">
    <cfRule type="cellIs" dxfId="495" priority="493" operator="lessThan">
      <formula>0</formula>
    </cfRule>
  </conditionalFormatting>
  <conditionalFormatting sqref="AW55:AX59">
    <cfRule type="cellIs" dxfId="494" priority="492" operator="lessThan">
      <formula>0</formula>
    </cfRule>
  </conditionalFormatting>
  <conditionalFormatting sqref="AW55:AX59">
    <cfRule type="cellIs" dxfId="493" priority="491" operator="lessThan">
      <formula>0</formula>
    </cfRule>
  </conditionalFormatting>
  <conditionalFormatting sqref="AW55:AX59">
    <cfRule type="cellIs" dxfId="492" priority="490" operator="lessThan">
      <formula>0</formula>
    </cfRule>
  </conditionalFormatting>
  <conditionalFormatting sqref="AW55:AX59">
    <cfRule type="cellIs" dxfId="491" priority="489" operator="lessThan">
      <formula>0</formula>
    </cfRule>
  </conditionalFormatting>
  <conditionalFormatting sqref="AW55:AX59">
    <cfRule type="cellIs" dxfId="490" priority="488" operator="lessThan">
      <formula>0</formula>
    </cfRule>
  </conditionalFormatting>
  <conditionalFormatting sqref="AW55:AZ59">
    <cfRule type="cellIs" dxfId="489" priority="487" operator="lessThan">
      <formula>0</formula>
    </cfRule>
  </conditionalFormatting>
  <conditionalFormatting sqref="AW55:AZ59">
    <cfRule type="cellIs" dxfId="488" priority="486" operator="lessThan">
      <formula>0</formula>
    </cfRule>
  </conditionalFormatting>
  <conditionalFormatting sqref="AY55:AZ59">
    <cfRule type="cellIs" dxfId="487" priority="485" operator="lessThan">
      <formula>0</formula>
    </cfRule>
  </conditionalFormatting>
  <conditionalFormatting sqref="AY55:AZ59">
    <cfRule type="cellIs" dxfId="486" priority="484" operator="lessThan">
      <formula>0</formula>
    </cfRule>
  </conditionalFormatting>
  <conditionalFormatting sqref="AY55:AZ59">
    <cfRule type="cellIs" dxfId="485" priority="483" operator="lessThan">
      <formula>0</formula>
    </cfRule>
  </conditionalFormatting>
  <conditionalFormatting sqref="AY55:AZ59">
    <cfRule type="cellIs" dxfId="484" priority="482" operator="lessThan">
      <formula>0</formula>
    </cfRule>
  </conditionalFormatting>
  <conditionalFormatting sqref="AY55:AZ59">
    <cfRule type="cellIs" dxfId="483" priority="481" operator="lessThan">
      <formula>0</formula>
    </cfRule>
  </conditionalFormatting>
  <conditionalFormatting sqref="AW55:AX59">
    <cfRule type="cellIs" dxfId="482" priority="480" operator="lessThan">
      <formula>0</formula>
    </cfRule>
  </conditionalFormatting>
  <conditionalFormatting sqref="AW55:AX59">
    <cfRule type="cellIs" dxfId="481" priority="479" operator="lessThan">
      <formula>0</formula>
    </cfRule>
  </conditionalFormatting>
  <conditionalFormatting sqref="AW55:AX59">
    <cfRule type="cellIs" dxfId="480" priority="478" operator="lessThan">
      <formula>0</formula>
    </cfRule>
  </conditionalFormatting>
  <conditionalFormatting sqref="AW55:AX59">
    <cfRule type="cellIs" dxfId="479" priority="477" operator="lessThan">
      <formula>0</formula>
    </cfRule>
  </conditionalFormatting>
  <conditionalFormatting sqref="AW55:AX59">
    <cfRule type="cellIs" dxfId="478" priority="476" operator="lessThan">
      <formula>0</formula>
    </cfRule>
  </conditionalFormatting>
  <conditionalFormatting sqref="AW55:AZ59">
    <cfRule type="cellIs" dxfId="477" priority="475" operator="lessThan">
      <formula>0</formula>
    </cfRule>
  </conditionalFormatting>
  <conditionalFormatting sqref="AW55:AZ59">
    <cfRule type="cellIs" dxfId="476" priority="474" operator="lessThan">
      <formula>0</formula>
    </cfRule>
  </conditionalFormatting>
  <conditionalFormatting sqref="AY55:AZ59">
    <cfRule type="cellIs" dxfId="475" priority="473" operator="lessThan">
      <formula>0</formula>
    </cfRule>
  </conditionalFormatting>
  <conditionalFormatting sqref="AY55:AZ59">
    <cfRule type="cellIs" dxfId="474" priority="472" operator="lessThan">
      <formula>0</formula>
    </cfRule>
  </conditionalFormatting>
  <conditionalFormatting sqref="AY55:AZ59">
    <cfRule type="cellIs" dxfId="473" priority="471" operator="lessThan">
      <formula>0</formula>
    </cfRule>
  </conditionalFormatting>
  <conditionalFormatting sqref="AW55:AX59">
    <cfRule type="cellIs" dxfId="472" priority="470" operator="lessThan">
      <formula>0</formula>
    </cfRule>
  </conditionalFormatting>
  <conditionalFormatting sqref="AW55:AX59">
    <cfRule type="cellIs" dxfId="471" priority="469" operator="lessThan">
      <formula>0</formula>
    </cfRule>
  </conditionalFormatting>
  <conditionalFormatting sqref="AW55:AX59">
    <cfRule type="cellIs" dxfId="470" priority="468" operator="lessThan">
      <formula>0</formula>
    </cfRule>
  </conditionalFormatting>
  <conditionalFormatting sqref="AW55:AZ59">
    <cfRule type="cellIs" dxfId="469" priority="467" operator="lessThan">
      <formula>0</formula>
    </cfRule>
  </conditionalFormatting>
  <conditionalFormatting sqref="AW55:AZ59">
    <cfRule type="cellIs" dxfId="468" priority="466" operator="lessThan">
      <formula>0</formula>
    </cfRule>
  </conditionalFormatting>
  <conditionalFormatting sqref="AY55:AZ59">
    <cfRule type="cellIs" dxfId="467" priority="465" operator="lessThan">
      <formula>0</formula>
    </cfRule>
  </conditionalFormatting>
  <conditionalFormatting sqref="AW55:AX59">
    <cfRule type="cellIs" dxfId="466" priority="464" operator="lessThan">
      <formula>0</formula>
    </cfRule>
  </conditionalFormatting>
  <conditionalFormatting sqref="AW55:AZ59">
    <cfRule type="cellIs" dxfId="465" priority="463" operator="lessThan">
      <formula>0</formula>
    </cfRule>
  </conditionalFormatting>
  <conditionalFormatting sqref="BB3:BR59">
    <cfRule type="cellIs" dxfId="464" priority="462" operator="lessThan">
      <formula>0</formula>
    </cfRule>
  </conditionalFormatting>
  <conditionalFormatting sqref="BB23:BB24 BC24:BR24">
    <cfRule type="cellIs" dxfId="463" priority="461" operator="lessThan">
      <formula>0</formula>
    </cfRule>
  </conditionalFormatting>
  <conditionalFormatting sqref="BB50:BB51 BB8:BQ9 BB3:BQ4 BB32:BB37 BC32:BR32 BN5:BQ7 BR3:BR9 BN10:BR31 BC37:BR37 BN33:BR36 BB54:BR54 BN38:BR53 BB57:BB59 BN55:BR59">
    <cfRule type="cellIs" dxfId="462" priority="460" operator="lessThan">
      <formula>0</formula>
    </cfRule>
  </conditionalFormatting>
  <conditionalFormatting sqref="BB19:BB22 BC21:BM21">
    <cfRule type="cellIs" dxfId="461" priority="459" operator="lessThan">
      <formula>0</formula>
    </cfRule>
  </conditionalFormatting>
  <conditionalFormatting sqref="BB25:BB31 BC31:BQ31">
    <cfRule type="cellIs" dxfId="460" priority="458" operator="lessThan">
      <formula>0</formula>
    </cfRule>
  </conditionalFormatting>
  <conditionalFormatting sqref="BB5:BQ7">
    <cfRule type="cellIs" dxfId="459" priority="457" operator="lessThan">
      <formula>0</formula>
    </cfRule>
  </conditionalFormatting>
  <conditionalFormatting sqref="BB16:BB18">
    <cfRule type="cellIs" dxfId="458" priority="456" operator="lessThan">
      <formula>0</formula>
    </cfRule>
  </conditionalFormatting>
  <conditionalFormatting sqref="BB10:BB20">
    <cfRule type="cellIs" dxfId="457" priority="455" operator="lessThan">
      <formula>0</formula>
    </cfRule>
  </conditionalFormatting>
  <conditionalFormatting sqref="BB55:BB59">
    <cfRule type="cellIs" dxfId="456" priority="454" operator="lessThan">
      <formula>0</formula>
    </cfRule>
  </conditionalFormatting>
  <conditionalFormatting sqref="BB52">
    <cfRule type="cellIs" dxfId="455" priority="453" operator="lessThan">
      <formula>0</formula>
    </cfRule>
  </conditionalFormatting>
  <conditionalFormatting sqref="BB53">
    <cfRule type="cellIs" dxfId="454" priority="452" operator="lessThan">
      <formula>0</formula>
    </cfRule>
  </conditionalFormatting>
  <conditionalFormatting sqref="BB38:BB53">
    <cfRule type="cellIs" dxfId="453" priority="451" operator="lessThan">
      <formula>0</formula>
    </cfRule>
  </conditionalFormatting>
  <conditionalFormatting sqref="BB49">
    <cfRule type="cellIs" dxfId="452" priority="450" operator="lessThan">
      <formula>0</formula>
    </cfRule>
  </conditionalFormatting>
  <conditionalFormatting sqref="BB10:BQ20 BN21:BQ23">
    <cfRule type="cellIs" dxfId="451" priority="449" operator="lessThan">
      <formula>0</formula>
    </cfRule>
  </conditionalFormatting>
  <conditionalFormatting sqref="BB21:BM21">
    <cfRule type="cellIs" dxfId="450" priority="448" operator="lessThan">
      <formula>0</formula>
    </cfRule>
  </conditionalFormatting>
  <conditionalFormatting sqref="BB21:BQ21">
    <cfRule type="cellIs" dxfId="449" priority="447" operator="lessThan">
      <formula>0</formula>
    </cfRule>
  </conditionalFormatting>
  <conditionalFormatting sqref="BB22">
    <cfRule type="cellIs" dxfId="448" priority="446" operator="lessThan">
      <formula>0</formula>
    </cfRule>
  </conditionalFormatting>
  <conditionalFormatting sqref="BB22:BQ22">
    <cfRule type="cellIs" dxfId="447" priority="445" operator="lessThan">
      <formula>0</formula>
    </cfRule>
  </conditionalFormatting>
  <conditionalFormatting sqref="BB23">
    <cfRule type="cellIs" dxfId="446" priority="444" operator="lessThan">
      <formula>0</formula>
    </cfRule>
  </conditionalFormatting>
  <conditionalFormatting sqref="BB23">
    <cfRule type="cellIs" dxfId="445" priority="443" operator="lessThan">
      <formula>0</formula>
    </cfRule>
  </conditionalFormatting>
  <conditionalFormatting sqref="BB23:BQ23">
    <cfRule type="cellIs" dxfId="444" priority="442" operator="lessThan">
      <formula>0</formula>
    </cfRule>
  </conditionalFormatting>
  <conditionalFormatting sqref="BB25:BB31">
    <cfRule type="cellIs" dxfId="443" priority="441" operator="lessThan">
      <formula>0</formula>
    </cfRule>
  </conditionalFormatting>
  <conditionalFormatting sqref="BB25:BB31">
    <cfRule type="cellIs" dxfId="442" priority="440" operator="lessThan">
      <formula>0</formula>
    </cfRule>
  </conditionalFormatting>
  <conditionalFormatting sqref="BB25:BQ31">
    <cfRule type="cellIs" dxfId="441" priority="439" operator="lessThan">
      <formula>0</formula>
    </cfRule>
  </conditionalFormatting>
  <conditionalFormatting sqref="BB33:BQ36">
    <cfRule type="cellIs" dxfId="440" priority="438" operator="lessThan">
      <formula>0</formula>
    </cfRule>
  </conditionalFormatting>
  <conditionalFormatting sqref="BB33:BB36">
    <cfRule type="cellIs" dxfId="439" priority="437" operator="lessThan">
      <formula>0</formula>
    </cfRule>
  </conditionalFormatting>
  <conditionalFormatting sqref="BB33:BB36">
    <cfRule type="cellIs" dxfId="438" priority="436" operator="lessThan">
      <formula>0</formula>
    </cfRule>
  </conditionalFormatting>
  <conditionalFormatting sqref="BB33:BQ36">
    <cfRule type="cellIs" dxfId="437" priority="435" operator="lessThan">
      <formula>0</formula>
    </cfRule>
  </conditionalFormatting>
  <conditionalFormatting sqref="BB38:BB53">
    <cfRule type="cellIs" dxfId="436" priority="434" operator="lessThan">
      <formula>0</formula>
    </cfRule>
  </conditionalFormatting>
  <conditionalFormatting sqref="BB38:BQ53">
    <cfRule type="cellIs" dxfId="435" priority="433" operator="lessThan">
      <formula>0</formula>
    </cfRule>
  </conditionalFormatting>
  <conditionalFormatting sqref="BB38:BB53">
    <cfRule type="cellIs" dxfId="434" priority="432" operator="lessThan">
      <formula>0</formula>
    </cfRule>
  </conditionalFormatting>
  <conditionalFormatting sqref="BB38:BB53">
    <cfRule type="cellIs" dxfId="433" priority="431" operator="lessThan">
      <formula>0</formula>
    </cfRule>
  </conditionalFormatting>
  <conditionalFormatting sqref="BB38:BQ53">
    <cfRule type="cellIs" dxfId="432" priority="430" operator="lessThan">
      <formula>0</formula>
    </cfRule>
  </conditionalFormatting>
  <conditionalFormatting sqref="BB55:BB59">
    <cfRule type="cellIs" dxfId="431" priority="429" operator="lessThan">
      <formula>0</formula>
    </cfRule>
  </conditionalFormatting>
  <conditionalFormatting sqref="BB55:BB59">
    <cfRule type="cellIs" dxfId="430" priority="428" operator="lessThan">
      <formula>0</formula>
    </cfRule>
  </conditionalFormatting>
  <conditionalFormatting sqref="BB55:BB59">
    <cfRule type="cellIs" dxfId="429" priority="427" operator="lessThan">
      <formula>0</formula>
    </cfRule>
  </conditionalFormatting>
  <conditionalFormatting sqref="BB55:BQ59">
    <cfRule type="cellIs" dxfId="428" priority="426" operator="lessThan">
      <formula>0</formula>
    </cfRule>
  </conditionalFormatting>
  <conditionalFormatting sqref="BB55:BB59">
    <cfRule type="cellIs" dxfId="427" priority="425" operator="lessThan">
      <formula>0</formula>
    </cfRule>
  </conditionalFormatting>
  <conditionalFormatting sqref="BB55:BB59">
    <cfRule type="cellIs" dxfId="426" priority="424" operator="lessThan">
      <formula>0</formula>
    </cfRule>
  </conditionalFormatting>
  <conditionalFormatting sqref="BB55:BQ59">
    <cfRule type="cellIs" dxfId="425" priority="423" operator="lessThan">
      <formula>0</formula>
    </cfRule>
  </conditionalFormatting>
  <conditionalFormatting sqref="BB3:BR3">
    <cfRule type="cellIs" dxfId="424" priority="422" operator="lessThan">
      <formula>0</formula>
    </cfRule>
  </conditionalFormatting>
  <conditionalFormatting sqref="BB3:BR3">
    <cfRule type="cellIs" dxfId="423" priority="421" operator="lessThan">
      <formula>0</formula>
    </cfRule>
  </conditionalFormatting>
  <conditionalFormatting sqref="BP10:BQ23">
    <cfRule type="cellIs" dxfId="422" priority="420" operator="lessThan">
      <formula>0</formula>
    </cfRule>
  </conditionalFormatting>
  <conditionalFormatting sqref="BP25:BQ31">
    <cfRule type="cellIs" dxfId="421" priority="419" operator="lessThan">
      <formula>0</formula>
    </cfRule>
  </conditionalFormatting>
  <conditionalFormatting sqref="BP25:BQ31">
    <cfRule type="cellIs" dxfId="420" priority="418" operator="lessThan">
      <formula>0</formula>
    </cfRule>
  </conditionalFormatting>
  <conditionalFormatting sqref="BP25:BQ31">
    <cfRule type="cellIs" dxfId="419" priority="417" operator="lessThan">
      <formula>0</formula>
    </cfRule>
  </conditionalFormatting>
  <conditionalFormatting sqref="BP33:BQ36">
    <cfRule type="cellIs" dxfId="418" priority="416" operator="lessThan">
      <formula>0</formula>
    </cfRule>
  </conditionalFormatting>
  <conditionalFormatting sqref="BP33:BQ36">
    <cfRule type="cellIs" dxfId="417" priority="415" operator="lessThan">
      <formula>0</formula>
    </cfRule>
  </conditionalFormatting>
  <conditionalFormatting sqref="BP33:BQ36">
    <cfRule type="cellIs" dxfId="416" priority="414" operator="lessThan">
      <formula>0</formula>
    </cfRule>
  </conditionalFormatting>
  <conditionalFormatting sqref="BP33:BQ36">
    <cfRule type="cellIs" dxfId="415" priority="413" operator="lessThan">
      <formula>0</formula>
    </cfRule>
  </conditionalFormatting>
  <conditionalFormatting sqref="BP33:BQ36">
    <cfRule type="cellIs" dxfId="414" priority="412" operator="lessThan">
      <formula>0</formula>
    </cfRule>
  </conditionalFormatting>
  <conditionalFormatting sqref="BP38:BQ53">
    <cfRule type="cellIs" dxfId="413" priority="411" operator="lessThan">
      <formula>0</formula>
    </cfRule>
  </conditionalFormatting>
  <conditionalFormatting sqref="BP38:BQ53">
    <cfRule type="cellIs" dxfId="412" priority="410" operator="lessThan">
      <formula>0</formula>
    </cfRule>
  </conditionalFormatting>
  <conditionalFormatting sqref="BP38:BQ53">
    <cfRule type="cellIs" dxfId="411" priority="409" operator="lessThan">
      <formula>0</formula>
    </cfRule>
  </conditionalFormatting>
  <conditionalFormatting sqref="BP38:BQ53">
    <cfRule type="cellIs" dxfId="410" priority="408" operator="lessThan">
      <formula>0</formula>
    </cfRule>
  </conditionalFormatting>
  <conditionalFormatting sqref="BP38:BQ53">
    <cfRule type="cellIs" dxfId="409" priority="407" operator="lessThan">
      <formula>0</formula>
    </cfRule>
  </conditionalFormatting>
  <conditionalFormatting sqref="BP38:BQ53">
    <cfRule type="cellIs" dxfId="408" priority="406" operator="lessThan">
      <formula>0</formula>
    </cfRule>
  </conditionalFormatting>
  <conditionalFormatting sqref="BP38:BQ53">
    <cfRule type="cellIs" dxfId="407" priority="405" operator="lessThan">
      <formula>0</formula>
    </cfRule>
  </conditionalFormatting>
  <conditionalFormatting sqref="BP55:BQ59">
    <cfRule type="cellIs" dxfId="406" priority="404" operator="lessThan">
      <formula>0</formula>
    </cfRule>
  </conditionalFormatting>
  <conditionalFormatting sqref="BP55:BQ59">
    <cfRule type="cellIs" dxfId="405" priority="403" operator="lessThan">
      <formula>0</formula>
    </cfRule>
  </conditionalFormatting>
  <conditionalFormatting sqref="BP55:BQ59">
    <cfRule type="cellIs" dxfId="404" priority="402" operator="lessThan">
      <formula>0</formula>
    </cfRule>
  </conditionalFormatting>
  <conditionalFormatting sqref="BP55:BQ59">
    <cfRule type="cellIs" dxfId="403" priority="401" operator="lessThan">
      <formula>0</formula>
    </cfRule>
  </conditionalFormatting>
  <conditionalFormatting sqref="BP55:BQ59">
    <cfRule type="cellIs" dxfId="402" priority="400" operator="lessThan">
      <formula>0</formula>
    </cfRule>
  </conditionalFormatting>
  <conditionalFormatting sqref="BP55:BQ59">
    <cfRule type="cellIs" dxfId="401" priority="399" operator="lessThan">
      <formula>0</formula>
    </cfRule>
  </conditionalFormatting>
  <conditionalFormatting sqref="BP55:BQ59">
    <cfRule type="cellIs" dxfId="400" priority="398" operator="lessThan">
      <formula>0</formula>
    </cfRule>
  </conditionalFormatting>
  <conditionalFormatting sqref="BP55:BQ59">
    <cfRule type="cellIs" dxfId="399" priority="397" operator="lessThan">
      <formula>0</formula>
    </cfRule>
  </conditionalFormatting>
  <conditionalFormatting sqref="BP55:BQ59">
    <cfRule type="cellIs" dxfId="398" priority="396" operator="lessThan">
      <formula>0</formula>
    </cfRule>
  </conditionalFormatting>
  <conditionalFormatting sqref="BN10:BO23">
    <cfRule type="cellIs" dxfId="397" priority="395" operator="lessThan">
      <formula>0</formula>
    </cfRule>
  </conditionalFormatting>
  <conditionalFormatting sqref="BN25:BO31">
    <cfRule type="cellIs" dxfId="396" priority="394" operator="lessThan">
      <formula>0</formula>
    </cfRule>
  </conditionalFormatting>
  <conditionalFormatting sqref="BN25:BO31">
    <cfRule type="cellIs" dxfId="395" priority="393" operator="lessThan">
      <formula>0</formula>
    </cfRule>
  </conditionalFormatting>
  <conditionalFormatting sqref="BN25:BO31">
    <cfRule type="cellIs" dxfId="394" priority="392" operator="lessThan">
      <formula>0</formula>
    </cfRule>
  </conditionalFormatting>
  <conditionalFormatting sqref="BN33:BO36">
    <cfRule type="cellIs" dxfId="393" priority="391" operator="lessThan">
      <formula>0</formula>
    </cfRule>
  </conditionalFormatting>
  <conditionalFormatting sqref="BN33:BO36">
    <cfRule type="cellIs" dxfId="392" priority="390" operator="lessThan">
      <formula>0</formula>
    </cfRule>
  </conditionalFormatting>
  <conditionalFormatting sqref="BN33:BO36">
    <cfRule type="cellIs" dxfId="391" priority="389" operator="lessThan">
      <formula>0</formula>
    </cfRule>
  </conditionalFormatting>
  <conditionalFormatting sqref="BN33:BO36">
    <cfRule type="cellIs" dxfId="390" priority="388" operator="lessThan">
      <formula>0</formula>
    </cfRule>
  </conditionalFormatting>
  <conditionalFormatting sqref="BN33:BO36">
    <cfRule type="cellIs" dxfId="389" priority="387" operator="lessThan">
      <formula>0</formula>
    </cfRule>
  </conditionalFormatting>
  <conditionalFormatting sqref="BN38:BO53">
    <cfRule type="cellIs" dxfId="388" priority="386" operator="lessThan">
      <formula>0</formula>
    </cfRule>
  </conditionalFormatting>
  <conditionalFormatting sqref="BN38:BO53">
    <cfRule type="cellIs" dxfId="387" priority="385" operator="lessThan">
      <formula>0</formula>
    </cfRule>
  </conditionalFormatting>
  <conditionalFormatting sqref="BN38:BO53">
    <cfRule type="cellIs" dxfId="386" priority="384" operator="lessThan">
      <formula>0</formula>
    </cfRule>
  </conditionalFormatting>
  <conditionalFormatting sqref="BN38:BO53">
    <cfRule type="cellIs" dxfId="385" priority="383" operator="lessThan">
      <formula>0</formula>
    </cfRule>
  </conditionalFormatting>
  <conditionalFormatting sqref="BN38:BO53">
    <cfRule type="cellIs" dxfId="384" priority="382" operator="lessThan">
      <formula>0</formula>
    </cfRule>
  </conditionalFormatting>
  <conditionalFormatting sqref="BN38:BO53">
    <cfRule type="cellIs" dxfId="383" priority="381" operator="lessThan">
      <formula>0</formula>
    </cfRule>
  </conditionalFormatting>
  <conditionalFormatting sqref="BN38:BO53">
    <cfRule type="cellIs" dxfId="382" priority="380" operator="lessThan">
      <formula>0</formula>
    </cfRule>
  </conditionalFormatting>
  <conditionalFormatting sqref="BN55:BO59">
    <cfRule type="cellIs" dxfId="381" priority="379" operator="lessThan">
      <formula>0</formula>
    </cfRule>
  </conditionalFormatting>
  <conditionalFormatting sqref="BN55:BO59">
    <cfRule type="cellIs" dxfId="380" priority="378" operator="lessThan">
      <formula>0</formula>
    </cfRule>
  </conditionalFormatting>
  <conditionalFormatting sqref="BN55:BO59">
    <cfRule type="cellIs" dxfId="379" priority="377" operator="lessThan">
      <formula>0</formula>
    </cfRule>
  </conditionalFormatting>
  <conditionalFormatting sqref="BN55:BO59">
    <cfRule type="cellIs" dxfId="378" priority="376" operator="lessThan">
      <formula>0</formula>
    </cfRule>
  </conditionalFormatting>
  <conditionalFormatting sqref="BN55:BO59">
    <cfRule type="cellIs" dxfId="377" priority="375" operator="lessThan">
      <formula>0</formula>
    </cfRule>
  </conditionalFormatting>
  <conditionalFormatting sqref="BN55:BO59">
    <cfRule type="cellIs" dxfId="376" priority="374" operator="lessThan">
      <formula>0</formula>
    </cfRule>
  </conditionalFormatting>
  <conditionalFormatting sqref="BN55:BO59">
    <cfRule type="cellIs" dxfId="375" priority="373" operator="lessThan">
      <formula>0</formula>
    </cfRule>
  </conditionalFormatting>
  <conditionalFormatting sqref="BN55:BO59">
    <cfRule type="cellIs" dxfId="374" priority="372" operator="lessThan">
      <formula>0</formula>
    </cfRule>
  </conditionalFormatting>
  <conditionalFormatting sqref="BN55:BO59">
    <cfRule type="cellIs" dxfId="373" priority="371" operator="lessThan">
      <formula>0</formula>
    </cfRule>
  </conditionalFormatting>
  <conditionalFormatting sqref="BN10:BQ23">
    <cfRule type="cellIs" dxfId="372" priority="370" operator="lessThan">
      <formula>0</formula>
    </cfRule>
  </conditionalFormatting>
  <conditionalFormatting sqref="BN25:BQ31">
    <cfRule type="cellIs" dxfId="371" priority="369" operator="lessThan">
      <formula>0</formula>
    </cfRule>
  </conditionalFormatting>
  <conditionalFormatting sqref="BN25:BQ31">
    <cfRule type="cellIs" dxfId="370" priority="368" operator="lessThan">
      <formula>0</formula>
    </cfRule>
  </conditionalFormatting>
  <conditionalFormatting sqref="BP25:BQ31">
    <cfRule type="cellIs" dxfId="369" priority="367" operator="lessThan">
      <formula>0</formula>
    </cfRule>
  </conditionalFormatting>
  <conditionalFormatting sqref="BN25:BO31">
    <cfRule type="cellIs" dxfId="368" priority="366" operator="lessThan">
      <formula>0</formula>
    </cfRule>
  </conditionalFormatting>
  <conditionalFormatting sqref="BN25:BQ31">
    <cfRule type="cellIs" dxfId="367" priority="365" operator="lessThan">
      <formula>0</formula>
    </cfRule>
  </conditionalFormatting>
  <conditionalFormatting sqref="BN33:BQ36">
    <cfRule type="cellIs" dxfId="366" priority="364" operator="lessThan">
      <formula>0</formula>
    </cfRule>
  </conditionalFormatting>
  <conditionalFormatting sqref="BN33:BQ36">
    <cfRule type="cellIs" dxfId="365" priority="363" operator="lessThan">
      <formula>0</formula>
    </cfRule>
  </conditionalFormatting>
  <conditionalFormatting sqref="BP33:BQ36">
    <cfRule type="cellIs" dxfId="364" priority="362" operator="lessThan">
      <formula>0</formula>
    </cfRule>
  </conditionalFormatting>
  <conditionalFormatting sqref="BP33:BQ36">
    <cfRule type="cellIs" dxfId="363" priority="361" operator="lessThan">
      <formula>0</formula>
    </cfRule>
  </conditionalFormatting>
  <conditionalFormatting sqref="BP33:BQ36">
    <cfRule type="cellIs" dxfId="362" priority="360" operator="lessThan">
      <formula>0</formula>
    </cfRule>
  </conditionalFormatting>
  <conditionalFormatting sqref="BN33:BO36">
    <cfRule type="cellIs" dxfId="361" priority="359" operator="lessThan">
      <formula>0</formula>
    </cfRule>
  </conditionalFormatting>
  <conditionalFormatting sqref="BN33:BO36">
    <cfRule type="cellIs" dxfId="360" priority="358" operator="lessThan">
      <formula>0</formula>
    </cfRule>
  </conditionalFormatting>
  <conditionalFormatting sqref="BN33:BO36">
    <cfRule type="cellIs" dxfId="359" priority="357" operator="lessThan">
      <formula>0</formula>
    </cfRule>
  </conditionalFormatting>
  <conditionalFormatting sqref="BN33:BQ36">
    <cfRule type="cellIs" dxfId="358" priority="356" operator="lessThan">
      <formula>0</formula>
    </cfRule>
  </conditionalFormatting>
  <conditionalFormatting sqref="BN33:BQ36">
    <cfRule type="cellIs" dxfId="357" priority="355" operator="lessThan">
      <formula>0</formula>
    </cfRule>
  </conditionalFormatting>
  <conditionalFormatting sqref="BP33:BQ36">
    <cfRule type="cellIs" dxfId="356" priority="354" operator="lessThan">
      <formula>0</formula>
    </cfRule>
  </conditionalFormatting>
  <conditionalFormatting sqref="BN33:BO36">
    <cfRule type="cellIs" dxfId="355" priority="353" operator="lessThan">
      <formula>0</formula>
    </cfRule>
  </conditionalFormatting>
  <conditionalFormatting sqref="BN33:BQ36">
    <cfRule type="cellIs" dxfId="354" priority="352" operator="lessThan">
      <formula>0</formula>
    </cfRule>
  </conditionalFormatting>
  <conditionalFormatting sqref="BN38:BQ53">
    <cfRule type="cellIs" dxfId="353" priority="351" operator="lessThan">
      <formula>0</formula>
    </cfRule>
  </conditionalFormatting>
  <conditionalFormatting sqref="BN38:BQ53">
    <cfRule type="cellIs" dxfId="352" priority="350" operator="lessThan">
      <formula>0</formula>
    </cfRule>
  </conditionalFormatting>
  <conditionalFormatting sqref="BP38:BQ53">
    <cfRule type="cellIs" dxfId="351" priority="349" operator="lessThan">
      <formula>0</formula>
    </cfRule>
  </conditionalFormatting>
  <conditionalFormatting sqref="BP38:BQ53">
    <cfRule type="cellIs" dxfId="350" priority="348" operator="lessThan">
      <formula>0</formula>
    </cfRule>
  </conditionalFormatting>
  <conditionalFormatting sqref="BP38:BQ53">
    <cfRule type="cellIs" dxfId="349" priority="347" operator="lessThan">
      <formula>0</formula>
    </cfRule>
  </conditionalFormatting>
  <conditionalFormatting sqref="BP38:BQ53">
    <cfRule type="cellIs" dxfId="348" priority="346" operator="lessThan">
      <formula>0</formula>
    </cfRule>
  </conditionalFormatting>
  <conditionalFormatting sqref="BP38:BQ53">
    <cfRule type="cellIs" dxfId="347" priority="345" operator="lessThan">
      <formula>0</formula>
    </cfRule>
  </conditionalFormatting>
  <conditionalFormatting sqref="BN38:BO53">
    <cfRule type="cellIs" dxfId="346" priority="344" operator="lessThan">
      <formula>0</formula>
    </cfRule>
  </conditionalFormatting>
  <conditionalFormatting sqref="BN38:BO53">
    <cfRule type="cellIs" dxfId="345" priority="343" operator="lessThan">
      <formula>0</formula>
    </cfRule>
  </conditionalFormatting>
  <conditionalFormatting sqref="BN38:BO53">
    <cfRule type="cellIs" dxfId="344" priority="342" operator="lessThan">
      <formula>0</formula>
    </cfRule>
  </conditionalFormatting>
  <conditionalFormatting sqref="BN38:BO53">
    <cfRule type="cellIs" dxfId="343" priority="341" operator="lessThan">
      <formula>0</formula>
    </cfRule>
  </conditionalFormatting>
  <conditionalFormatting sqref="BN38:BO53">
    <cfRule type="cellIs" dxfId="342" priority="340" operator="lessThan">
      <formula>0</formula>
    </cfRule>
  </conditionalFormatting>
  <conditionalFormatting sqref="BN38:BQ53">
    <cfRule type="cellIs" dxfId="341" priority="339" operator="lessThan">
      <formula>0</formula>
    </cfRule>
  </conditionalFormatting>
  <conditionalFormatting sqref="BN38:BQ53">
    <cfRule type="cellIs" dxfId="340" priority="338" operator="lessThan">
      <formula>0</formula>
    </cfRule>
  </conditionalFormatting>
  <conditionalFormatting sqref="BP38:BQ53">
    <cfRule type="cellIs" dxfId="339" priority="337" operator="lessThan">
      <formula>0</formula>
    </cfRule>
  </conditionalFormatting>
  <conditionalFormatting sqref="BP38:BQ53">
    <cfRule type="cellIs" dxfId="338" priority="336" operator="lessThan">
      <formula>0</formula>
    </cfRule>
  </conditionalFormatting>
  <conditionalFormatting sqref="BP38:BQ53">
    <cfRule type="cellIs" dxfId="337" priority="335" operator="lessThan">
      <formula>0</formula>
    </cfRule>
  </conditionalFormatting>
  <conditionalFormatting sqref="BN38:BO53">
    <cfRule type="cellIs" dxfId="336" priority="334" operator="lessThan">
      <formula>0</formula>
    </cfRule>
  </conditionalFormatting>
  <conditionalFormatting sqref="BN38:BO53">
    <cfRule type="cellIs" dxfId="335" priority="333" operator="lessThan">
      <formula>0</formula>
    </cfRule>
  </conditionalFormatting>
  <conditionalFormatting sqref="BN38:BO53">
    <cfRule type="cellIs" dxfId="334" priority="332" operator="lessThan">
      <formula>0</formula>
    </cfRule>
  </conditionalFormatting>
  <conditionalFormatting sqref="BN38:BQ53">
    <cfRule type="cellIs" dxfId="333" priority="331" operator="lessThan">
      <formula>0</formula>
    </cfRule>
  </conditionalFormatting>
  <conditionalFormatting sqref="BN38:BQ53">
    <cfRule type="cellIs" dxfId="332" priority="330" operator="lessThan">
      <formula>0</formula>
    </cfRule>
  </conditionalFormatting>
  <conditionalFormatting sqref="BP38:BQ53">
    <cfRule type="cellIs" dxfId="331" priority="329" operator="lessThan">
      <formula>0</formula>
    </cfRule>
  </conditionalFormatting>
  <conditionalFormatting sqref="BN38:BO53">
    <cfRule type="cellIs" dxfId="330" priority="328" operator="lessThan">
      <formula>0</formula>
    </cfRule>
  </conditionalFormatting>
  <conditionalFormatting sqref="BN38:BQ53">
    <cfRule type="cellIs" dxfId="329" priority="327" operator="lessThan">
      <formula>0</formula>
    </cfRule>
  </conditionalFormatting>
  <conditionalFormatting sqref="BN55:BQ59">
    <cfRule type="cellIs" dxfId="328" priority="326" operator="lessThan">
      <formula>0</formula>
    </cfRule>
  </conditionalFormatting>
  <conditionalFormatting sqref="BN55:BQ59">
    <cfRule type="cellIs" dxfId="327" priority="325" operator="lessThan">
      <formula>0</formula>
    </cfRule>
  </conditionalFormatting>
  <conditionalFormatting sqref="BP55:BQ59">
    <cfRule type="cellIs" dxfId="326" priority="324" operator="lessThan">
      <formula>0</formula>
    </cfRule>
  </conditionalFormatting>
  <conditionalFormatting sqref="BP55:BQ59">
    <cfRule type="cellIs" dxfId="325" priority="323" operator="lessThan">
      <formula>0</formula>
    </cfRule>
  </conditionalFormatting>
  <conditionalFormatting sqref="BP55:BQ59">
    <cfRule type="cellIs" dxfId="324" priority="322" operator="lessThan">
      <formula>0</formula>
    </cfRule>
  </conditionalFormatting>
  <conditionalFormatting sqref="BP55:BQ59">
    <cfRule type="cellIs" dxfId="323" priority="321" operator="lessThan">
      <formula>0</formula>
    </cfRule>
  </conditionalFormatting>
  <conditionalFormatting sqref="BP55:BQ59">
    <cfRule type="cellIs" dxfId="322" priority="320" operator="lessThan">
      <formula>0</formula>
    </cfRule>
  </conditionalFormatting>
  <conditionalFormatting sqref="BP55:BQ59">
    <cfRule type="cellIs" dxfId="321" priority="319" operator="lessThan">
      <formula>0</formula>
    </cfRule>
  </conditionalFormatting>
  <conditionalFormatting sqref="BP55:BQ59">
    <cfRule type="cellIs" dxfId="320" priority="318" operator="lessThan">
      <formula>0</formula>
    </cfRule>
  </conditionalFormatting>
  <conditionalFormatting sqref="BN55:BO59">
    <cfRule type="cellIs" dxfId="319" priority="317" operator="lessThan">
      <formula>0</formula>
    </cfRule>
  </conditionalFormatting>
  <conditionalFormatting sqref="BN55:BO59">
    <cfRule type="cellIs" dxfId="318" priority="316" operator="lessThan">
      <formula>0</formula>
    </cfRule>
  </conditionalFormatting>
  <conditionalFormatting sqref="BN55:BO59">
    <cfRule type="cellIs" dxfId="317" priority="315" operator="lessThan">
      <formula>0</formula>
    </cfRule>
  </conditionalFormatting>
  <conditionalFormatting sqref="BN55:BO59">
    <cfRule type="cellIs" dxfId="316" priority="314" operator="lessThan">
      <formula>0</formula>
    </cfRule>
  </conditionalFormatting>
  <conditionalFormatting sqref="BN55:BO59">
    <cfRule type="cellIs" dxfId="315" priority="313" operator="lessThan">
      <formula>0</formula>
    </cfRule>
  </conditionalFormatting>
  <conditionalFormatting sqref="BN55:BO59">
    <cfRule type="cellIs" dxfId="314" priority="312" operator="lessThan">
      <formula>0</formula>
    </cfRule>
  </conditionalFormatting>
  <conditionalFormatting sqref="BN55:BO59">
    <cfRule type="cellIs" dxfId="313" priority="311" operator="lessThan">
      <formula>0</formula>
    </cfRule>
  </conditionalFormatting>
  <conditionalFormatting sqref="BN55:BQ59">
    <cfRule type="cellIs" dxfId="312" priority="310" operator="lessThan">
      <formula>0</formula>
    </cfRule>
  </conditionalFormatting>
  <conditionalFormatting sqref="BN55:BQ59">
    <cfRule type="cellIs" dxfId="311" priority="309" operator="lessThan">
      <formula>0</formula>
    </cfRule>
  </conditionalFormatting>
  <conditionalFormatting sqref="BP55:BQ59">
    <cfRule type="cellIs" dxfId="310" priority="308" operator="lessThan">
      <formula>0</formula>
    </cfRule>
  </conditionalFormatting>
  <conditionalFormatting sqref="BP55:BQ59">
    <cfRule type="cellIs" dxfId="309" priority="307" operator="lessThan">
      <formula>0</formula>
    </cfRule>
  </conditionalFormatting>
  <conditionalFormatting sqref="BP55:BQ59">
    <cfRule type="cellIs" dxfId="308" priority="306" operator="lessThan">
      <formula>0</formula>
    </cfRule>
  </conditionalFormatting>
  <conditionalFormatting sqref="BP55:BQ59">
    <cfRule type="cellIs" dxfId="307" priority="305" operator="lessThan">
      <formula>0</formula>
    </cfRule>
  </conditionalFormatting>
  <conditionalFormatting sqref="BP55:BQ59">
    <cfRule type="cellIs" dxfId="306" priority="304" operator="lessThan">
      <formula>0</formula>
    </cfRule>
  </conditionalFormatting>
  <conditionalFormatting sqref="BN55:BO59">
    <cfRule type="cellIs" dxfId="305" priority="303" operator="lessThan">
      <formula>0</formula>
    </cfRule>
  </conditionalFormatting>
  <conditionalFormatting sqref="BN55:BO59">
    <cfRule type="cellIs" dxfId="304" priority="302" operator="lessThan">
      <formula>0</formula>
    </cfRule>
  </conditionalFormatting>
  <conditionalFormatting sqref="BN55:BO59">
    <cfRule type="cellIs" dxfId="303" priority="301" operator="lessThan">
      <formula>0</formula>
    </cfRule>
  </conditionalFormatting>
  <conditionalFormatting sqref="BN55:BO59">
    <cfRule type="cellIs" dxfId="302" priority="300" operator="lessThan">
      <formula>0</formula>
    </cfRule>
  </conditionalFormatting>
  <conditionalFormatting sqref="BN55:BO59">
    <cfRule type="cellIs" dxfId="301" priority="299" operator="lessThan">
      <formula>0</formula>
    </cfRule>
  </conditionalFormatting>
  <conditionalFormatting sqref="BN55:BQ59">
    <cfRule type="cellIs" dxfId="300" priority="298" operator="lessThan">
      <formula>0</formula>
    </cfRule>
  </conditionalFormatting>
  <conditionalFormatting sqref="BN55:BQ59">
    <cfRule type="cellIs" dxfId="299" priority="297" operator="lessThan">
      <formula>0</formula>
    </cfRule>
  </conditionalFormatting>
  <conditionalFormatting sqref="BP55:BQ59">
    <cfRule type="cellIs" dxfId="298" priority="296" operator="lessThan">
      <formula>0</formula>
    </cfRule>
  </conditionalFormatting>
  <conditionalFormatting sqref="BP55:BQ59">
    <cfRule type="cellIs" dxfId="297" priority="295" operator="lessThan">
      <formula>0</formula>
    </cfRule>
  </conditionalFormatting>
  <conditionalFormatting sqref="BP55:BQ59">
    <cfRule type="cellIs" dxfId="296" priority="294" operator="lessThan">
      <formula>0</formula>
    </cfRule>
  </conditionalFormatting>
  <conditionalFormatting sqref="BN55:BO59">
    <cfRule type="cellIs" dxfId="295" priority="293" operator="lessThan">
      <formula>0</formula>
    </cfRule>
  </conditionalFormatting>
  <conditionalFormatting sqref="BN55:BO59">
    <cfRule type="cellIs" dxfId="294" priority="292" operator="lessThan">
      <formula>0</formula>
    </cfRule>
  </conditionalFormatting>
  <conditionalFormatting sqref="BN55:BO59">
    <cfRule type="cellIs" dxfId="293" priority="291" operator="lessThan">
      <formula>0</formula>
    </cfRule>
  </conditionalFormatting>
  <conditionalFormatting sqref="BN55:BQ59">
    <cfRule type="cellIs" dxfId="292" priority="290" operator="lessThan">
      <formula>0</formula>
    </cfRule>
  </conditionalFormatting>
  <conditionalFormatting sqref="BN55:BQ59">
    <cfRule type="cellIs" dxfId="291" priority="289" operator="lessThan">
      <formula>0</formula>
    </cfRule>
  </conditionalFormatting>
  <conditionalFormatting sqref="BP55:BQ59">
    <cfRule type="cellIs" dxfId="290" priority="288" operator="lessThan">
      <formula>0</formula>
    </cfRule>
  </conditionalFormatting>
  <conditionalFormatting sqref="BN55:BO59">
    <cfRule type="cellIs" dxfId="289" priority="287" operator="lessThan">
      <formula>0</formula>
    </cfRule>
  </conditionalFormatting>
  <conditionalFormatting sqref="BN55:BQ59">
    <cfRule type="cellIs" dxfId="288" priority="286" operator="lessThan">
      <formula>0</formula>
    </cfRule>
  </conditionalFormatting>
  <conditionalFormatting sqref="C10:N23">
    <cfRule type="cellIs" dxfId="287" priority="285" operator="lessThan">
      <formula>0</formula>
    </cfRule>
  </conditionalFormatting>
  <conditionalFormatting sqref="C25:C31">
    <cfRule type="cellIs" dxfId="286" priority="284" operator="lessThan">
      <formula>0</formula>
    </cfRule>
  </conditionalFormatting>
  <conditionalFormatting sqref="C25:C31">
    <cfRule type="cellIs" dxfId="285" priority="283" operator="lessThan">
      <formula>0</formula>
    </cfRule>
  </conditionalFormatting>
  <conditionalFormatting sqref="C25:N31">
    <cfRule type="cellIs" dxfId="284" priority="282" operator="lessThan">
      <formula>0</formula>
    </cfRule>
  </conditionalFormatting>
  <conditionalFormatting sqref="C25:C31">
    <cfRule type="cellIs" dxfId="283" priority="281" operator="lessThan">
      <formula>0</formula>
    </cfRule>
  </conditionalFormatting>
  <conditionalFormatting sqref="C25:C31">
    <cfRule type="cellIs" dxfId="282" priority="280" operator="lessThan">
      <formula>0</formula>
    </cfRule>
  </conditionalFormatting>
  <conditionalFormatting sqref="C25:N31">
    <cfRule type="cellIs" dxfId="281" priority="279" operator="lessThan">
      <formula>0</formula>
    </cfRule>
  </conditionalFormatting>
  <conditionalFormatting sqref="C25:N31">
    <cfRule type="cellIs" dxfId="280" priority="278" operator="lessThan">
      <formula>0</formula>
    </cfRule>
  </conditionalFormatting>
  <conditionalFormatting sqref="C33:N36">
    <cfRule type="cellIs" dxfId="279" priority="277" operator="lessThan">
      <formula>0</formula>
    </cfRule>
  </conditionalFormatting>
  <conditionalFormatting sqref="C33:C36">
    <cfRule type="cellIs" dxfId="278" priority="276" operator="lessThan">
      <formula>0</formula>
    </cfRule>
  </conditionalFormatting>
  <conditionalFormatting sqref="C33:C36">
    <cfRule type="cellIs" dxfId="277" priority="275" operator="lessThan">
      <formula>0</formula>
    </cfRule>
  </conditionalFormatting>
  <conditionalFormatting sqref="C33:N36">
    <cfRule type="cellIs" dxfId="276" priority="274" operator="lessThan">
      <formula>0</formula>
    </cfRule>
  </conditionalFormatting>
  <conditionalFormatting sqref="C33:C36">
    <cfRule type="cellIs" dxfId="275" priority="273" operator="lessThan">
      <formula>0</formula>
    </cfRule>
  </conditionalFormatting>
  <conditionalFormatting sqref="C33:C36">
    <cfRule type="cellIs" dxfId="274" priority="272" operator="lessThan">
      <formula>0</formula>
    </cfRule>
  </conditionalFormatting>
  <conditionalFormatting sqref="C33:N36">
    <cfRule type="cellIs" dxfId="273" priority="271" operator="lessThan">
      <formula>0</formula>
    </cfRule>
  </conditionalFormatting>
  <conditionalFormatting sqref="C33:C36">
    <cfRule type="cellIs" dxfId="272" priority="270" operator="lessThan">
      <formula>0</formula>
    </cfRule>
  </conditionalFormatting>
  <conditionalFormatting sqref="C33:C36">
    <cfRule type="cellIs" dxfId="271" priority="269" operator="lessThan">
      <formula>0</formula>
    </cfRule>
  </conditionalFormatting>
  <conditionalFormatting sqref="C33:N36">
    <cfRule type="cellIs" dxfId="270" priority="268" operator="lessThan">
      <formula>0</formula>
    </cfRule>
  </conditionalFormatting>
  <conditionalFormatting sqref="C33:N36">
    <cfRule type="cellIs" dxfId="269" priority="267" operator="lessThan">
      <formula>0</formula>
    </cfRule>
  </conditionalFormatting>
  <conditionalFormatting sqref="C38:C53">
    <cfRule type="cellIs" dxfId="268" priority="266" operator="lessThan">
      <formula>0</formula>
    </cfRule>
  </conditionalFormatting>
  <conditionalFormatting sqref="C38:N53">
    <cfRule type="cellIs" dxfId="267" priority="265" operator="lessThan">
      <formula>0</formula>
    </cfRule>
  </conditionalFormatting>
  <conditionalFormatting sqref="C38:C53">
    <cfRule type="cellIs" dxfId="266" priority="264" operator="lessThan">
      <formula>0</formula>
    </cfRule>
  </conditionalFormatting>
  <conditionalFormatting sqref="C38:C53">
    <cfRule type="cellIs" dxfId="265" priority="263" operator="lessThan">
      <formula>0</formula>
    </cfRule>
  </conditionalFormatting>
  <conditionalFormatting sqref="C38:N53">
    <cfRule type="cellIs" dxfId="264" priority="262" operator="lessThan">
      <formula>0</formula>
    </cfRule>
  </conditionalFormatting>
  <conditionalFormatting sqref="C38:N53">
    <cfRule type="cellIs" dxfId="263" priority="261" operator="lessThan">
      <formula>0</formula>
    </cfRule>
  </conditionalFormatting>
  <conditionalFormatting sqref="C38:C53">
    <cfRule type="cellIs" dxfId="262" priority="260" operator="lessThan">
      <formula>0</formula>
    </cfRule>
  </conditionalFormatting>
  <conditionalFormatting sqref="C38:C53">
    <cfRule type="cellIs" dxfId="261" priority="259" operator="lessThan">
      <formula>0</formula>
    </cfRule>
  </conditionalFormatting>
  <conditionalFormatting sqref="C38:N53">
    <cfRule type="cellIs" dxfId="260" priority="258" operator="lessThan">
      <formula>0</formula>
    </cfRule>
  </conditionalFormatting>
  <conditionalFormatting sqref="C38:C53">
    <cfRule type="cellIs" dxfId="259" priority="257" operator="lessThan">
      <formula>0</formula>
    </cfRule>
  </conditionalFormatting>
  <conditionalFormatting sqref="C38:C53">
    <cfRule type="cellIs" dxfId="258" priority="256" operator="lessThan">
      <formula>0</formula>
    </cfRule>
  </conditionalFormatting>
  <conditionalFormatting sqref="C38:N53">
    <cfRule type="cellIs" dxfId="257" priority="255" operator="lessThan">
      <formula>0</formula>
    </cfRule>
  </conditionalFormatting>
  <conditionalFormatting sqref="C38:C53">
    <cfRule type="cellIs" dxfId="256" priority="254" operator="lessThan">
      <formula>0</formula>
    </cfRule>
  </conditionalFormatting>
  <conditionalFormatting sqref="C38:C53">
    <cfRule type="cellIs" dxfId="255" priority="253" operator="lessThan">
      <formula>0</formula>
    </cfRule>
  </conditionalFormatting>
  <conditionalFormatting sqref="C38:N53">
    <cfRule type="cellIs" dxfId="254" priority="252" operator="lessThan">
      <formula>0</formula>
    </cfRule>
  </conditionalFormatting>
  <conditionalFormatting sqref="C38:N53">
    <cfRule type="cellIs" dxfId="253" priority="251" operator="lessThan">
      <formula>0</formula>
    </cfRule>
  </conditionalFormatting>
  <conditionalFormatting sqref="C55:C59">
    <cfRule type="cellIs" dxfId="252" priority="250" operator="lessThan">
      <formula>0</formula>
    </cfRule>
  </conditionalFormatting>
  <conditionalFormatting sqref="C55:C59">
    <cfRule type="cellIs" dxfId="251" priority="249" operator="lessThan">
      <formula>0</formula>
    </cfRule>
  </conditionalFormatting>
  <conditionalFormatting sqref="C55:C59">
    <cfRule type="cellIs" dxfId="250" priority="248" operator="lessThan">
      <formula>0</formula>
    </cfRule>
  </conditionalFormatting>
  <conditionalFormatting sqref="C55:N59">
    <cfRule type="cellIs" dxfId="249" priority="247" operator="lessThan">
      <formula>0</formula>
    </cfRule>
  </conditionalFormatting>
  <conditionalFormatting sqref="C55:C59">
    <cfRule type="cellIs" dxfId="248" priority="246" operator="lessThan">
      <formula>0</formula>
    </cfRule>
  </conditionalFormatting>
  <conditionalFormatting sqref="C55:C59">
    <cfRule type="cellIs" dxfId="247" priority="245" operator="lessThan">
      <formula>0</formula>
    </cfRule>
  </conditionalFormatting>
  <conditionalFormatting sqref="C55:N59">
    <cfRule type="cellIs" dxfId="246" priority="244" operator="lessThan">
      <formula>0</formula>
    </cfRule>
  </conditionalFormatting>
  <conditionalFormatting sqref="C55:C59">
    <cfRule type="cellIs" dxfId="245" priority="243" operator="lessThan">
      <formula>0</formula>
    </cfRule>
  </conditionalFormatting>
  <conditionalFormatting sqref="C55:N59">
    <cfRule type="cellIs" dxfId="244" priority="242" operator="lessThan">
      <formula>0</formula>
    </cfRule>
  </conditionalFormatting>
  <conditionalFormatting sqref="C55:C59">
    <cfRule type="cellIs" dxfId="243" priority="241" operator="lessThan">
      <formula>0</formula>
    </cfRule>
  </conditionalFormatting>
  <conditionalFormatting sqref="C55:C59">
    <cfRule type="cellIs" dxfId="242" priority="240" operator="lessThan">
      <formula>0</formula>
    </cfRule>
  </conditionalFormatting>
  <conditionalFormatting sqref="C55:N59">
    <cfRule type="cellIs" dxfId="241" priority="239" operator="lessThan">
      <formula>0</formula>
    </cfRule>
  </conditionalFormatting>
  <conditionalFormatting sqref="C55:N59">
    <cfRule type="cellIs" dxfId="240" priority="238" operator="lessThan">
      <formula>0</formula>
    </cfRule>
  </conditionalFormatting>
  <conditionalFormatting sqref="C55:C59">
    <cfRule type="cellIs" dxfId="239" priority="237" operator="lessThan">
      <formula>0</formula>
    </cfRule>
  </conditionalFormatting>
  <conditionalFormatting sqref="C55:C59">
    <cfRule type="cellIs" dxfId="238" priority="236" operator="lessThan">
      <formula>0</formula>
    </cfRule>
  </conditionalFormatting>
  <conditionalFormatting sqref="C55:N59">
    <cfRule type="cellIs" dxfId="237" priority="235" operator="lessThan">
      <formula>0</formula>
    </cfRule>
  </conditionalFormatting>
  <conditionalFormatting sqref="C55:C59">
    <cfRule type="cellIs" dxfId="236" priority="234" operator="lessThan">
      <formula>0</formula>
    </cfRule>
  </conditionalFormatting>
  <conditionalFormatting sqref="C55:C59">
    <cfRule type="cellIs" dxfId="235" priority="233" operator="lessThan">
      <formula>0</formula>
    </cfRule>
  </conditionalFormatting>
  <conditionalFormatting sqref="C55:N59">
    <cfRule type="cellIs" dxfId="234" priority="232" operator="lessThan">
      <formula>0</formula>
    </cfRule>
  </conditionalFormatting>
  <conditionalFormatting sqref="C55:C59">
    <cfRule type="cellIs" dxfId="233" priority="231" operator="lessThan">
      <formula>0</formula>
    </cfRule>
  </conditionalFormatting>
  <conditionalFormatting sqref="C55:C59">
    <cfRule type="cellIs" dxfId="232" priority="230" operator="lessThan">
      <formula>0</formula>
    </cfRule>
  </conditionalFormatting>
  <conditionalFormatting sqref="C55:N59">
    <cfRule type="cellIs" dxfId="231" priority="229" operator="lessThan">
      <formula>0</formula>
    </cfRule>
  </conditionalFormatting>
  <conditionalFormatting sqref="C55:N59">
    <cfRule type="cellIs" dxfId="230" priority="228" operator="lessThan">
      <formula>0</formula>
    </cfRule>
  </conditionalFormatting>
  <conditionalFormatting sqref="U25:AE31">
    <cfRule type="cellIs" dxfId="229" priority="227" operator="lessThan">
      <formula>0</formula>
    </cfRule>
  </conditionalFormatting>
  <conditionalFormatting sqref="U25:AE31">
    <cfRule type="cellIs" dxfId="228" priority="226" operator="lessThan">
      <formula>0</formula>
    </cfRule>
  </conditionalFormatting>
  <conditionalFormatting sqref="U33:AE36">
    <cfRule type="cellIs" dxfId="227" priority="225" operator="lessThan">
      <formula>0</formula>
    </cfRule>
  </conditionalFormatting>
  <conditionalFormatting sqref="U33:AE36">
    <cfRule type="cellIs" dxfId="226" priority="224" operator="lessThan">
      <formula>0</formula>
    </cfRule>
  </conditionalFormatting>
  <conditionalFormatting sqref="U33:AE36">
    <cfRule type="cellIs" dxfId="225" priority="223" operator="lessThan">
      <formula>0</formula>
    </cfRule>
  </conditionalFormatting>
  <conditionalFormatting sqref="U33:AE36">
    <cfRule type="cellIs" dxfId="224" priority="222" operator="lessThan">
      <formula>0</formula>
    </cfRule>
  </conditionalFormatting>
  <conditionalFormatting sqref="U38:AE53">
    <cfRule type="cellIs" dxfId="223" priority="221" operator="lessThan">
      <formula>0</formula>
    </cfRule>
  </conditionalFormatting>
  <conditionalFormatting sqref="U38:AE53">
    <cfRule type="cellIs" dxfId="222" priority="220" operator="lessThan">
      <formula>0</formula>
    </cfRule>
  </conditionalFormatting>
  <conditionalFormatting sqref="U38:AE53">
    <cfRule type="cellIs" dxfId="221" priority="219" operator="lessThan">
      <formula>0</formula>
    </cfRule>
  </conditionalFormatting>
  <conditionalFormatting sqref="U38:AE53">
    <cfRule type="cellIs" dxfId="220" priority="218" operator="lessThan">
      <formula>0</formula>
    </cfRule>
  </conditionalFormatting>
  <conditionalFormatting sqref="U38:AE53">
    <cfRule type="cellIs" dxfId="219" priority="217" operator="lessThan">
      <formula>0</formula>
    </cfRule>
  </conditionalFormatting>
  <conditionalFormatting sqref="U38:AE53">
    <cfRule type="cellIs" dxfId="218" priority="216" operator="lessThan">
      <formula>0</formula>
    </cfRule>
  </conditionalFormatting>
  <conditionalFormatting sqref="U55:AE59">
    <cfRule type="cellIs" dxfId="217" priority="215" operator="lessThan">
      <formula>0</formula>
    </cfRule>
  </conditionalFormatting>
  <conditionalFormatting sqref="U55:AE59">
    <cfRule type="cellIs" dxfId="216" priority="214" operator="lessThan">
      <formula>0</formula>
    </cfRule>
  </conditionalFormatting>
  <conditionalFormatting sqref="U55:AE59">
    <cfRule type="cellIs" dxfId="215" priority="213" operator="lessThan">
      <formula>0</formula>
    </cfRule>
  </conditionalFormatting>
  <conditionalFormatting sqref="U55:AE59">
    <cfRule type="cellIs" dxfId="214" priority="212" operator="lessThan">
      <formula>0</formula>
    </cfRule>
  </conditionalFormatting>
  <conditionalFormatting sqref="U55:AE59">
    <cfRule type="cellIs" dxfId="213" priority="211" operator="lessThan">
      <formula>0</formula>
    </cfRule>
  </conditionalFormatting>
  <conditionalFormatting sqref="U55:AE59">
    <cfRule type="cellIs" dxfId="212" priority="210" operator="lessThan">
      <formula>0</formula>
    </cfRule>
  </conditionalFormatting>
  <conditionalFormatting sqref="U55:AE59">
    <cfRule type="cellIs" dxfId="211" priority="209" operator="lessThan">
      <formula>0</formula>
    </cfRule>
  </conditionalFormatting>
  <conditionalFormatting sqref="U55:AE59">
    <cfRule type="cellIs" dxfId="210" priority="208" operator="lessThan">
      <formula>0</formula>
    </cfRule>
  </conditionalFormatting>
  <conditionalFormatting sqref="AL10:AV23 AK21">
    <cfRule type="cellIs" dxfId="209" priority="207" operator="lessThan">
      <formula>0</formula>
    </cfRule>
  </conditionalFormatting>
  <conditionalFormatting sqref="AL10:AV23 AK21">
    <cfRule type="cellIs" dxfId="208" priority="206" operator="lessThan">
      <formula>0</formula>
    </cfRule>
  </conditionalFormatting>
  <conditionalFormatting sqref="AK21:AV21">
    <cfRule type="cellIs" dxfId="207" priority="205" operator="lessThan">
      <formula>0</formula>
    </cfRule>
  </conditionalFormatting>
  <conditionalFormatting sqref="AL22:AV22">
    <cfRule type="cellIs" dxfId="206" priority="204" operator="lessThan">
      <formula>0</formula>
    </cfRule>
  </conditionalFormatting>
  <conditionalFormatting sqref="AL23:AV23">
    <cfRule type="cellIs" dxfId="205" priority="203" operator="lessThan">
      <formula>0</formula>
    </cfRule>
  </conditionalFormatting>
  <conditionalFormatting sqref="AL25:AV31">
    <cfRule type="cellIs" dxfId="204" priority="202" operator="lessThan">
      <formula>0</formula>
    </cfRule>
  </conditionalFormatting>
  <conditionalFormatting sqref="AL25:AV31">
    <cfRule type="cellIs" dxfId="203" priority="201" operator="lessThan">
      <formula>0</formula>
    </cfRule>
  </conditionalFormatting>
  <conditionalFormatting sqref="AL25:AV31">
    <cfRule type="cellIs" dxfId="202" priority="200" operator="lessThan">
      <formula>0</formula>
    </cfRule>
  </conditionalFormatting>
  <conditionalFormatting sqref="AL25:AV31">
    <cfRule type="cellIs" dxfId="201" priority="199" operator="lessThan">
      <formula>0</formula>
    </cfRule>
  </conditionalFormatting>
  <conditionalFormatting sqref="AL33:AV36">
    <cfRule type="cellIs" dxfId="200" priority="198" operator="lessThan">
      <formula>0</formula>
    </cfRule>
  </conditionalFormatting>
  <conditionalFormatting sqref="AL33:AV36">
    <cfRule type="cellIs" dxfId="199" priority="197" operator="lessThan">
      <formula>0</formula>
    </cfRule>
  </conditionalFormatting>
  <conditionalFormatting sqref="AL33:AV36">
    <cfRule type="cellIs" dxfId="198" priority="196" operator="lessThan">
      <formula>0</formula>
    </cfRule>
  </conditionalFormatting>
  <conditionalFormatting sqref="AL33:AV36">
    <cfRule type="cellIs" dxfId="197" priority="195" operator="lessThan">
      <formula>0</formula>
    </cfRule>
  </conditionalFormatting>
  <conditionalFormatting sqref="AL33:AV36">
    <cfRule type="cellIs" dxfId="196" priority="194" operator="lessThan">
      <formula>0</formula>
    </cfRule>
  </conditionalFormatting>
  <conditionalFormatting sqref="AL33:AV36">
    <cfRule type="cellIs" dxfId="195" priority="193" operator="lessThan">
      <formula>0</formula>
    </cfRule>
  </conditionalFormatting>
  <conditionalFormatting sqref="AL38:AV53">
    <cfRule type="cellIs" dxfId="194" priority="192" operator="lessThan">
      <formula>0</formula>
    </cfRule>
  </conditionalFormatting>
  <conditionalFormatting sqref="AL38:AV53">
    <cfRule type="cellIs" dxfId="193" priority="191" operator="lessThan">
      <formula>0</formula>
    </cfRule>
  </conditionalFormatting>
  <conditionalFormatting sqref="AL38:AV53">
    <cfRule type="cellIs" dxfId="192" priority="190" operator="lessThan">
      <formula>0</formula>
    </cfRule>
  </conditionalFormatting>
  <conditionalFormatting sqref="AL38:AV53">
    <cfRule type="cellIs" dxfId="191" priority="189" operator="lessThan">
      <formula>0</formula>
    </cfRule>
  </conditionalFormatting>
  <conditionalFormatting sqref="AL38:AV53">
    <cfRule type="cellIs" dxfId="190" priority="188" operator="lessThan">
      <formula>0</formula>
    </cfRule>
  </conditionalFormatting>
  <conditionalFormatting sqref="AL38:AV53">
    <cfRule type="cellIs" dxfId="189" priority="187" operator="lessThan">
      <formula>0</formula>
    </cfRule>
  </conditionalFormatting>
  <conditionalFormatting sqref="AL38:AV53">
    <cfRule type="cellIs" dxfId="188" priority="186" operator="lessThan">
      <formula>0</formula>
    </cfRule>
  </conditionalFormatting>
  <conditionalFormatting sqref="AL38:AV53">
    <cfRule type="cellIs" dxfId="187" priority="185" operator="lessThan">
      <formula>0</formula>
    </cfRule>
  </conditionalFormatting>
  <conditionalFormatting sqref="AL55:AV59">
    <cfRule type="cellIs" dxfId="186" priority="184" operator="lessThan">
      <formula>0</formula>
    </cfRule>
  </conditionalFormatting>
  <conditionalFormatting sqref="AL55:AV59">
    <cfRule type="cellIs" dxfId="185" priority="183" operator="lessThan">
      <formula>0</formula>
    </cfRule>
  </conditionalFormatting>
  <conditionalFormatting sqref="AL55:AV59">
    <cfRule type="cellIs" dxfId="184" priority="182" operator="lessThan">
      <formula>0</formula>
    </cfRule>
  </conditionalFormatting>
  <conditionalFormatting sqref="AL55:AV59">
    <cfRule type="cellIs" dxfId="183" priority="181" operator="lessThan">
      <formula>0</formula>
    </cfRule>
  </conditionalFormatting>
  <conditionalFormatting sqref="AL55:AV59">
    <cfRule type="cellIs" dxfId="182" priority="180" operator="lessThan">
      <formula>0</formula>
    </cfRule>
  </conditionalFormatting>
  <conditionalFormatting sqref="AL55:AV59">
    <cfRule type="cellIs" dxfId="181" priority="179" operator="lessThan">
      <formula>0</formula>
    </cfRule>
  </conditionalFormatting>
  <conditionalFormatting sqref="AL55:AV59">
    <cfRule type="cellIs" dxfId="180" priority="178" operator="lessThan">
      <formula>0</formula>
    </cfRule>
  </conditionalFormatting>
  <conditionalFormatting sqref="AL55:AV59">
    <cfRule type="cellIs" dxfId="179" priority="177" operator="lessThan">
      <formula>0</formula>
    </cfRule>
  </conditionalFormatting>
  <conditionalFormatting sqref="AL55:AV59">
    <cfRule type="cellIs" dxfId="178" priority="176" operator="lessThan">
      <formula>0</formula>
    </cfRule>
  </conditionalFormatting>
  <conditionalFormatting sqref="AL55:AV59">
    <cfRule type="cellIs" dxfId="177" priority="175" operator="lessThan">
      <formula>0</formula>
    </cfRule>
  </conditionalFormatting>
  <conditionalFormatting sqref="BB3:BM59">
    <cfRule type="cellIs" dxfId="176" priority="174" operator="lessThan">
      <formula>0</formula>
    </cfRule>
  </conditionalFormatting>
  <conditionalFormatting sqref="BB23:BB24 BC24:BM24">
    <cfRule type="cellIs" dxfId="175" priority="173" operator="lessThan">
      <formula>0</formula>
    </cfRule>
  </conditionalFormatting>
  <conditionalFormatting sqref="BB50:BB51 BB8:BM9 BB3:BM4 BB32:BB37 BC32:BM32 BC37:BM37 BB54:BM54 BB57:BB59">
    <cfRule type="cellIs" dxfId="174" priority="172" operator="lessThan">
      <formula>0</formula>
    </cfRule>
  </conditionalFormatting>
  <conditionalFormatting sqref="BB19:BB22 BC21:BM21">
    <cfRule type="cellIs" dxfId="173" priority="171" operator="lessThan">
      <formula>0</formula>
    </cfRule>
  </conditionalFormatting>
  <conditionalFormatting sqref="BB25:BB31 BC31:BM31">
    <cfRule type="cellIs" dxfId="172" priority="170" operator="lessThan">
      <formula>0</formula>
    </cfRule>
  </conditionalFormatting>
  <conditionalFormatting sqref="BB5:BM7">
    <cfRule type="cellIs" dxfId="171" priority="169" operator="lessThan">
      <formula>0</formula>
    </cfRule>
  </conditionalFormatting>
  <conditionalFormatting sqref="BB16:BB18">
    <cfRule type="cellIs" dxfId="170" priority="168" operator="lessThan">
      <formula>0</formula>
    </cfRule>
  </conditionalFormatting>
  <conditionalFormatting sqref="BB10:BB20">
    <cfRule type="cellIs" dxfId="169" priority="167" operator="lessThan">
      <formula>0</formula>
    </cfRule>
  </conditionalFormatting>
  <conditionalFormatting sqref="BB55:BB59">
    <cfRule type="cellIs" dxfId="168" priority="166" operator="lessThan">
      <formula>0</formula>
    </cfRule>
  </conditionalFormatting>
  <conditionalFormatting sqref="BB52">
    <cfRule type="cellIs" dxfId="167" priority="165" operator="lessThan">
      <formula>0</formula>
    </cfRule>
  </conditionalFormatting>
  <conditionalFormatting sqref="BB53">
    <cfRule type="cellIs" dxfId="166" priority="164" operator="lessThan">
      <formula>0</formula>
    </cfRule>
  </conditionalFormatting>
  <conditionalFormatting sqref="BB38:BB53">
    <cfRule type="cellIs" dxfId="165" priority="163" operator="lessThan">
      <formula>0</formula>
    </cfRule>
  </conditionalFormatting>
  <conditionalFormatting sqref="BB49">
    <cfRule type="cellIs" dxfId="164" priority="162" operator="lessThan">
      <formula>0</formula>
    </cfRule>
  </conditionalFormatting>
  <conditionalFormatting sqref="BB10:BM20">
    <cfRule type="cellIs" dxfId="163" priority="161" operator="lessThan">
      <formula>0</formula>
    </cfRule>
  </conditionalFormatting>
  <conditionalFormatting sqref="BB21:BM21">
    <cfRule type="cellIs" dxfId="162" priority="160" operator="lessThan">
      <formula>0</formula>
    </cfRule>
  </conditionalFormatting>
  <conditionalFormatting sqref="BB21:BM21">
    <cfRule type="cellIs" dxfId="161" priority="159" operator="lessThan">
      <formula>0</formula>
    </cfRule>
  </conditionalFormatting>
  <conditionalFormatting sqref="BB22">
    <cfRule type="cellIs" dxfId="160" priority="158" operator="lessThan">
      <formula>0</formula>
    </cfRule>
  </conditionalFormatting>
  <conditionalFormatting sqref="BB22:BM22">
    <cfRule type="cellIs" dxfId="159" priority="157" operator="lessThan">
      <formula>0</formula>
    </cfRule>
  </conditionalFormatting>
  <conditionalFormatting sqref="BB23">
    <cfRule type="cellIs" dxfId="158" priority="156" operator="lessThan">
      <formula>0</formula>
    </cfRule>
  </conditionalFormatting>
  <conditionalFormatting sqref="BB23">
    <cfRule type="cellIs" dxfId="157" priority="155" operator="lessThan">
      <formula>0</formula>
    </cfRule>
  </conditionalFormatting>
  <conditionalFormatting sqref="BB23:BM23">
    <cfRule type="cellIs" dxfId="156" priority="154" operator="lessThan">
      <formula>0</formula>
    </cfRule>
  </conditionalFormatting>
  <conditionalFormatting sqref="BB25:BB31">
    <cfRule type="cellIs" dxfId="155" priority="153" operator="lessThan">
      <formula>0</formula>
    </cfRule>
  </conditionalFormatting>
  <conditionalFormatting sqref="BB25:BB31">
    <cfRule type="cellIs" dxfId="154" priority="152" operator="lessThan">
      <formula>0</formula>
    </cfRule>
  </conditionalFormatting>
  <conditionalFormatting sqref="BB25:BM31">
    <cfRule type="cellIs" dxfId="153" priority="151" operator="lessThan">
      <formula>0</formula>
    </cfRule>
  </conditionalFormatting>
  <conditionalFormatting sqref="BB33:BM36">
    <cfRule type="cellIs" dxfId="152" priority="150" operator="lessThan">
      <formula>0</formula>
    </cfRule>
  </conditionalFormatting>
  <conditionalFormatting sqref="BB33:BB36">
    <cfRule type="cellIs" dxfId="151" priority="149" operator="lessThan">
      <formula>0</formula>
    </cfRule>
  </conditionalFormatting>
  <conditionalFormatting sqref="BB33:BB36">
    <cfRule type="cellIs" dxfId="150" priority="148" operator="lessThan">
      <formula>0</formula>
    </cfRule>
  </conditionalFormatting>
  <conditionalFormatting sqref="BB33:BM36">
    <cfRule type="cellIs" dxfId="149" priority="147" operator="lessThan">
      <formula>0</formula>
    </cfRule>
  </conditionalFormatting>
  <conditionalFormatting sqref="BB38:BB53">
    <cfRule type="cellIs" dxfId="148" priority="146" operator="lessThan">
      <formula>0</formula>
    </cfRule>
  </conditionalFormatting>
  <conditionalFormatting sqref="BB38:BM53">
    <cfRule type="cellIs" dxfId="147" priority="145" operator="lessThan">
      <formula>0</formula>
    </cfRule>
  </conditionalFormatting>
  <conditionalFormatting sqref="BB38:BB53">
    <cfRule type="cellIs" dxfId="146" priority="144" operator="lessThan">
      <formula>0</formula>
    </cfRule>
  </conditionalFormatting>
  <conditionalFormatting sqref="BB38:BB53">
    <cfRule type="cellIs" dxfId="145" priority="143" operator="lessThan">
      <formula>0</formula>
    </cfRule>
  </conditionalFormatting>
  <conditionalFormatting sqref="BB38:BM53">
    <cfRule type="cellIs" dxfId="144" priority="142" operator="lessThan">
      <formula>0</formula>
    </cfRule>
  </conditionalFormatting>
  <conditionalFormatting sqref="BB55:BB59">
    <cfRule type="cellIs" dxfId="143" priority="141" operator="lessThan">
      <formula>0</formula>
    </cfRule>
  </conditionalFormatting>
  <conditionalFormatting sqref="BB55:BB59">
    <cfRule type="cellIs" dxfId="142" priority="140" operator="lessThan">
      <formula>0</formula>
    </cfRule>
  </conditionalFormatting>
  <conditionalFormatting sqref="BB55:BB59">
    <cfRule type="cellIs" dxfId="141" priority="139" operator="lessThan">
      <formula>0</formula>
    </cfRule>
  </conditionalFormatting>
  <conditionalFormatting sqref="BB55:BM59">
    <cfRule type="cellIs" dxfId="140" priority="138" operator="lessThan">
      <formula>0</formula>
    </cfRule>
  </conditionalFormatting>
  <conditionalFormatting sqref="BB55:BB59">
    <cfRule type="cellIs" dxfId="139" priority="137" operator="lessThan">
      <formula>0</formula>
    </cfRule>
  </conditionalFormatting>
  <conditionalFormatting sqref="BB55:BB59">
    <cfRule type="cellIs" dxfId="138" priority="136" operator="lessThan">
      <formula>0</formula>
    </cfRule>
  </conditionalFormatting>
  <conditionalFormatting sqref="BB55:BM59">
    <cfRule type="cellIs" dxfId="137" priority="135" operator="lessThan">
      <formula>0</formula>
    </cfRule>
  </conditionalFormatting>
  <conditionalFormatting sqref="BB3:BM3">
    <cfRule type="cellIs" dxfId="136" priority="134" operator="lessThan">
      <formula>0</formula>
    </cfRule>
  </conditionalFormatting>
  <conditionalFormatting sqref="BB3:BM3">
    <cfRule type="cellIs" dxfId="135" priority="133" operator="lessThan">
      <formula>0</formula>
    </cfRule>
  </conditionalFormatting>
  <conditionalFormatting sqref="BC10:BM23">
    <cfRule type="cellIs" dxfId="134" priority="132" operator="lessThan">
      <formula>0</formula>
    </cfRule>
  </conditionalFormatting>
  <conditionalFormatting sqref="BC10:BM23">
    <cfRule type="cellIs" dxfId="133" priority="131" operator="lessThan">
      <formula>0</formula>
    </cfRule>
  </conditionalFormatting>
  <conditionalFormatting sqref="BC21:BM21">
    <cfRule type="cellIs" dxfId="132" priority="130" operator="lessThan">
      <formula>0</formula>
    </cfRule>
  </conditionalFormatting>
  <conditionalFormatting sqref="BC22:BM22">
    <cfRule type="cellIs" dxfId="131" priority="129" operator="lessThan">
      <formula>0</formula>
    </cfRule>
  </conditionalFormatting>
  <conditionalFormatting sqref="BC23:BM23">
    <cfRule type="cellIs" dxfId="130" priority="128" operator="lessThan">
      <formula>0</formula>
    </cfRule>
  </conditionalFormatting>
  <conditionalFormatting sqref="BC25:BM31">
    <cfRule type="cellIs" dxfId="129" priority="127" operator="lessThan">
      <formula>0</formula>
    </cfRule>
  </conditionalFormatting>
  <conditionalFormatting sqref="BC25:BM31">
    <cfRule type="cellIs" dxfId="128" priority="126" operator="lessThan">
      <formula>0</formula>
    </cfRule>
  </conditionalFormatting>
  <conditionalFormatting sqref="BC25:BM31">
    <cfRule type="cellIs" dxfId="127" priority="125" operator="lessThan">
      <formula>0</formula>
    </cfRule>
  </conditionalFormatting>
  <conditionalFormatting sqref="BC25:BM31">
    <cfRule type="cellIs" dxfId="126" priority="124" operator="lessThan">
      <formula>0</formula>
    </cfRule>
  </conditionalFormatting>
  <conditionalFormatting sqref="BC33:BM36">
    <cfRule type="cellIs" dxfId="125" priority="123" operator="lessThan">
      <formula>0</formula>
    </cfRule>
  </conditionalFormatting>
  <conditionalFormatting sqref="BC33:BM36">
    <cfRule type="cellIs" dxfId="124" priority="122" operator="lessThan">
      <formula>0</formula>
    </cfRule>
  </conditionalFormatting>
  <conditionalFormatting sqref="BC33:BM36">
    <cfRule type="cellIs" dxfId="123" priority="121" operator="lessThan">
      <formula>0</formula>
    </cfRule>
  </conditionalFormatting>
  <conditionalFormatting sqref="BC33:BM36">
    <cfRule type="cellIs" dxfId="122" priority="120" operator="lessThan">
      <formula>0</formula>
    </cfRule>
  </conditionalFormatting>
  <conditionalFormatting sqref="BC33:BM36">
    <cfRule type="cellIs" dxfId="121" priority="119" operator="lessThan">
      <formula>0</formula>
    </cfRule>
  </conditionalFormatting>
  <conditionalFormatting sqref="BC33:BM36">
    <cfRule type="cellIs" dxfId="120" priority="118" operator="lessThan">
      <formula>0</formula>
    </cfRule>
  </conditionalFormatting>
  <conditionalFormatting sqref="BC38:BM53">
    <cfRule type="cellIs" dxfId="119" priority="117" operator="lessThan">
      <formula>0</formula>
    </cfRule>
  </conditionalFormatting>
  <conditionalFormatting sqref="BC38:BM53">
    <cfRule type="cellIs" dxfId="118" priority="116" operator="lessThan">
      <formula>0</formula>
    </cfRule>
  </conditionalFormatting>
  <conditionalFormatting sqref="BC38:BM53">
    <cfRule type="cellIs" dxfId="117" priority="115" operator="lessThan">
      <formula>0</formula>
    </cfRule>
  </conditionalFormatting>
  <conditionalFormatting sqref="BC38:BM53">
    <cfRule type="cellIs" dxfId="116" priority="114" operator="lessThan">
      <formula>0</formula>
    </cfRule>
  </conditionalFormatting>
  <conditionalFormatting sqref="BC38:BM53">
    <cfRule type="cellIs" dxfId="115" priority="113" operator="lessThan">
      <formula>0</formula>
    </cfRule>
  </conditionalFormatting>
  <conditionalFormatting sqref="BC38:BM53">
    <cfRule type="cellIs" dxfId="114" priority="112" operator="lessThan">
      <formula>0</formula>
    </cfRule>
  </conditionalFormatting>
  <conditionalFormatting sqref="BC38:BM53">
    <cfRule type="cellIs" dxfId="113" priority="111" operator="lessThan">
      <formula>0</formula>
    </cfRule>
  </conditionalFormatting>
  <conditionalFormatting sqref="BC38:BM53">
    <cfRule type="cellIs" dxfId="112" priority="110" operator="lessThan">
      <formula>0</formula>
    </cfRule>
  </conditionalFormatting>
  <conditionalFormatting sqref="BC55:BM59">
    <cfRule type="cellIs" dxfId="111" priority="109" operator="lessThan">
      <formula>0</formula>
    </cfRule>
  </conditionalFormatting>
  <conditionalFormatting sqref="BC55:BM59">
    <cfRule type="cellIs" dxfId="110" priority="108" operator="lessThan">
      <formula>0</formula>
    </cfRule>
  </conditionalFormatting>
  <conditionalFormatting sqref="BC55:BM59">
    <cfRule type="cellIs" dxfId="109" priority="107" operator="lessThan">
      <formula>0</formula>
    </cfRule>
  </conditionalFormatting>
  <conditionalFormatting sqref="BC55:BM59">
    <cfRule type="cellIs" dxfId="108" priority="106" operator="lessThan">
      <formula>0</formula>
    </cfRule>
  </conditionalFormatting>
  <conditionalFormatting sqref="BC55:BM59">
    <cfRule type="cellIs" dxfId="107" priority="105" operator="lessThan">
      <formula>0</formula>
    </cfRule>
  </conditionalFormatting>
  <conditionalFormatting sqref="BC55:BM59">
    <cfRule type="cellIs" dxfId="106" priority="104" operator="lessThan">
      <formula>0</formula>
    </cfRule>
  </conditionalFormatting>
  <conditionalFormatting sqref="BC55:BM59">
    <cfRule type="cellIs" dxfId="105" priority="103" operator="lessThan">
      <formula>0</formula>
    </cfRule>
  </conditionalFormatting>
  <conditionalFormatting sqref="BC55:BM59">
    <cfRule type="cellIs" dxfId="104" priority="102" operator="lessThan">
      <formula>0</formula>
    </cfRule>
  </conditionalFormatting>
  <conditionalFormatting sqref="BC55:BM59">
    <cfRule type="cellIs" dxfId="103" priority="101" operator="lessThan">
      <formula>0</formula>
    </cfRule>
  </conditionalFormatting>
  <conditionalFormatting sqref="BC55:BM59">
    <cfRule type="cellIs" dxfId="102" priority="100" operator="lessThan">
      <formula>0</formula>
    </cfRule>
  </conditionalFormatting>
  <conditionalFormatting sqref="U7:AE7">
    <cfRule type="cellIs" dxfId="101" priority="99" operator="lessThan">
      <formula>0</formula>
    </cfRule>
  </conditionalFormatting>
  <conditionalFormatting sqref="A3:A59">
    <cfRule type="cellIs" dxfId="100" priority="98" operator="lessThan">
      <formula>0</formula>
    </cfRule>
  </conditionalFormatting>
  <conditionalFormatting sqref="A24">
    <cfRule type="cellIs" dxfId="99" priority="97" operator="lessThan">
      <formula>0</formula>
    </cfRule>
  </conditionalFormatting>
  <conditionalFormatting sqref="A3:A59">
    <cfRule type="cellIs" dxfId="98" priority="96" operator="lessThan">
      <formula>0</formula>
    </cfRule>
  </conditionalFormatting>
  <conditionalFormatting sqref="A31">
    <cfRule type="cellIs" dxfId="97" priority="95" operator="lessThan">
      <formula>0</formula>
    </cfRule>
  </conditionalFormatting>
  <conditionalFormatting sqref="A5:A7">
    <cfRule type="cellIs" dxfId="96" priority="94" operator="lessThan">
      <formula>0</formula>
    </cfRule>
  </conditionalFormatting>
  <conditionalFormatting sqref="A10:A23">
    <cfRule type="cellIs" dxfId="95" priority="93" operator="lessThan">
      <formula>0</formula>
    </cfRule>
  </conditionalFormatting>
  <conditionalFormatting sqref="A21">
    <cfRule type="cellIs" dxfId="94" priority="92" operator="lessThan">
      <formula>0</formula>
    </cfRule>
  </conditionalFormatting>
  <conditionalFormatting sqref="A22">
    <cfRule type="cellIs" dxfId="93" priority="91" operator="lessThan">
      <formula>0</formula>
    </cfRule>
  </conditionalFormatting>
  <conditionalFormatting sqref="A23">
    <cfRule type="cellIs" dxfId="92" priority="90" operator="lessThan">
      <formula>0</formula>
    </cfRule>
  </conditionalFormatting>
  <conditionalFormatting sqref="A25:A31">
    <cfRule type="cellIs" dxfId="91" priority="89" operator="lessThan">
      <formula>0</formula>
    </cfRule>
  </conditionalFormatting>
  <conditionalFormatting sqref="A33:A36">
    <cfRule type="cellIs" dxfId="90" priority="88" operator="lessThan">
      <formula>0</formula>
    </cfRule>
  </conditionalFormatting>
  <conditionalFormatting sqref="A33:A36">
    <cfRule type="cellIs" dxfId="89" priority="87" operator="lessThan">
      <formula>0</formula>
    </cfRule>
  </conditionalFormatting>
  <conditionalFormatting sqref="A38:A53">
    <cfRule type="cellIs" dxfId="88" priority="86" operator="lessThan">
      <formula>0</formula>
    </cfRule>
  </conditionalFormatting>
  <conditionalFormatting sqref="A38:A53">
    <cfRule type="cellIs" dxfId="87" priority="85" operator="lessThan">
      <formula>0</formula>
    </cfRule>
  </conditionalFormatting>
  <conditionalFormatting sqref="A55:A59">
    <cfRule type="cellIs" dxfId="86" priority="84" operator="lessThan">
      <formula>0</formula>
    </cfRule>
  </conditionalFormatting>
  <conditionalFormatting sqref="A55:A59">
    <cfRule type="cellIs" dxfId="85" priority="83" operator="lessThan">
      <formula>0</formula>
    </cfRule>
  </conditionalFormatting>
  <conditionalFormatting sqref="A3">
    <cfRule type="cellIs" dxfId="84" priority="82" operator="lessThan">
      <formula>0</formula>
    </cfRule>
  </conditionalFormatting>
  <conditionalFormatting sqref="A3">
    <cfRule type="cellIs" dxfId="83" priority="81" operator="lessThan">
      <formula>0</formula>
    </cfRule>
  </conditionalFormatting>
  <conditionalFormatting sqref="A10:A23">
    <cfRule type="cellIs" dxfId="82" priority="80" operator="lessThan">
      <formula>0</formula>
    </cfRule>
  </conditionalFormatting>
  <conditionalFormatting sqref="A25:A31">
    <cfRule type="cellIs" dxfId="81" priority="79" operator="lessThan">
      <formula>0</formula>
    </cfRule>
  </conditionalFormatting>
  <conditionalFormatting sqref="A25:A31">
    <cfRule type="cellIs" dxfId="80" priority="78" operator="lessThan">
      <formula>0</formula>
    </cfRule>
  </conditionalFormatting>
  <conditionalFormatting sqref="A25:A31">
    <cfRule type="cellIs" dxfId="79" priority="77" operator="lessThan">
      <formula>0</formula>
    </cfRule>
  </conditionalFormatting>
  <conditionalFormatting sqref="A33:A36">
    <cfRule type="cellIs" dxfId="78" priority="76" operator="lessThan">
      <formula>0</formula>
    </cfRule>
  </conditionalFormatting>
  <conditionalFormatting sqref="A33:A36">
    <cfRule type="cellIs" dxfId="77" priority="75" operator="lessThan">
      <formula>0</formula>
    </cfRule>
  </conditionalFormatting>
  <conditionalFormatting sqref="A33:A36">
    <cfRule type="cellIs" dxfId="76" priority="74" operator="lessThan">
      <formula>0</formula>
    </cfRule>
  </conditionalFormatting>
  <conditionalFormatting sqref="A33:A36">
    <cfRule type="cellIs" dxfId="75" priority="73" operator="lessThan">
      <formula>0</formula>
    </cfRule>
  </conditionalFormatting>
  <conditionalFormatting sqref="A33:A36">
    <cfRule type="cellIs" dxfId="74" priority="72" operator="lessThan">
      <formula>0</formula>
    </cfRule>
  </conditionalFormatting>
  <conditionalFormatting sqref="A38:A53">
    <cfRule type="cellIs" dxfId="73" priority="71" operator="lessThan">
      <formula>0</formula>
    </cfRule>
  </conditionalFormatting>
  <conditionalFormatting sqref="A38:A53">
    <cfRule type="cellIs" dxfId="72" priority="70" operator="lessThan">
      <formula>0</formula>
    </cfRule>
  </conditionalFormatting>
  <conditionalFormatting sqref="A38:A53">
    <cfRule type="cellIs" dxfId="71" priority="69" operator="lessThan">
      <formula>0</formula>
    </cfRule>
  </conditionalFormatting>
  <conditionalFormatting sqref="A38:A53">
    <cfRule type="cellIs" dxfId="70" priority="68" operator="lessThan">
      <formula>0</formula>
    </cfRule>
  </conditionalFormatting>
  <conditionalFormatting sqref="A38:A53">
    <cfRule type="cellIs" dxfId="69" priority="67" operator="lessThan">
      <formula>0</formula>
    </cfRule>
  </conditionalFormatting>
  <conditionalFormatting sqref="A38:A53">
    <cfRule type="cellIs" dxfId="68" priority="66" operator="lessThan">
      <formula>0</formula>
    </cfRule>
  </conditionalFormatting>
  <conditionalFormatting sqref="A38:A53">
    <cfRule type="cellIs" dxfId="67" priority="65" operator="lessThan">
      <formula>0</formula>
    </cfRule>
  </conditionalFormatting>
  <conditionalFormatting sqref="A55:A59">
    <cfRule type="cellIs" dxfId="66" priority="64" operator="lessThan">
      <formula>0</formula>
    </cfRule>
  </conditionalFormatting>
  <conditionalFormatting sqref="A55:A59">
    <cfRule type="cellIs" dxfId="65" priority="63" operator="lessThan">
      <formula>0</formula>
    </cfRule>
  </conditionalFormatting>
  <conditionalFormatting sqref="A55:A59">
    <cfRule type="cellIs" dxfId="64" priority="62" operator="lessThan">
      <formula>0</formula>
    </cfRule>
  </conditionalFormatting>
  <conditionalFormatting sqref="A55:A59">
    <cfRule type="cellIs" dxfId="63" priority="61" operator="lessThan">
      <formula>0</formula>
    </cfRule>
  </conditionalFormatting>
  <conditionalFormatting sqref="A55:A59">
    <cfRule type="cellIs" dxfId="62" priority="60" operator="lessThan">
      <formula>0</formula>
    </cfRule>
  </conditionalFormatting>
  <conditionalFormatting sqref="A55:A59">
    <cfRule type="cellIs" dxfId="61" priority="59" operator="lessThan">
      <formula>0</formula>
    </cfRule>
  </conditionalFormatting>
  <conditionalFormatting sqref="A55:A59">
    <cfRule type="cellIs" dxfId="60" priority="58" operator="lessThan">
      <formula>0</formula>
    </cfRule>
  </conditionalFormatting>
  <conditionalFormatting sqref="A55:A59">
    <cfRule type="cellIs" dxfId="59" priority="57" operator="lessThan">
      <formula>0</formula>
    </cfRule>
  </conditionalFormatting>
  <conditionalFormatting sqref="A55:A59">
    <cfRule type="cellIs" dxfId="58" priority="56" operator="lessThan">
      <formula>0</formula>
    </cfRule>
  </conditionalFormatting>
  <conditionalFormatting sqref="A10:A23">
    <cfRule type="cellIs" dxfId="57" priority="55" operator="lessThan">
      <formula>0</formula>
    </cfRule>
  </conditionalFormatting>
  <conditionalFormatting sqref="A25:A31">
    <cfRule type="cellIs" dxfId="56" priority="54" operator="lessThan">
      <formula>0</formula>
    </cfRule>
  </conditionalFormatting>
  <conditionalFormatting sqref="A25:A31">
    <cfRule type="cellIs" dxfId="55" priority="53" operator="lessThan">
      <formula>0</formula>
    </cfRule>
  </conditionalFormatting>
  <conditionalFormatting sqref="A25:A31">
    <cfRule type="cellIs" dxfId="54" priority="52" operator="lessThan">
      <formula>0</formula>
    </cfRule>
  </conditionalFormatting>
  <conditionalFormatting sqref="A25:A31">
    <cfRule type="cellIs" dxfId="53" priority="51" operator="lessThan">
      <formula>0</formula>
    </cfRule>
  </conditionalFormatting>
  <conditionalFormatting sqref="A33:A36">
    <cfRule type="cellIs" dxfId="52" priority="50" operator="lessThan">
      <formula>0</formula>
    </cfRule>
  </conditionalFormatting>
  <conditionalFormatting sqref="A33:A36">
    <cfRule type="cellIs" dxfId="51" priority="49" operator="lessThan">
      <formula>0</formula>
    </cfRule>
  </conditionalFormatting>
  <conditionalFormatting sqref="A33:A36">
    <cfRule type="cellIs" dxfId="50" priority="48" operator="lessThan">
      <formula>0</formula>
    </cfRule>
  </conditionalFormatting>
  <conditionalFormatting sqref="A33:A36">
    <cfRule type="cellIs" dxfId="49" priority="47" operator="lessThan">
      <formula>0</formula>
    </cfRule>
  </conditionalFormatting>
  <conditionalFormatting sqref="A33:A36">
    <cfRule type="cellIs" dxfId="48" priority="46" operator="lessThan">
      <formula>0</formula>
    </cfRule>
  </conditionalFormatting>
  <conditionalFormatting sqref="A33:A36">
    <cfRule type="cellIs" dxfId="47" priority="45" operator="lessThan">
      <formula>0</formula>
    </cfRule>
  </conditionalFormatting>
  <conditionalFormatting sqref="A33:A36">
    <cfRule type="cellIs" dxfId="46" priority="44" operator="lessThan">
      <formula>0</formula>
    </cfRule>
  </conditionalFormatting>
  <conditionalFormatting sqref="A33:A36">
    <cfRule type="cellIs" dxfId="45" priority="43" operator="lessThan">
      <formula>0</formula>
    </cfRule>
  </conditionalFormatting>
  <conditionalFormatting sqref="A33:A36">
    <cfRule type="cellIs" dxfId="44" priority="42" operator="lessThan">
      <formula>0</formula>
    </cfRule>
  </conditionalFormatting>
  <conditionalFormatting sqref="A38:A53">
    <cfRule type="cellIs" dxfId="43" priority="41" operator="lessThan">
      <formula>0</formula>
    </cfRule>
  </conditionalFormatting>
  <conditionalFormatting sqref="A38:A53">
    <cfRule type="cellIs" dxfId="42" priority="40" operator="lessThan">
      <formula>0</formula>
    </cfRule>
  </conditionalFormatting>
  <conditionalFormatting sqref="A38:A53">
    <cfRule type="cellIs" dxfId="41" priority="39" operator="lessThan">
      <formula>0</formula>
    </cfRule>
  </conditionalFormatting>
  <conditionalFormatting sqref="A38:A53">
    <cfRule type="cellIs" dxfId="40" priority="38" operator="lessThan">
      <formula>0</formula>
    </cfRule>
  </conditionalFormatting>
  <conditionalFormatting sqref="A38:A53">
    <cfRule type="cellIs" dxfId="39" priority="37" operator="lessThan">
      <formula>0</formula>
    </cfRule>
  </conditionalFormatting>
  <conditionalFormatting sqref="A38:A53">
    <cfRule type="cellIs" dxfId="38" priority="36" operator="lessThan">
      <formula>0</formula>
    </cfRule>
  </conditionalFormatting>
  <conditionalFormatting sqref="A38:A53">
    <cfRule type="cellIs" dxfId="37" priority="35" operator="lessThan">
      <formula>0</formula>
    </cfRule>
  </conditionalFormatting>
  <conditionalFormatting sqref="A38:A53">
    <cfRule type="cellIs" dxfId="36" priority="34" operator="lessThan">
      <formula>0</formula>
    </cfRule>
  </conditionalFormatting>
  <conditionalFormatting sqref="A38:A53">
    <cfRule type="cellIs" dxfId="35" priority="33" operator="lessThan">
      <formula>0</formula>
    </cfRule>
  </conditionalFormatting>
  <conditionalFormatting sqref="A38:A53">
    <cfRule type="cellIs" dxfId="34" priority="32" operator="lessThan">
      <formula>0</formula>
    </cfRule>
  </conditionalFormatting>
  <conditionalFormatting sqref="A38:A53">
    <cfRule type="cellIs" dxfId="33" priority="31" operator="lessThan">
      <formula>0</formula>
    </cfRule>
  </conditionalFormatting>
  <conditionalFormatting sqref="A38:A53">
    <cfRule type="cellIs" dxfId="32" priority="30" operator="lessThan">
      <formula>0</formula>
    </cfRule>
  </conditionalFormatting>
  <conditionalFormatting sqref="A38:A53">
    <cfRule type="cellIs" dxfId="31" priority="29" operator="lessThan">
      <formula>0</formula>
    </cfRule>
  </conditionalFormatting>
  <conditionalFormatting sqref="A38:A53">
    <cfRule type="cellIs" dxfId="30" priority="28" operator="lessThan">
      <formula>0</formula>
    </cfRule>
  </conditionalFormatting>
  <conditionalFormatting sqref="A38:A53">
    <cfRule type="cellIs" dxfId="29" priority="27" operator="lessThan">
      <formula>0</formula>
    </cfRule>
  </conditionalFormatting>
  <conditionalFormatting sqref="A38:A53">
    <cfRule type="cellIs" dxfId="28" priority="26" operator="lessThan">
      <formula>0</formula>
    </cfRule>
  </conditionalFormatting>
  <conditionalFormatting sqref="A55:A59">
    <cfRule type="cellIs" dxfId="27" priority="25" operator="lessThan">
      <formula>0</formula>
    </cfRule>
  </conditionalFormatting>
  <conditionalFormatting sqref="A55:A59">
    <cfRule type="cellIs" dxfId="26" priority="24" operator="lessThan">
      <formula>0</formula>
    </cfRule>
  </conditionalFormatting>
  <conditionalFormatting sqref="A55:A59">
    <cfRule type="cellIs" dxfId="25" priority="23" operator="lessThan">
      <formula>0</formula>
    </cfRule>
  </conditionalFormatting>
  <conditionalFormatting sqref="A55:A59">
    <cfRule type="cellIs" dxfId="24" priority="22" operator="lessThan">
      <formula>0</formula>
    </cfRule>
  </conditionalFormatting>
  <conditionalFormatting sqref="A55:A59">
    <cfRule type="cellIs" dxfId="23" priority="21" operator="lessThan">
      <formula>0</formula>
    </cfRule>
  </conditionalFormatting>
  <conditionalFormatting sqref="A55:A59">
    <cfRule type="cellIs" dxfId="22" priority="20" operator="lessThan">
      <formula>0</formula>
    </cfRule>
  </conditionalFormatting>
  <conditionalFormatting sqref="A55:A59">
    <cfRule type="cellIs" dxfId="21" priority="19" operator="lessThan">
      <formula>0</formula>
    </cfRule>
  </conditionalFormatting>
  <conditionalFormatting sqref="A55:A59">
    <cfRule type="cellIs" dxfId="20" priority="18" operator="lessThan">
      <formula>0</formula>
    </cfRule>
  </conditionalFormatting>
  <conditionalFormatting sqref="A55:A59">
    <cfRule type="cellIs" dxfId="19" priority="17" operator="lessThan">
      <formula>0</formula>
    </cfRule>
  </conditionalFormatting>
  <conditionalFormatting sqref="A55:A59">
    <cfRule type="cellIs" dxfId="18" priority="16" operator="lessThan">
      <formula>0</formula>
    </cfRule>
  </conditionalFormatting>
  <conditionalFormatting sqref="A55:A59">
    <cfRule type="cellIs" dxfId="17" priority="15" operator="lessThan">
      <formula>0</formula>
    </cfRule>
  </conditionalFormatting>
  <conditionalFormatting sqref="A55:A59">
    <cfRule type="cellIs" dxfId="16" priority="14" operator="lessThan">
      <formula>0</formula>
    </cfRule>
  </conditionalFormatting>
  <conditionalFormatting sqref="A55:A59">
    <cfRule type="cellIs" dxfId="15" priority="13" operator="lessThan">
      <formula>0</formula>
    </cfRule>
  </conditionalFormatting>
  <conditionalFormatting sqref="A55:A59">
    <cfRule type="cellIs" dxfId="14" priority="12" operator="lessThan">
      <formula>0</formula>
    </cfRule>
  </conditionalFormatting>
  <conditionalFormatting sqref="A55:A59">
    <cfRule type="cellIs" dxfId="13" priority="11" operator="lessThan">
      <formula>0</formula>
    </cfRule>
  </conditionalFormatting>
  <conditionalFormatting sqref="A55:A59">
    <cfRule type="cellIs" dxfId="12" priority="10" operator="lessThan">
      <formula>0</formula>
    </cfRule>
  </conditionalFormatting>
  <conditionalFormatting sqref="A55:A59">
    <cfRule type="cellIs" dxfId="11" priority="9" operator="lessThan">
      <formula>0</formula>
    </cfRule>
  </conditionalFormatting>
  <conditionalFormatting sqref="A55:A59">
    <cfRule type="cellIs" dxfId="10" priority="8" operator="lessThan">
      <formula>0</formula>
    </cfRule>
  </conditionalFormatting>
  <conditionalFormatting sqref="A55:A59">
    <cfRule type="cellIs" dxfId="9" priority="7" operator="lessThan">
      <formula>0</formula>
    </cfRule>
  </conditionalFormatting>
  <conditionalFormatting sqref="A55:A59">
    <cfRule type="cellIs" dxfId="8" priority="6" operator="lessThan">
      <formula>0</formula>
    </cfRule>
  </conditionalFormatting>
  <conditionalFormatting sqref="A55:A59">
    <cfRule type="cellIs" dxfId="7" priority="5" operator="lessThan">
      <formula>0</formula>
    </cfRule>
  </conditionalFormatting>
  <conditionalFormatting sqref="A55:A59">
    <cfRule type="cellIs" dxfId="6" priority="4" operator="lessThan">
      <formula>0</formula>
    </cfRule>
  </conditionalFormatting>
  <conditionalFormatting sqref="A55:A59">
    <cfRule type="cellIs" dxfId="5" priority="3" operator="lessThan">
      <formula>0</formula>
    </cfRule>
  </conditionalFormatting>
  <conditionalFormatting sqref="A55:A59">
    <cfRule type="cellIs" dxfId="4" priority="2" operator="lessThan">
      <formula>0</formula>
    </cfRule>
  </conditionalFormatting>
  <conditionalFormatting sqref="A55:A59">
    <cfRule type="cellIs" dxfId="3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U59:BR59 C59:S59 C5:BR58 A5:A59">
      <formula1>0</formula1>
    </dataValidation>
  </dataValidations>
  <pageMargins left="0" right="0" top="0" bottom="0" header="0" footer="0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AS32"/>
  <sheetViews>
    <sheetView showGridLines="0" view="pageBreakPreview" zoomScale="70" zoomScaleNormal="100" zoomScaleSheetLayoutView="70" workbookViewId="0">
      <selection activeCell="G27" sqref="G27"/>
    </sheetView>
  </sheetViews>
  <sheetFormatPr defaultColWidth="8.85546875" defaultRowHeight="15"/>
  <cols>
    <col min="1" max="1" width="8.85546875" style="78"/>
    <col min="2" max="2" width="62.140625" style="78" customWidth="1"/>
    <col min="3" max="7" width="19.28515625" style="78" customWidth="1"/>
    <col min="8" max="8" width="21" style="144" customWidth="1"/>
    <col min="9" max="16384" width="8.85546875" style="78"/>
  </cols>
  <sheetData>
    <row r="1" spans="1:45" s="140" customFormat="1" ht="16.5">
      <c r="H1" s="143"/>
      <c r="O1" s="137"/>
      <c r="T1" s="137"/>
      <c r="Y1" s="137"/>
      <c r="AD1" s="137"/>
      <c r="AI1" s="137"/>
      <c r="AN1" s="137"/>
      <c r="AS1" s="137"/>
    </row>
    <row r="2" spans="1:45" s="41" customFormat="1" ht="23.25">
      <c r="A2" s="40"/>
      <c r="B2" s="40"/>
      <c r="C2" s="40"/>
      <c r="D2" s="40"/>
      <c r="E2" s="40"/>
      <c r="F2" s="40"/>
      <c r="G2" s="40"/>
      <c r="H2" s="40"/>
      <c r="I2" s="40"/>
      <c r="J2" s="146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s="41" customFormat="1" ht="61.5" customHeight="1">
      <c r="A3" s="40"/>
      <c r="B3" s="148"/>
      <c r="C3" s="1106" t="s">
        <v>262</v>
      </c>
      <c r="D3" s="1107"/>
      <c r="E3" s="1107"/>
      <c r="F3" s="1107"/>
      <c r="G3" s="1107"/>
      <c r="H3" s="149"/>
      <c r="I3" s="40"/>
      <c r="J3" s="146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s="41" customFormat="1" ht="23.25">
      <c r="A4" s="40"/>
      <c r="B4" s="148"/>
      <c r="C4" s="1104">
        <v>2022</v>
      </c>
      <c r="D4" s="1104"/>
      <c r="E4" s="1105"/>
      <c r="F4" s="1105"/>
      <c r="G4" s="1105"/>
      <c r="H4" s="1105"/>
      <c r="I4" s="40"/>
      <c r="J4" s="146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s="41" customFormat="1" ht="26.45" customHeight="1">
      <c r="C5" s="88"/>
      <c r="D5" s="88"/>
      <c r="E5" s="88"/>
      <c r="F5" s="88"/>
      <c r="G5" s="88"/>
      <c r="H5" s="141"/>
      <c r="I5" s="88"/>
      <c r="J5" s="147"/>
      <c r="K5" s="79"/>
      <c r="L5" s="79"/>
      <c r="M5" s="79"/>
      <c r="N5" s="79"/>
      <c r="O5" s="93"/>
      <c r="T5" s="93"/>
      <c r="Y5" s="93"/>
      <c r="AD5" s="93"/>
      <c r="AI5" s="93"/>
      <c r="AN5" s="93"/>
      <c r="AS5" s="93"/>
    </row>
    <row r="6" spans="1:45" ht="84" customHeight="1">
      <c r="B6" s="914" t="str">
        <f ca="1">Доходи!B3:C3</f>
        <v>Показник</v>
      </c>
      <c r="C6" s="914" t="str">
        <f ca="1">Доходи!D3</f>
        <v>Доходи у І кварталі, грн.</v>
      </c>
      <c r="D6" s="914" t="str">
        <f ca="1">Доходи!E3</f>
        <v>Доходи у ІІ кварталі, грн.</v>
      </c>
      <c r="E6" s="914" t="str">
        <f ca="1">Доходи!F3</f>
        <v>Доходи у ІІІ кварталі, грн.</v>
      </c>
      <c r="F6" s="914" t="str">
        <f ca="1">Доходи!G3</f>
        <v>Доходи у IV кварталі, грн.</v>
      </c>
      <c r="G6" s="914" t="str">
        <f ca="1">Доходи!H3</f>
        <v>Всього річні ДОХОДИ надавача МД, грн.</v>
      </c>
    </row>
    <row r="7" spans="1:45" ht="56.25">
      <c r="B7" s="904" t="str">
        <f ca="1">Доходи!B4:C4</f>
        <v>Надходження надавача від медичного обслуговування населення за програмою медичних гарантій, грн.</v>
      </c>
      <c r="C7" s="915">
        <f ca="1">Доходи!D4</f>
        <v>13857058.433181781</v>
      </c>
      <c r="D7" s="915">
        <f ca="1">Доходи!E4</f>
        <v>13828301.588506754</v>
      </c>
      <c r="E7" s="915">
        <f ca="1">Доходи!F4</f>
        <v>13679000</v>
      </c>
      <c r="F7" s="915">
        <f ca="1">Доходи!G4</f>
        <v>13909499.522789989</v>
      </c>
      <c r="G7" s="915">
        <f ca="1">Доходи!H4</f>
        <v>55273859.544478521</v>
      </c>
    </row>
    <row r="8" spans="1:45" ht="18.75">
      <c r="B8" s="904" t="str">
        <f ca="1">Доходи!B21:C21</f>
        <v>Інші надходження/доходи надавача МД, грн.</v>
      </c>
      <c r="C8" s="915">
        <f ca="1">Доходи!D21</f>
        <v>4463898.0223646406</v>
      </c>
      <c r="D8" s="915">
        <f ca="1">Доходи!E21</f>
        <v>2563864.1770607736</v>
      </c>
      <c r="E8" s="915">
        <f ca="1">Доходи!F21</f>
        <v>566626.60800000001</v>
      </c>
      <c r="F8" s="915">
        <f ca="1">Доходи!G21</f>
        <v>1749471.2245745859</v>
      </c>
      <c r="G8" s="915">
        <f ca="1">Доходи!H21</f>
        <v>9343860.0319999997</v>
      </c>
    </row>
    <row r="9" spans="1:45" s="82" customFormat="1" ht="18.75">
      <c r="B9" s="918" t="str">
        <f ca="1">Доходи!B22:C22</f>
        <v>ВСЬОГО ДОХОДІВ надавача , грн.</v>
      </c>
      <c r="C9" s="919">
        <f ca="1">'!!! ФІНАНСОВИЙ ПЛАН ЗМІНИ !!!'!H80</f>
        <v>18320956.455546424</v>
      </c>
      <c r="D9" s="919">
        <f ca="1">'!!! ФІНАНСОВИЙ ПЛАН ЗМІНИ !!!'!I80</f>
        <v>16392165.765567528</v>
      </c>
      <c r="E9" s="919">
        <f ca="1">'!!! ФІНАНСОВИЙ ПЛАН ЗМІНИ !!!'!J80</f>
        <v>14245626.607999999</v>
      </c>
      <c r="F9" s="919">
        <f ca="1">'!!! ФІНАНСОВИЙ ПЛАН ЗМІНИ !!!'!K80</f>
        <v>15658970.747364575</v>
      </c>
      <c r="G9" s="919">
        <f ca="1">SUM(C9:F9)</f>
        <v>64617719.576478519</v>
      </c>
      <c r="H9" s="144"/>
    </row>
    <row r="10" spans="1:45" ht="55.15" customHeight="1">
      <c r="B10" s="81"/>
      <c r="C10" s="81"/>
      <c r="D10" s="81"/>
      <c r="E10" s="81"/>
      <c r="F10" s="81"/>
      <c r="G10" s="81"/>
    </row>
    <row r="11" spans="1:45" s="77" customFormat="1" ht="87.75" customHeight="1">
      <c r="B11" s="914" t="s">
        <v>15</v>
      </c>
      <c r="C11" s="914" t="s">
        <v>196</v>
      </c>
      <c r="D11" s="914" t="s">
        <v>197</v>
      </c>
      <c r="E11" s="914" t="s">
        <v>198</v>
      </c>
      <c r="F11" s="914" t="s">
        <v>199</v>
      </c>
      <c r="G11" s="914" t="s">
        <v>256</v>
      </c>
      <c r="H11" s="142"/>
    </row>
    <row r="12" spans="1:45" s="77" customFormat="1" ht="18.75">
      <c r="B12" s="916" t="s">
        <v>56</v>
      </c>
      <c r="C12" s="917">
        <f ca="1">'!!! ФІНАНСОВИЙ ПЛАН ЗМІНИ !!!'!H52+'!!! ФІНАНСОВИЙ ПЛАН ЗМІНИ !!!'!H55</f>
        <v>9469430.5729031339</v>
      </c>
      <c r="D12" s="917">
        <f ca="1">'!!! ФІНАНСОВИЙ ПЛАН ЗМІНИ !!!'!I52+'!!! ФІНАНСОВИЙ ПЛАН ЗМІНИ !!!'!I55</f>
        <v>9517713.7263388429</v>
      </c>
      <c r="E12" s="917">
        <f ca="1">'!!! ФІНАНСОВИЙ ПЛАН ЗМІНИ !!!'!J52+'!!! ФІНАНСОВИЙ ПЛАН ЗМІНИ !!!'!J55</f>
        <v>9414031.0824282672</v>
      </c>
      <c r="F12" s="917">
        <f ca="1">'!!! ФІНАНСОВИЙ ПЛАН ЗМІНИ !!!'!K52+'!!! ФІНАНСОВИЙ ПЛАН ЗМІНИ !!!'!K55</f>
        <v>9521185.2046789937</v>
      </c>
      <c r="G12" s="917">
        <f>SUM(C12:F12)</f>
        <v>37922360.586349234</v>
      </c>
      <c r="H12" s="1029">
        <f>G12/12</f>
        <v>3160196.7155291028</v>
      </c>
    </row>
    <row r="13" spans="1:45" s="77" customFormat="1" ht="18.75">
      <c r="B13" s="916" t="s">
        <v>57</v>
      </c>
      <c r="C13" s="917">
        <f ca="1">'!!! ФІНАНСОВИЙ ПЛАН ЗМІНИ !!!'!H53+'!!! ФІНАНСОВИЙ ПЛАН ЗМІНИ !!!'!H56</f>
        <v>2083274.7260386897</v>
      </c>
      <c r="D13" s="917">
        <f ca="1">'!!! ФІНАНСОВИЙ ПЛАН ЗМІНИ !!!'!I53+'!!! ФІНАНСОВИЙ ПЛАН ЗМІНИ !!!'!I56</f>
        <v>2093897.0197945456</v>
      </c>
      <c r="E13" s="917">
        <f ca="1">'!!! ФІНАНСОВИЙ ПЛАН ЗМІНИ !!!'!J53+'!!! ФІНАНСОВИЙ ПЛАН ЗМІНИ !!!'!J56</f>
        <v>2071086.8381342189</v>
      </c>
      <c r="F13" s="917">
        <f ca="1">'!!! ФІНАНСОВИЙ ПЛАН ЗМІНИ !!!'!K53+'!!! ФІНАНСОВИЙ ПЛАН ЗМІНИ !!!'!K56</f>
        <v>2094660.7450293784</v>
      </c>
      <c r="G13" s="917">
        <f t="shared" ref="G13:G23" si="0">SUM(C13:F13)</f>
        <v>8342919.3289968334</v>
      </c>
      <c r="H13" s="1029">
        <f>G13/12</f>
        <v>695243.27741640282</v>
      </c>
    </row>
    <row r="14" spans="1:45" s="77" customFormat="1" ht="18.75">
      <c r="B14" s="916" t="s">
        <v>58</v>
      </c>
      <c r="C14" s="917">
        <f ca="1">'!!! ФІНАНСОВИЙ ПЛАН ЗМІНИ !!!'!H58</f>
        <v>1207500</v>
      </c>
      <c r="D14" s="917">
        <f ca="1">'!!! ФІНАНСОВИЙ ПЛАН ЗМІНИ !!!'!I58</f>
        <v>1207500</v>
      </c>
      <c r="E14" s="917">
        <f ca="1">'!!! ФІНАНСОВИЙ ПЛАН ЗМІНИ !!!'!J58</f>
        <v>1207500</v>
      </c>
      <c r="F14" s="917">
        <f ca="1">'!!! ФІНАНСОВИЙ ПЛАН ЗМІНИ !!!'!K58</f>
        <v>1207500</v>
      </c>
      <c r="G14" s="917">
        <f t="shared" si="0"/>
        <v>4830000</v>
      </c>
      <c r="H14" s="142"/>
    </row>
    <row r="15" spans="1:45" s="77" customFormat="1" ht="18.75">
      <c r="B15" s="916" t="s">
        <v>59</v>
      </c>
      <c r="C15" s="917">
        <f ca="1">'!!! ФІНАНСОВИЙ ПЛАН ЗМІНИ !!!'!H59</f>
        <v>135000</v>
      </c>
      <c r="D15" s="917">
        <f ca="1">'!!! ФІНАНСОВИЙ ПЛАН ЗМІНИ !!!'!I59</f>
        <v>135000</v>
      </c>
      <c r="E15" s="917">
        <f ca="1">'!!! ФІНАНСОВИЙ ПЛАН ЗМІНИ !!!'!J59</f>
        <v>135000</v>
      </c>
      <c r="F15" s="917">
        <f ca="1">'!!! ФІНАНСОВИЙ ПЛАН ЗМІНИ !!!'!K59</f>
        <v>135000</v>
      </c>
      <c r="G15" s="917">
        <f t="shared" si="0"/>
        <v>540000</v>
      </c>
      <c r="H15" s="142"/>
    </row>
    <row r="16" spans="1:45" s="77" customFormat="1" ht="18.75">
      <c r="B16" s="916" t="s">
        <v>60</v>
      </c>
      <c r="C16" s="917">
        <f ca="1">'!!! ФІНАНСОВИЙ ПЛАН ЗМІНИ !!!'!H60</f>
        <v>566300</v>
      </c>
      <c r="D16" s="917">
        <f ca="1">'!!! ФІНАНСОВИЙ ПЛАН ЗМІНИ !!!'!I60</f>
        <v>571300</v>
      </c>
      <c r="E16" s="917">
        <f ca="1">'!!! ФІНАНСОВИЙ ПЛАН ЗМІНИ !!!'!J60</f>
        <v>566970.9</v>
      </c>
      <c r="F16" s="917">
        <f ca="1">'!!! ФІНАНСОВИЙ ПЛАН ЗМІНИ !!!'!K60</f>
        <v>561300</v>
      </c>
      <c r="G16" s="917">
        <f t="shared" si="0"/>
        <v>2265870.9</v>
      </c>
      <c r="H16" s="142"/>
    </row>
    <row r="17" spans="2:10" s="77" customFormat="1" ht="18.75">
      <c r="B17" s="916" t="s">
        <v>61</v>
      </c>
      <c r="C17" s="917">
        <f ca="1">'!!! ФІНАНСОВИЙ ПЛАН ЗМІНИ !!!'!H61</f>
        <v>27000</v>
      </c>
      <c r="D17" s="917">
        <f ca="1">'!!! ФІНАНСОВИЙ ПЛАН ЗМІНИ !!!'!I61</f>
        <v>27000</v>
      </c>
      <c r="E17" s="917">
        <f ca="1">'!!! ФІНАНСОВИЙ ПЛАН ЗМІНИ !!!'!J61</f>
        <v>27000</v>
      </c>
      <c r="F17" s="917">
        <f ca="1">'!!! ФІНАНСОВИЙ ПЛАН ЗМІНИ !!!'!K61</f>
        <v>27000</v>
      </c>
      <c r="G17" s="917">
        <f t="shared" si="0"/>
        <v>108000</v>
      </c>
      <c r="H17" s="142"/>
    </row>
    <row r="18" spans="2:10" s="77" customFormat="1" ht="18.75">
      <c r="B18" s="916" t="s">
        <v>258</v>
      </c>
      <c r="C18" s="917">
        <f ca="1">'!!! ФІНАНСОВИЙ ПЛАН ЗМІНИ !!!'!H62</f>
        <v>2097187.1566045997</v>
      </c>
      <c r="D18" s="917">
        <f ca="1">'!!! ФІНАНСОВИЙ ПЛАН ЗМІНИ !!!'!I62</f>
        <v>694755.0194340999</v>
      </c>
      <c r="E18" s="917">
        <f ca="1">'!!! ФІНАНСОВИЙ ПЛАН ЗМІНИ !!!'!J62</f>
        <v>479037.79200000002</v>
      </c>
      <c r="F18" s="917">
        <f ca="1">'!!! ФІНАНСОВИЙ ПЛАН ЗМІНИ !!!'!K62</f>
        <v>1767324.7976661061</v>
      </c>
      <c r="G18" s="917">
        <f t="shared" si="0"/>
        <v>5038304.765704806</v>
      </c>
      <c r="H18" s="142"/>
    </row>
    <row r="19" spans="2:10" s="77" customFormat="1" ht="18.75">
      <c r="B19" s="916" t="s">
        <v>65</v>
      </c>
      <c r="C19" s="917">
        <f ca="1">'!!! ФІНАНСОВИЙ ПЛАН ЗМІНИ !!!'!H70</f>
        <v>15000</v>
      </c>
      <c r="D19" s="917">
        <f ca="1">'!!! ФІНАНСОВИЙ ПЛАН ЗМІНИ !!!'!I70</f>
        <v>15000</v>
      </c>
      <c r="E19" s="917">
        <f ca="1">'!!! ФІНАНСОВИЙ ПЛАН ЗМІНИ !!!'!J70</f>
        <v>15000</v>
      </c>
      <c r="F19" s="917">
        <f ca="1">'!!! ФІНАНСОВИЙ ПЛАН ЗМІНИ !!!'!K70</f>
        <v>15000</v>
      </c>
      <c r="G19" s="917">
        <f>SUM(C19:F19)</f>
        <v>60000</v>
      </c>
      <c r="H19" s="142"/>
    </row>
    <row r="20" spans="2:10" s="77" customFormat="1" ht="18.75">
      <c r="B20" s="916" t="s">
        <v>66</v>
      </c>
      <c r="C20" s="917">
        <f ca="1">'!!! ФІНАНСОВИЙ ПЛАН ЗМІНИ !!!'!H71</f>
        <v>290000</v>
      </c>
      <c r="D20" s="917">
        <f ca="1">'!!! ФІНАНСОВИЙ ПЛАН ЗМІНИ !!!'!I71</f>
        <v>290000</v>
      </c>
      <c r="E20" s="917">
        <f ca="1">'!!! ФІНАНСОВИЙ ПЛАН ЗМІНИ !!!'!J71</f>
        <v>290000</v>
      </c>
      <c r="F20" s="917">
        <f ca="1">'!!! ФІНАНСОВИЙ ПЛАН ЗМІНИ !!!'!K71</f>
        <v>290000</v>
      </c>
      <c r="G20" s="917">
        <f>SUM(C20:F20)</f>
        <v>1160000</v>
      </c>
      <c r="H20" s="142"/>
    </row>
    <row r="21" spans="2:10" s="77" customFormat="1" ht="18.75">
      <c r="B21" s="916" t="s">
        <v>259</v>
      </c>
      <c r="C21" s="917">
        <f ca="1">'!!! ФІНАНСОВИЙ ПЛАН ЗМІНИ !!!'!H72</f>
        <v>2390264</v>
      </c>
      <c r="D21" s="917">
        <f ca="1">'!!! ФІНАНСОВИЙ ПЛАН ЗМІНИ !!!'!I72</f>
        <v>1800000</v>
      </c>
      <c r="E21" s="917">
        <f ca="1">'!!! ФІНАНСОВИЙ ПЛАН ЗМІНИ !!!'!J72</f>
        <v>0</v>
      </c>
      <c r="F21" s="917">
        <f ca="1">'!!! ФІНАНСОВИЙ ПЛАН ЗМІНИ !!!'!K72</f>
        <v>0</v>
      </c>
      <c r="G21" s="917">
        <f>SUM(C21:F21)</f>
        <v>4190264</v>
      </c>
      <c r="H21" s="142"/>
    </row>
    <row r="22" spans="2:10" s="77" customFormat="1" ht="18.75">
      <c r="B22" s="916" t="s">
        <v>67</v>
      </c>
      <c r="C22" s="917">
        <f ca="1">'!!! ФІНАНСОВИЙ ПЛАН ЗМІНИ !!!'!H76</f>
        <v>40000</v>
      </c>
      <c r="D22" s="917">
        <f ca="1">'!!! ФІНАНСОВИЙ ПЛАН ЗМІНИ !!!'!I76</f>
        <v>40000</v>
      </c>
      <c r="E22" s="917">
        <f ca="1">'!!! ФІНАНСОВИЙ ПЛАН ЗМІНИ !!!'!J76</f>
        <v>40000</v>
      </c>
      <c r="F22" s="917">
        <f ca="1">'!!! ФІНАНСОВИЙ ПЛАН ЗМІНИ !!!'!K76</f>
        <v>40000</v>
      </c>
      <c r="G22" s="917">
        <f t="shared" si="0"/>
        <v>160000</v>
      </c>
      <c r="H22" s="142"/>
    </row>
    <row r="23" spans="2:10" s="77" customFormat="1" ht="37.5">
      <c r="B23" s="916" t="s">
        <v>260</v>
      </c>
      <c r="C23" s="917">
        <f ca="1">'!!! ФІНАНСОВИЙ ПЛАН ЗМІНИ !!!'!H57</f>
        <v>0</v>
      </c>
      <c r="D23" s="917">
        <f ca="1">'!!! ФІНАНСОВИЙ ПЛАН ЗМІНИ !!!'!I57</f>
        <v>0</v>
      </c>
      <c r="E23" s="917">
        <f ca="1">'!!! ФІНАНСОВИЙ ПЛАН ЗМІНИ !!!'!J57</f>
        <v>0</v>
      </c>
      <c r="F23" s="917">
        <f ca="1">'!!! ФІНАНСОВИЙ ПЛАН ЗМІНИ !!!'!K57</f>
        <v>0</v>
      </c>
      <c r="G23" s="917">
        <f t="shared" si="0"/>
        <v>0</v>
      </c>
      <c r="H23" s="142"/>
    </row>
    <row r="24" spans="2:10" s="85" customFormat="1" ht="18.75">
      <c r="B24" s="918" t="s">
        <v>253</v>
      </c>
      <c r="C24" s="920">
        <f ca="1">SUM(C12:C23)</f>
        <v>18320956.455546424</v>
      </c>
      <c r="D24" s="920">
        <f ca="1">SUM(D12:D23)</f>
        <v>16392165.765567489</v>
      </c>
      <c r="E24" s="920">
        <f ca="1">SUM(E12:E23)</f>
        <v>14245626.612562487</v>
      </c>
      <c r="F24" s="920">
        <f ca="1">SUM(F12:F23)</f>
        <v>15658970.747374479</v>
      </c>
      <c r="G24" s="920">
        <f>SUM(G12:G23)</f>
        <v>64617719.581050873</v>
      </c>
      <c r="H24" s="142"/>
    </row>
    <row r="25" spans="2:10" s="85" customFormat="1" ht="18.75">
      <c r="B25" s="913" t="s">
        <v>253</v>
      </c>
      <c r="C25" s="116">
        <f ca="1">'!!! ФІНАНСОВИЙ ПЛАН ЗМІНИ !!!'!H81</f>
        <v>18320956.455546424</v>
      </c>
      <c r="D25" s="116">
        <f ca="1">'!!! ФІНАНСОВИЙ ПЛАН ЗМІНИ !!!'!I81</f>
        <v>16392165.765567487</v>
      </c>
      <c r="E25" s="116">
        <f ca="1">'!!! ФІНАНСОВИЙ ПЛАН ЗМІНИ !!!'!J81</f>
        <v>14245626.612562485</v>
      </c>
      <c r="F25" s="116">
        <f ca="1">'!!! ФІНАНСОВИЙ ПЛАН ЗМІНИ !!!'!K81</f>
        <v>15658970.747374479</v>
      </c>
      <c r="G25" s="116">
        <f>SUM(C25:F25)</f>
        <v>64617719.581050873</v>
      </c>
      <c r="H25" s="142"/>
      <c r="J25" s="77"/>
    </row>
    <row r="26" spans="2:10">
      <c r="C26" s="145">
        <f>C9-C24</f>
        <v>0</v>
      </c>
      <c r="D26" s="145">
        <f>D9-D24</f>
        <v>3.9115548133850098E-8</v>
      </c>
      <c r="E26" s="145">
        <f>E9-E24</f>
        <v>-4.5624878257513046E-3</v>
      </c>
      <c r="F26" s="145">
        <f>F9-F24</f>
        <v>-9.9036842584609985E-6</v>
      </c>
      <c r="G26" s="145">
        <f>G9-G24</f>
        <v>-4.572354257106781E-3</v>
      </c>
    </row>
    <row r="31" spans="2:10">
      <c r="C31" s="145"/>
      <c r="D31" s="145"/>
      <c r="E31" s="145"/>
      <c r="F31" s="145"/>
      <c r="G31" s="145"/>
    </row>
    <row r="32" spans="2:10">
      <c r="C32" s="145"/>
      <c r="D32" s="145"/>
      <c r="E32" s="145"/>
      <c r="F32" s="145"/>
    </row>
  </sheetData>
  <mergeCells count="2">
    <mergeCell ref="C4:H4"/>
    <mergeCell ref="C3:G3"/>
  </mergeCells>
  <phoneticPr fontId="0" type="noConversion"/>
  <pageMargins left="0" right="0" top="0" bottom="0" header="0" footer="0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8"/>
  <sheetViews>
    <sheetView view="pageBreakPreview" zoomScale="50" zoomScaleNormal="100" zoomScaleSheetLayoutView="50" workbookViewId="0">
      <selection activeCell="C5" sqref="C5"/>
    </sheetView>
  </sheetViews>
  <sheetFormatPr defaultRowHeight="26.25"/>
  <cols>
    <col min="1" max="1" width="16.85546875" style="128" customWidth="1"/>
    <col min="2" max="2" width="108.7109375" style="282" customWidth="1"/>
    <col min="3" max="14" width="20.7109375" style="218" bestFit="1" customWidth="1"/>
    <col min="15" max="19" width="23" style="218" bestFit="1" customWidth="1"/>
    <col min="20" max="20" width="14" style="723" bestFit="1" customWidth="1"/>
    <col min="21" max="21" width="9.140625" style="724"/>
  </cols>
  <sheetData>
    <row r="1" spans="1:21" ht="45" customHeight="1">
      <c r="B1" s="1108" t="s">
        <v>984</v>
      </c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</row>
    <row r="2" spans="1:21" ht="25.5">
      <c r="B2" s="267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21" s="238" customFormat="1" ht="51">
      <c r="A3" s="230" t="s">
        <v>877</v>
      </c>
      <c r="B3" s="268"/>
      <c r="C3" s="230" t="s">
        <v>1289</v>
      </c>
      <c r="D3" s="230" t="s">
        <v>1290</v>
      </c>
      <c r="E3" s="230" t="s">
        <v>1291</v>
      </c>
      <c r="F3" s="230" t="s">
        <v>1292</v>
      </c>
      <c r="G3" s="230" t="s">
        <v>1293</v>
      </c>
      <c r="H3" s="230" t="s">
        <v>1294</v>
      </c>
      <c r="I3" s="230" t="s">
        <v>1295</v>
      </c>
      <c r="J3" s="230" t="s">
        <v>1296</v>
      </c>
      <c r="K3" s="230" t="s">
        <v>1297</v>
      </c>
      <c r="L3" s="230" t="s">
        <v>1298</v>
      </c>
      <c r="M3" s="230" t="s">
        <v>1299</v>
      </c>
      <c r="N3" s="230" t="s">
        <v>1300</v>
      </c>
      <c r="O3" s="231" t="s">
        <v>106</v>
      </c>
      <c r="P3" s="231" t="s">
        <v>107</v>
      </c>
      <c r="Q3" s="231" t="s">
        <v>108</v>
      </c>
      <c r="R3" s="231" t="s">
        <v>109</v>
      </c>
      <c r="S3" s="231" t="s">
        <v>110</v>
      </c>
      <c r="T3" s="725"/>
      <c r="U3" s="726"/>
    </row>
    <row r="4" spans="1:21" s="241" customFormat="1">
      <c r="A4" s="221"/>
      <c r="B4" s="220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40"/>
      <c r="Q4" s="240"/>
      <c r="R4" s="240"/>
      <c r="S4" s="240"/>
      <c r="T4" s="727"/>
      <c r="U4" s="728"/>
    </row>
    <row r="5" spans="1:21" s="241" customFormat="1">
      <c r="A5" s="223">
        <f ca="1">'01.01.2022'!O680+'01.01.2022'!P680</f>
        <v>4</v>
      </c>
      <c r="B5" s="222" t="s">
        <v>1227</v>
      </c>
      <c r="C5" s="242">
        <f ca="1">'01.01.2022'!Z680</f>
        <v>73643.343840000001</v>
      </c>
      <c r="D5" s="242">
        <f t="shared" ref="D5:H10" si="0">C5</f>
        <v>73643.343840000001</v>
      </c>
      <c r="E5" s="242">
        <f t="shared" si="0"/>
        <v>73643.343840000001</v>
      </c>
      <c r="F5" s="242">
        <f t="shared" si="0"/>
        <v>73643.343840000001</v>
      </c>
      <c r="G5" s="242">
        <f t="shared" si="0"/>
        <v>73643.343840000001</v>
      </c>
      <c r="H5" s="242">
        <f t="shared" si="0"/>
        <v>73643.343840000001</v>
      </c>
      <c r="I5" s="242">
        <f t="shared" ref="I5:I10" si="1">H5</f>
        <v>73643.343840000001</v>
      </c>
      <c r="J5" s="242">
        <f t="shared" ref="J5:N10" si="2">I5</f>
        <v>73643.343840000001</v>
      </c>
      <c r="K5" s="242">
        <f t="shared" si="2"/>
        <v>73643.343840000001</v>
      </c>
      <c r="L5" s="242">
        <f ca="1">'01.10.2022'!Z680</f>
        <v>74676.632409999991</v>
      </c>
      <c r="M5" s="242">
        <f t="shared" si="2"/>
        <v>74676.632409999991</v>
      </c>
      <c r="N5" s="242">
        <f t="shared" si="2"/>
        <v>74676.632409999991</v>
      </c>
      <c r="O5" s="240">
        <f t="shared" ref="O5:O11" si="3">C5+D5+E5</f>
        <v>220930.03152000002</v>
      </c>
      <c r="P5" s="240">
        <f t="shared" ref="P5:P11" si="4">F5+G5+H5</f>
        <v>220930.03152000002</v>
      </c>
      <c r="Q5" s="240">
        <f t="shared" ref="Q5:Q11" si="5">I5+J5+K5</f>
        <v>220930.03152000002</v>
      </c>
      <c r="R5" s="240">
        <f t="shared" ref="R5:R11" si="6">L5+M5+N5</f>
        <v>224029.89722999997</v>
      </c>
      <c r="S5" s="240">
        <f t="shared" ref="S5:S11" si="7">SUM(O5:R5)</f>
        <v>886819.99179000012</v>
      </c>
      <c r="T5" s="727"/>
      <c r="U5" s="728"/>
    </row>
    <row r="6" spans="1:21" s="241" customFormat="1">
      <c r="A6" s="223">
        <f ca="1">'01.01.2022'!O681+'01.01.2022'!P681</f>
        <v>9</v>
      </c>
      <c r="B6" s="222" t="s">
        <v>1224</v>
      </c>
      <c r="C6" s="242">
        <f ca="1">'01.01.2022'!Z681</f>
        <v>166180.56125</v>
      </c>
      <c r="D6" s="242">
        <f t="shared" si="0"/>
        <v>166180.56125</v>
      </c>
      <c r="E6" s="242">
        <f t="shared" si="0"/>
        <v>166180.56125</v>
      </c>
      <c r="F6" s="242">
        <f t="shared" si="0"/>
        <v>166180.56125</v>
      </c>
      <c r="G6" s="242">
        <f t="shared" si="0"/>
        <v>166180.56125</v>
      </c>
      <c r="H6" s="242">
        <f t="shared" si="0"/>
        <v>166180.56125</v>
      </c>
      <c r="I6" s="242">
        <f t="shared" si="1"/>
        <v>166180.56125</v>
      </c>
      <c r="J6" s="242">
        <f t="shared" si="2"/>
        <v>166180.56125</v>
      </c>
      <c r="K6" s="242">
        <f t="shared" si="2"/>
        <v>166180.56125</v>
      </c>
      <c r="L6" s="242">
        <f ca="1">'01.10.2022'!Z681</f>
        <v>166569.98000000001</v>
      </c>
      <c r="M6" s="242">
        <f t="shared" si="2"/>
        <v>166569.98000000001</v>
      </c>
      <c r="N6" s="242">
        <f t="shared" si="2"/>
        <v>166569.98000000001</v>
      </c>
      <c r="O6" s="240">
        <f t="shared" si="3"/>
        <v>498541.68374999997</v>
      </c>
      <c r="P6" s="240">
        <f t="shared" si="4"/>
        <v>498541.68374999997</v>
      </c>
      <c r="Q6" s="240">
        <f t="shared" si="5"/>
        <v>498541.68374999997</v>
      </c>
      <c r="R6" s="240">
        <f t="shared" si="6"/>
        <v>499709.94000000006</v>
      </c>
      <c r="S6" s="240">
        <f t="shared" si="7"/>
        <v>1995334.99125</v>
      </c>
      <c r="T6" s="727"/>
      <c r="U6" s="728"/>
    </row>
    <row r="7" spans="1:21" s="241" customFormat="1">
      <c r="A7" s="223">
        <f ca="1">'01.01.2022'!O682+'01.01.2022'!P682</f>
        <v>42</v>
      </c>
      <c r="B7" s="222" t="s">
        <v>16</v>
      </c>
      <c r="C7" s="242">
        <f ca="1">'01.01.2022'!Z682</f>
        <v>840000</v>
      </c>
      <c r="D7" s="242">
        <f t="shared" si="0"/>
        <v>840000</v>
      </c>
      <c r="E7" s="242">
        <f t="shared" si="0"/>
        <v>840000</v>
      </c>
      <c r="F7" s="242">
        <f t="shared" si="0"/>
        <v>840000</v>
      </c>
      <c r="G7" s="242">
        <f t="shared" si="0"/>
        <v>840000</v>
      </c>
      <c r="H7" s="242">
        <f t="shared" si="0"/>
        <v>840000</v>
      </c>
      <c r="I7" s="242">
        <f t="shared" si="1"/>
        <v>840000</v>
      </c>
      <c r="J7" s="242">
        <f t="shared" si="2"/>
        <v>840000</v>
      </c>
      <c r="K7" s="242">
        <f t="shared" si="2"/>
        <v>840000</v>
      </c>
      <c r="L7" s="242">
        <f ca="1">'01.10.2022'!Z682</f>
        <v>840000</v>
      </c>
      <c r="M7" s="242">
        <f t="shared" si="2"/>
        <v>840000</v>
      </c>
      <c r="N7" s="242">
        <f t="shared" si="2"/>
        <v>840000</v>
      </c>
      <c r="O7" s="240">
        <f t="shared" si="3"/>
        <v>2520000</v>
      </c>
      <c r="P7" s="240">
        <f t="shared" si="4"/>
        <v>2520000</v>
      </c>
      <c r="Q7" s="240">
        <f t="shared" si="5"/>
        <v>2520000</v>
      </c>
      <c r="R7" s="240">
        <f t="shared" si="6"/>
        <v>2520000</v>
      </c>
      <c r="S7" s="240">
        <f t="shared" si="7"/>
        <v>10080000</v>
      </c>
      <c r="T7" s="727"/>
      <c r="U7" s="728"/>
    </row>
    <row r="8" spans="1:21" s="241" customFormat="1">
      <c r="A8" s="223">
        <f ca="1">'01.01.2022'!O683+'01.01.2022'!P683</f>
        <v>94.5</v>
      </c>
      <c r="B8" s="222" t="s">
        <v>1228</v>
      </c>
      <c r="C8" s="242">
        <f ca="1">'01.01.2022'!Z683</f>
        <v>1275750</v>
      </c>
      <c r="D8" s="242">
        <f t="shared" si="0"/>
        <v>1275750</v>
      </c>
      <c r="E8" s="242">
        <f t="shared" si="0"/>
        <v>1275750</v>
      </c>
      <c r="F8" s="242">
        <f t="shared" si="0"/>
        <v>1275750</v>
      </c>
      <c r="G8" s="242">
        <f t="shared" si="0"/>
        <v>1275750</v>
      </c>
      <c r="H8" s="242">
        <f t="shared" si="0"/>
        <v>1275750</v>
      </c>
      <c r="I8" s="242">
        <f t="shared" si="1"/>
        <v>1275750</v>
      </c>
      <c r="J8" s="242">
        <f t="shared" si="2"/>
        <v>1275750</v>
      </c>
      <c r="K8" s="242">
        <f t="shared" si="2"/>
        <v>1275750</v>
      </c>
      <c r="L8" s="242">
        <f ca="1">'01.10.2022'!Z683</f>
        <v>1275750</v>
      </c>
      <c r="M8" s="242">
        <f t="shared" si="2"/>
        <v>1275750</v>
      </c>
      <c r="N8" s="242">
        <f t="shared" si="2"/>
        <v>1275750</v>
      </c>
      <c r="O8" s="240">
        <f t="shared" si="3"/>
        <v>3827250</v>
      </c>
      <c r="P8" s="240">
        <f t="shared" si="4"/>
        <v>3827250</v>
      </c>
      <c r="Q8" s="240">
        <f t="shared" si="5"/>
        <v>3827250</v>
      </c>
      <c r="R8" s="240">
        <f t="shared" si="6"/>
        <v>3827250</v>
      </c>
      <c r="S8" s="240">
        <f t="shared" si="7"/>
        <v>15309000</v>
      </c>
      <c r="T8" s="727"/>
      <c r="U8" s="728"/>
    </row>
    <row r="9" spans="1:21" s="241" customFormat="1">
      <c r="A9" s="223">
        <f ca="1">'01.01.2022'!O684+'01.01.2022'!P684</f>
        <v>39</v>
      </c>
      <c r="B9" s="222" t="s">
        <v>102</v>
      </c>
      <c r="C9" s="242">
        <f ca="1">'01.01.2022'!Z684</f>
        <v>267429.90999999997</v>
      </c>
      <c r="D9" s="242">
        <f t="shared" si="0"/>
        <v>267429.90999999997</v>
      </c>
      <c r="E9" s="242">
        <f t="shared" si="0"/>
        <v>267429.90999999997</v>
      </c>
      <c r="F9" s="242">
        <f t="shared" si="0"/>
        <v>267429.90999999997</v>
      </c>
      <c r="G9" s="242">
        <f t="shared" si="0"/>
        <v>267429.90999999997</v>
      </c>
      <c r="H9" s="242">
        <f t="shared" si="0"/>
        <v>267429.90999999997</v>
      </c>
      <c r="I9" s="242">
        <f t="shared" si="1"/>
        <v>267429.90999999997</v>
      </c>
      <c r="J9" s="242">
        <f t="shared" si="2"/>
        <v>267429.90999999997</v>
      </c>
      <c r="K9" s="242">
        <f t="shared" si="2"/>
        <v>267429.90999999997</v>
      </c>
      <c r="L9" s="242">
        <f ca="1">'01.10.2022'!Z684</f>
        <v>275658.33499999996</v>
      </c>
      <c r="M9" s="242">
        <f t="shared" si="2"/>
        <v>275658.33499999996</v>
      </c>
      <c r="N9" s="242">
        <f t="shared" si="2"/>
        <v>275658.33499999996</v>
      </c>
      <c r="O9" s="240">
        <f t="shared" si="3"/>
        <v>802289.73</v>
      </c>
      <c r="P9" s="240">
        <f t="shared" si="4"/>
        <v>802289.73</v>
      </c>
      <c r="Q9" s="240">
        <f t="shared" si="5"/>
        <v>802289.73</v>
      </c>
      <c r="R9" s="240">
        <f t="shared" si="6"/>
        <v>826975.00499999989</v>
      </c>
      <c r="S9" s="240">
        <f t="shared" si="7"/>
        <v>3233844.1949999998</v>
      </c>
      <c r="T9" s="727"/>
      <c r="U9" s="728"/>
    </row>
    <row r="10" spans="1:21" s="241" customFormat="1">
      <c r="A10" s="223">
        <f ca="1">'01.01.2022'!O685+'01.01.2022'!P685</f>
        <v>45</v>
      </c>
      <c r="B10" s="222" t="s">
        <v>1225</v>
      </c>
      <c r="C10" s="242">
        <f ca="1">'01.01.2022'!Z685</f>
        <v>298569.70512499998</v>
      </c>
      <c r="D10" s="242">
        <f t="shared" si="0"/>
        <v>298569.70512499998</v>
      </c>
      <c r="E10" s="242">
        <f t="shared" si="0"/>
        <v>298569.70512499998</v>
      </c>
      <c r="F10" s="242">
        <f t="shared" si="0"/>
        <v>298569.70512499998</v>
      </c>
      <c r="G10" s="242">
        <f t="shared" si="0"/>
        <v>298569.70512499998</v>
      </c>
      <c r="H10" s="242">
        <f t="shared" si="0"/>
        <v>298569.70512499998</v>
      </c>
      <c r="I10" s="242">
        <f t="shared" si="1"/>
        <v>298569.70512499998</v>
      </c>
      <c r="J10" s="242">
        <f t="shared" si="2"/>
        <v>298569.70512499998</v>
      </c>
      <c r="K10" s="242">
        <f t="shared" si="2"/>
        <v>298569.70512499998</v>
      </c>
      <c r="L10" s="242">
        <f ca="1">'01.10.2022'!Z685</f>
        <v>314055.78199999995</v>
      </c>
      <c r="M10" s="242">
        <f t="shared" si="2"/>
        <v>314055.78199999995</v>
      </c>
      <c r="N10" s="242">
        <f t="shared" si="2"/>
        <v>314055.78199999995</v>
      </c>
      <c r="O10" s="240">
        <f t="shared" si="3"/>
        <v>895709.11537499994</v>
      </c>
      <c r="P10" s="240">
        <f t="shared" si="4"/>
        <v>895709.11537499994</v>
      </c>
      <c r="Q10" s="240">
        <f t="shared" si="5"/>
        <v>895709.11537499994</v>
      </c>
      <c r="R10" s="240">
        <f t="shared" si="6"/>
        <v>942167.3459999999</v>
      </c>
      <c r="S10" s="240">
        <f t="shared" si="7"/>
        <v>3629294.6921249996</v>
      </c>
      <c r="T10" s="727"/>
      <c r="U10" s="728"/>
    </row>
    <row r="11" spans="1:21" s="246" customFormat="1" ht="54">
      <c r="A11" s="243">
        <f>SUM(A5:A10)</f>
        <v>233.5</v>
      </c>
      <c r="B11" s="227" t="s">
        <v>1084</v>
      </c>
      <c r="C11" s="244">
        <f>SUM(C5:C10)</f>
        <v>2921573.520215</v>
      </c>
      <c r="D11" s="244">
        <f t="shared" ref="D11:N11" si="8">SUM(D5:D10)</f>
        <v>2921573.520215</v>
      </c>
      <c r="E11" s="244">
        <f t="shared" si="8"/>
        <v>2921573.520215</v>
      </c>
      <c r="F11" s="244">
        <f t="shared" si="8"/>
        <v>2921573.520215</v>
      </c>
      <c r="G11" s="244">
        <f t="shared" si="8"/>
        <v>2921573.520215</v>
      </c>
      <c r="H11" s="244">
        <f t="shared" si="8"/>
        <v>2921573.520215</v>
      </c>
      <c r="I11" s="244">
        <f t="shared" si="8"/>
        <v>2921573.520215</v>
      </c>
      <c r="J11" s="244">
        <f t="shared" si="8"/>
        <v>2921573.520215</v>
      </c>
      <c r="K11" s="244">
        <f t="shared" si="8"/>
        <v>2921573.520215</v>
      </c>
      <c r="L11" s="244">
        <f t="shared" si="8"/>
        <v>2946710.7294100001</v>
      </c>
      <c r="M11" s="244">
        <f t="shared" si="8"/>
        <v>2946710.7294100001</v>
      </c>
      <c r="N11" s="244">
        <f t="shared" si="8"/>
        <v>2946710.7294100001</v>
      </c>
      <c r="O11" s="245">
        <f t="shared" si="3"/>
        <v>8764720.5606449991</v>
      </c>
      <c r="P11" s="245">
        <f t="shared" si="4"/>
        <v>8764720.5606449991</v>
      </c>
      <c r="Q11" s="245">
        <f t="shared" si="5"/>
        <v>8764720.5606449991</v>
      </c>
      <c r="R11" s="245">
        <f t="shared" si="6"/>
        <v>8840132.1882300004</v>
      </c>
      <c r="S11" s="245">
        <f t="shared" si="7"/>
        <v>35134293.870164998</v>
      </c>
      <c r="T11" s="729"/>
      <c r="U11" s="730"/>
    </row>
    <row r="12" spans="1:21" s="247" customFormat="1">
      <c r="A12" s="223"/>
      <c r="B12" s="222" t="s">
        <v>1227</v>
      </c>
      <c r="C12" s="242">
        <f>C37+C45+C53</f>
        <v>0</v>
      </c>
      <c r="D12" s="242">
        <f t="shared" ref="D12:N12" si="9">D37+D45+D53</f>
        <v>0</v>
      </c>
      <c r="E12" s="242">
        <f t="shared" si="9"/>
        <v>0</v>
      </c>
      <c r="F12" s="242">
        <f t="shared" si="9"/>
        <v>0</v>
      </c>
      <c r="G12" s="242">
        <f t="shared" si="9"/>
        <v>0</v>
      </c>
      <c r="H12" s="242">
        <f t="shared" si="9"/>
        <v>0</v>
      </c>
      <c r="I12" s="242">
        <f t="shared" si="9"/>
        <v>0</v>
      </c>
      <c r="J12" s="242">
        <f t="shared" si="9"/>
        <v>0</v>
      </c>
      <c r="K12" s="242">
        <f t="shared" si="9"/>
        <v>0</v>
      </c>
      <c r="L12" s="242">
        <f t="shared" si="9"/>
        <v>0</v>
      </c>
      <c r="M12" s="242">
        <f t="shared" si="9"/>
        <v>0</v>
      </c>
      <c r="N12" s="242">
        <f t="shared" si="9"/>
        <v>0</v>
      </c>
      <c r="O12" s="240">
        <f t="shared" ref="O12:O17" si="10">C12+D12+E12</f>
        <v>0</v>
      </c>
      <c r="P12" s="240">
        <f t="shared" ref="P12:P17" si="11">F12+G12+H12</f>
        <v>0</v>
      </c>
      <c r="Q12" s="240">
        <f t="shared" ref="Q12:Q17" si="12">I12+J12+K12</f>
        <v>0</v>
      </c>
      <c r="R12" s="240">
        <f t="shared" ref="R12:R17" si="13">L12+M12+N12</f>
        <v>0</v>
      </c>
      <c r="S12" s="240">
        <f t="shared" ref="S12:S17" si="14">SUM(O12:R12)</f>
        <v>0</v>
      </c>
      <c r="T12" s="731"/>
      <c r="U12" s="732"/>
    </row>
    <row r="13" spans="1:21" s="247" customFormat="1">
      <c r="A13" s="223"/>
      <c r="B13" s="222" t="s">
        <v>1224</v>
      </c>
      <c r="C13" s="242">
        <f t="shared" ref="C13:N17" si="15">C38+C46+C54</f>
        <v>0</v>
      </c>
      <c r="D13" s="242">
        <f t="shared" si="15"/>
        <v>0</v>
      </c>
      <c r="E13" s="242">
        <f t="shared" si="15"/>
        <v>0</v>
      </c>
      <c r="F13" s="242">
        <f t="shared" si="15"/>
        <v>0</v>
      </c>
      <c r="G13" s="242">
        <f t="shared" si="15"/>
        <v>0</v>
      </c>
      <c r="H13" s="242">
        <f t="shared" si="15"/>
        <v>0</v>
      </c>
      <c r="I13" s="242">
        <f t="shared" si="15"/>
        <v>0</v>
      </c>
      <c r="J13" s="242">
        <f t="shared" si="15"/>
        <v>0</v>
      </c>
      <c r="K13" s="242">
        <f t="shared" si="15"/>
        <v>0</v>
      </c>
      <c r="L13" s="242">
        <f t="shared" si="15"/>
        <v>0</v>
      </c>
      <c r="M13" s="242">
        <f t="shared" si="15"/>
        <v>0</v>
      </c>
      <c r="N13" s="242">
        <f t="shared" si="15"/>
        <v>0</v>
      </c>
      <c r="O13" s="240">
        <f t="shared" si="10"/>
        <v>0</v>
      </c>
      <c r="P13" s="240">
        <f t="shared" si="11"/>
        <v>0</v>
      </c>
      <c r="Q13" s="240">
        <f t="shared" si="12"/>
        <v>0</v>
      </c>
      <c r="R13" s="240">
        <f t="shared" si="13"/>
        <v>0</v>
      </c>
      <c r="S13" s="240">
        <f t="shared" si="14"/>
        <v>0</v>
      </c>
      <c r="T13" s="731"/>
      <c r="U13" s="732"/>
    </row>
    <row r="14" spans="1:21" s="247" customFormat="1">
      <c r="A14" s="223"/>
      <c r="B14" s="222" t="s">
        <v>16</v>
      </c>
      <c r="C14" s="242">
        <f>C39+C47+C55</f>
        <v>26900.314986600701</v>
      </c>
      <c r="D14" s="242">
        <f t="shared" si="15"/>
        <v>17035.486291486293</v>
      </c>
      <c r="E14" s="242">
        <f t="shared" si="15"/>
        <v>23918.291774891775</v>
      </c>
      <c r="F14" s="242">
        <f t="shared" si="15"/>
        <v>22254.248608534326</v>
      </c>
      <c r="G14" s="242">
        <f t="shared" si="15"/>
        <v>29626.663932558666</v>
      </c>
      <c r="H14" s="242">
        <f t="shared" si="15"/>
        <v>28993.684210526313</v>
      </c>
      <c r="I14" s="242">
        <f t="shared" si="15"/>
        <v>17209.785055524186</v>
      </c>
      <c r="J14" s="242">
        <f t="shared" si="15"/>
        <v>23918.291774891775</v>
      </c>
      <c r="K14" s="242">
        <f t="shared" si="15"/>
        <v>17399.929161747343</v>
      </c>
      <c r="L14" s="242">
        <f t="shared" si="15"/>
        <v>21542.471673254284</v>
      </c>
      <c r="M14" s="242">
        <f t="shared" si="15"/>
        <v>19595.272727272728</v>
      </c>
      <c r="N14" s="242">
        <f t="shared" si="15"/>
        <v>21542.471673254284</v>
      </c>
      <c r="O14" s="240">
        <f t="shared" si="10"/>
        <v>67854.093052978773</v>
      </c>
      <c r="P14" s="240">
        <f t="shared" si="11"/>
        <v>80874.596751619305</v>
      </c>
      <c r="Q14" s="240">
        <f t="shared" si="12"/>
        <v>58528.0059921633</v>
      </c>
      <c r="R14" s="240">
        <f t="shared" si="13"/>
        <v>62680.216073781296</v>
      </c>
      <c r="S14" s="240">
        <f t="shared" si="14"/>
        <v>269936.91187054268</v>
      </c>
      <c r="T14" s="731"/>
      <c r="U14" s="732"/>
    </row>
    <row r="15" spans="1:21" s="247" customFormat="1">
      <c r="A15" s="223"/>
      <c r="B15" s="222" t="s">
        <v>1228</v>
      </c>
      <c r="C15" s="242">
        <f>C40+C48+C56</f>
        <v>57208.521954236247</v>
      </c>
      <c r="D15" s="242">
        <f t="shared" si="15"/>
        <v>35220.432900432905</v>
      </c>
      <c r="E15" s="242">
        <f t="shared" si="15"/>
        <v>50506.350649350643</v>
      </c>
      <c r="F15" s="242">
        <f t="shared" si="15"/>
        <v>46843.41372912802</v>
      </c>
      <c r="G15" s="242">
        <f t="shared" si="15"/>
        <v>63230.471633629524</v>
      </c>
      <c r="H15" s="242">
        <f t="shared" si="15"/>
        <v>61840.191387559811</v>
      </c>
      <c r="I15" s="242">
        <f t="shared" si="15"/>
        <v>35603.263692828914</v>
      </c>
      <c r="J15" s="242">
        <f t="shared" si="15"/>
        <v>50506.350649350643</v>
      </c>
      <c r="K15" s="242">
        <f t="shared" si="15"/>
        <v>36020.897284533647</v>
      </c>
      <c r="L15" s="242">
        <f t="shared" si="15"/>
        <v>45269.906267645405</v>
      </c>
      <c r="M15" s="242">
        <f t="shared" si="15"/>
        <v>40842.155844155845</v>
      </c>
      <c r="N15" s="242">
        <f t="shared" si="15"/>
        <v>45269.906267645405</v>
      </c>
      <c r="O15" s="240">
        <f t="shared" si="10"/>
        <v>142935.30550401978</v>
      </c>
      <c r="P15" s="240">
        <f t="shared" si="11"/>
        <v>171914.07675031736</v>
      </c>
      <c r="Q15" s="240">
        <f t="shared" si="12"/>
        <v>122130.51162671321</v>
      </c>
      <c r="R15" s="240">
        <f t="shared" si="13"/>
        <v>131381.96837944665</v>
      </c>
      <c r="S15" s="240">
        <f t="shared" si="14"/>
        <v>568361.86226049694</v>
      </c>
      <c r="T15" s="731"/>
      <c r="U15" s="732"/>
    </row>
    <row r="16" spans="1:21" s="247" customFormat="1">
      <c r="A16" s="223"/>
      <c r="B16" s="222" t="s">
        <v>102</v>
      </c>
      <c r="C16" s="242">
        <f t="shared" si="15"/>
        <v>26165.87142857143</v>
      </c>
      <c r="D16" s="242">
        <f t="shared" si="15"/>
        <v>15704.4</v>
      </c>
      <c r="E16" s="242">
        <f t="shared" si="15"/>
        <v>23009.07169811321</v>
      </c>
      <c r="F16" s="242">
        <f t="shared" si="15"/>
        <v>21342.610778443111</v>
      </c>
      <c r="G16" s="242">
        <f t="shared" si="15"/>
        <v>29111.698013245037</v>
      </c>
      <c r="H16" s="242">
        <f t="shared" si="15"/>
        <v>27759.853114962127</v>
      </c>
      <c r="I16" s="242">
        <f t="shared" si="15"/>
        <v>15875.099999999999</v>
      </c>
      <c r="J16" s="242">
        <f t="shared" si="15"/>
        <v>22865.264999999999</v>
      </c>
      <c r="K16" s="242">
        <f t="shared" si="15"/>
        <v>16061.318181818182</v>
      </c>
      <c r="L16" s="242">
        <f t="shared" si="15"/>
        <v>20494.349999999999</v>
      </c>
      <c r="M16" s="242">
        <f t="shared" si="15"/>
        <v>18210.824999999997</v>
      </c>
      <c r="N16" s="242">
        <f t="shared" si="15"/>
        <v>20606.340983606558</v>
      </c>
      <c r="O16" s="240">
        <f t="shared" si="10"/>
        <v>64879.343126684646</v>
      </c>
      <c r="P16" s="240">
        <f t="shared" si="11"/>
        <v>78214.161906650275</v>
      </c>
      <c r="Q16" s="240">
        <f t="shared" si="12"/>
        <v>54801.683181818182</v>
      </c>
      <c r="R16" s="240">
        <f t="shared" si="13"/>
        <v>59311.515983606558</v>
      </c>
      <c r="S16" s="240">
        <f t="shared" si="14"/>
        <v>257206.70419875969</v>
      </c>
      <c r="T16" s="731"/>
      <c r="U16" s="732"/>
    </row>
    <row r="17" spans="1:21" s="247" customFormat="1">
      <c r="A17" s="223"/>
      <c r="B17" s="222" t="s">
        <v>1225</v>
      </c>
      <c r="C17" s="242">
        <f t="shared" si="15"/>
        <v>8626.5166666666664</v>
      </c>
      <c r="D17" s="242">
        <f t="shared" si="15"/>
        <v>4536.4666666666672</v>
      </c>
      <c r="E17" s="242">
        <f t="shared" si="15"/>
        <v>7210.8100628930815</v>
      </c>
      <c r="F17" s="242">
        <f t="shared" si="15"/>
        <v>6702.3952095808372</v>
      </c>
      <c r="G17" s="242">
        <f t="shared" si="15"/>
        <v>3502.2543046357614</v>
      </c>
      <c r="H17" s="242">
        <f t="shared" si="15"/>
        <v>3118.2035928143709</v>
      </c>
      <c r="I17" s="242">
        <f t="shared" si="15"/>
        <v>1364.7413043478261</v>
      </c>
      <c r="J17" s="242">
        <f t="shared" si="15"/>
        <v>2437.3525</v>
      </c>
      <c r="K17" s="242">
        <f t="shared" si="15"/>
        <v>1380.75</v>
      </c>
      <c r="L17" s="242">
        <f t="shared" si="15"/>
        <v>6422.739130434783</v>
      </c>
      <c r="M17" s="242">
        <f t="shared" si="15"/>
        <v>5260.4999999999991</v>
      </c>
      <c r="N17" s="242">
        <f t="shared" si="15"/>
        <v>6457.8360655737697</v>
      </c>
      <c r="O17" s="240">
        <f t="shared" si="10"/>
        <v>20373.793396226414</v>
      </c>
      <c r="P17" s="240">
        <f t="shared" si="11"/>
        <v>13322.853107030969</v>
      </c>
      <c r="Q17" s="240">
        <f t="shared" si="12"/>
        <v>5182.8438043478263</v>
      </c>
      <c r="R17" s="240">
        <f t="shared" si="13"/>
        <v>18141.075196008551</v>
      </c>
      <c r="S17" s="240">
        <f t="shared" si="14"/>
        <v>57020.565503613761</v>
      </c>
      <c r="T17" s="731"/>
      <c r="U17" s="732"/>
    </row>
    <row r="18" spans="1:21" s="722" customFormat="1" ht="54.95" customHeight="1">
      <c r="A18" s="719"/>
      <c r="B18" s="720" t="s">
        <v>872</v>
      </c>
      <c r="C18" s="721">
        <f>SUM(C12:C17)</f>
        <v>118901.22503607505</v>
      </c>
      <c r="D18" s="721">
        <f t="shared" ref="D18:S18" si="16">SUM(D12:D17)</f>
        <v>72496.785858585848</v>
      </c>
      <c r="E18" s="721">
        <f t="shared" si="16"/>
        <v>104644.52418524872</v>
      </c>
      <c r="F18" s="721">
        <f t="shared" si="16"/>
        <v>97142.668325686289</v>
      </c>
      <c r="G18" s="721">
        <f t="shared" si="16"/>
        <v>125471.087884069</v>
      </c>
      <c r="H18" s="721">
        <f t="shared" si="16"/>
        <v>121711.93230586263</v>
      </c>
      <c r="I18" s="721">
        <f t="shared" si="16"/>
        <v>70052.890052700925</v>
      </c>
      <c r="J18" s="721">
        <f t="shared" si="16"/>
        <v>99727.259924242418</v>
      </c>
      <c r="K18" s="721">
        <f t="shared" si="16"/>
        <v>70862.894628099166</v>
      </c>
      <c r="L18" s="721">
        <f t="shared" si="16"/>
        <v>93729.467071334482</v>
      </c>
      <c r="M18" s="721">
        <f t="shared" si="16"/>
        <v>83908.753571428562</v>
      </c>
      <c r="N18" s="721">
        <f t="shared" si="16"/>
        <v>93876.554990080011</v>
      </c>
      <c r="O18" s="721">
        <f t="shared" si="16"/>
        <v>296042.5350799096</v>
      </c>
      <c r="P18" s="721">
        <f t="shared" si="16"/>
        <v>344325.68851561792</v>
      </c>
      <c r="Q18" s="721">
        <f t="shared" si="16"/>
        <v>240643.04460504252</v>
      </c>
      <c r="R18" s="721">
        <f t="shared" si="16"/>
        <v>271514.77563284308</v>
      </c>
      <c r="S18" s="721">
        <f t="shared" si="16"/>
        <v>1152526.0438334132</v>
      </c>
      <c r="T18" s="733"/>
      <c r="U18" s="734"/>
    </row>
    <row r="19" spans="1:21" s="247" customFormat="1">
      <c r="A19" s="223"/>
      <c r="B19" s="222" t="s">
        <v>1227</v>
      </c>
      <c r="C19" s="242">
        <f>C61+C69+C77</f>
        <v>4759.7516749999995</v>
      </c>
      <c r="D19" s="242">
        <f t="shared" ref="D19:N19" si="17">D61+D69+D77</f>
        <v>4759.7516749999995</v>
      </c>
      <c r="E19" s="242">
        <f t="shared" si="17"/>
        <v>4759.7516749999995</v>
      </c>
      <c r="F19" s="242">
        <f t="shared" si="17"/>
        <v>4759.7516749999995</v>
      </c>
      <c r="G19" s="242">
        <f t="shared" si="17"/>
        <v>4759.7516749999995</v>
      </c>
      <c r="H19" s="242">
        <f t="shared" si="17"/>
        <v>4759.7516749999995</v>
      </c>
      <c r="I19" s="242">
        <f t="shared" si="17"/>
        <v>4759.7516749999995</v>
      </c>
      <c r="J19" s="242">
        <f t="shared" si="17"/>
        <v>4759.7516749999995</v>
      </c>
      <c r="K19" s="242">
        <f t="shared" si="17"/>
        <v>4759.7516749999995</v>
      </c>
      <c r="L19" s="242">
        <f t="shared" si="17"/>
        <v>4759.7516749999995</v>
      </c>
      <c r="M19" s="242">
        <f t="shared" si="17"/>
        <v>4759.7516749999995</v>
      </c>
      <c r="N19" s="242">
        <f t="shared" si="17"/>
        <v>4759.7516749999995</v>
      </c>
      <c r="O19" s="240">
        <f t="shared" ref="O19:O24" si="18">C19+D19+E19</f>
        <v>14279.255024999999</v>
      </c>
      <c r="P19" s="240">
        <f t="shared" ref="P19:P24" si="19">F19+G19+H19</f>
        <v>14279.255024999999</v>
      </c>
      <c r="Q19" s="240">
        <f t="shared" ref="Q19:Q24" si="20">I19+J19+K19</f>
        <v>14279.255024999999</v>
      </c>
      <c r="R19" s="240">
        <f t="shared" ref="R19:R24" si="21">L19+M19+N19</f>
        <v>14279.255024999999</v>
      </c>
      <c r="S19" s="240">
        <f t="shared" ref="S19:S24" si="22">SUM(O19:R19)</f>
        <v>57117.020099999994</v>
      </c>
      <c r="T19" s="731"/>
      <c r="U19" s="732"/>
    </row>
    <row r="20" spans="1:21" s="247" customFormat="1">
      <c r="A20" s="223"/>
      <c r="B20" s="222" t="s">
        <v>1224</v>
      </c>
      <c r="C20" s="242">
        <f t="shared" ref="C20:N24" si="23">C62+C70+C78</f>
        <v>7200.9599166666667</v>
      </c>
      <c r="D20" s="242">
        <f t="shared" si="23"/>
        <v>7200.9599166666667</v>
      </c>
      <c r="E20" s="242">
        <f t="shared" si="23"/>
        <v>7200.9599166666667</v>
      </c>
      <c r="F20" s="242">
        <f t="shared" si="23"/>
        <v>7200.9599166666667</v>
      </c>
      <c r="G20" s="242">
        <f t="shared" si="23"/>
        <v>7200.9599166666667</v>
      </c>
      <c r="H20" s="242">
        <f t="shared" si="23"/>
        <v>7200.9599166666667</v>
      </c>
      <c r="I20" s="242">
        <f t="shared" si="23"/>
        <v>7200.9599166666667</v>
      </c>
      <c r="J20" s="242">
        <f t="shared" si="23"/>
        <v>7200.9599166666667</v>
      </c>
      <c r="K20" s="242">
        <f t="shared" si="23"/>
        <v>7200.9599166666667</v>
      </c>
      <c r="L20" s="242">
        <f t="shared" si="23"/>
        <v>7200.9599166666667</v>
      </c>
      <c r="M20" s="242">
        <f t="shared" si="23"/>
        <v>7200.9599166666667</v>
      </c>
      <c r="N20" s="242">
        <f t="shared" si="23"/>
        <v>7200.9599166666667</v>
      </c>
      <c r="O20" s="240">
        <f t="shared" si="18"/>
        <v>21602.87975</v>
      </c>
      <c r="P20" s="240">
        <f t="shared" si="19"/>
        <v>21602.87975</v>
      </c>
      <c r="Q20" s="240">
        <f t="shared" si="20"/>
        <v>21602.87975</v>
      </c>
      <c r="R20" s="240">
        <f t="shared" si="21"/>
        <v>21602.87975</v>
      </c>
      <c r="S20" s="240">
        <f t="shared" si="22"/>
        <v>86411.519</v>
      </c>
      <c r="T20" s="731"/>
      <c r="U20" s="732"/>
    </row>
    <row r="21" spans="1:21" s="247" customFormat="1">
      <c r="A21" s="223"/>
      <c r="B21" s="222" t="s">
        <v>16</v>
      </c>
      <c r="C21" s="242">
        <f t="shared" si="23"/>
        <v>19338.579999999998</v>
      </c>
      <c r="D21" s="242">
        <f t="shared" si="23"/>
        <v>19338.579999999998</v>
      </c>
      <c r="E21" s="242">
        <f t="shared" si="23"/>
        <v>19338.579999999998</v>
      </c>
      <c r="F21" s="242">
        <f t="shared" si="23"/>
        <v>19338.579999999998</v>
      </c>
      <c r="G21" s="242">
        <f t="shared" si="23"/>
        <v>19338.579999999998</v>
      </c>
      <c r="H21" s="242">
        <f t="shared" si="23"/>
        <v>19338.579999999998</v>
      </c>
      <c r="I21" s="242">
        <f t="shared" si="23"/>
        <v>19338.579999999998</v>
      </c>
      <c r="J21" s="242">
        <f t="shared" si="23"/>
        <v>19338.579999999998</v>
      </c>
      <c r="K21" s="242">
        <f t="shared" si="23"/>
        <v>19338.579999999998</v>
      </c>
      <c r="L21" s="242">
        <f t="shared" si="23"/>
        <v>19338.579999999998</v>
      </c>
      <c r="M21" s="242">
        <f t="shared" si="23"/>
        <v>19338.579999999998</v>
      </c>
      <c r="N21" s="242">
        <f t="shared" si="23"/>
        <v>19338.579999999998</v>
      </c>
      <c r="O21" s="240">
        <f t="shared" si="18"/>
        <v>58015.739999999991</v>
      </c>
      <c r="P21" s="240">
        <f t="shared" si="19"/>
        <v>58015.739999999991</v>
      </c>
      <c r="Q21" s="240">
        <f t="shared" si="20"/>
        <v>58015.739999999991</v>
      </c>
      <c r="R21" s="240">
        <f t="shared" si="21"/>
        <v>58015.739999999991</v>
      </c>
      <c r="S21" s="240">
        <f t="shared" si="22"/>
        <v>232062.95999999996</v>
      </c>
      <c r="T21" s="731"/>
      <c r="U21" s="732"/>
    </row>
    <row r="22" spans="1:21" s="247" customFormat="1">
      <c r="A22" s="223"/>
      <c r="B22" s="222" t="s">
        <v>1228</v>
      </c>
      <c r="C22" s="242">
        <f t="shared" si="23"/>
        <v>42651.734999999993</v>
      </c>
      <c r="D22" s="242">
        <f t="shared" si="23"/>
        <v>42651.734999999993</v>
      </c>
      <c r="E22" s="242">
        <f t="shared" si="23"/>
        <v>42651.734999999993</v>
      </c>
      <c r="F22" s="242">
        <f t="shared" si="23"/>
        <v>42651.734999999993</v>
      </c>
      <c r="G22" s="242">
        <f t="shared" si="23"/>
        <v>42651.734999999993</v>
      </c>
      <c r="H22" s="242">
        <f t="shared" si="23"/>
        <v>42651.734999999993</v>
      </c>
      <c r="I22" s="242">
        <f t="shared" si="23"/>
        <v>42651.734999999993</v>
      </c>
      <c r="J22" s="242">
        <f t="shared" si="23"/>
        <v>42651.734999999993</v>
      </c>
      <c r="K22" s="242">
        <f t="shared" si="23"/>
        <v>42651.734999999993</v>
      </c>
      <c r="L22" s="242">
        <f t="shared" si="23"/>
        <v>42651.734999999993</v>
      </c>
      <c r="M22" s="242">
        <f t="shared" si="23"/>
        <v>42651.734999999993</v>
      </c>
      <c r="N22" s="242">
        <f t="shared" si="23"/>
        <v>42651.734999999993</v>
      </c>
      <c r="O22" s="240">
        <f t="shared" si="18"/>
        <v>127955.20499999999</v>
      </c>
      <c r="P22" s="240">
        <f t="shared" si="19"/>
        <v>127955.20499999999</v>
      </c>
      <c r="Q22" s="240">
        <f t="shared" si="20"/>
        <v>127955.20499999999</v>
      </c>
      <c r="R22" s="240">
        <f t="shared" si="21"/>
        <v>127955.20499999999</v>
      </c>
      <c r="S22" s="240">
        <f t="shared" si="22"/>
        <v>511820.81999999995</v>
      </c>
      <c r="T22" s="731"/>
      <c r="U22" s="732"/>
    </row>
    <row r="23" spans="1:21" s="247" customFormat="1">
      <c r="A23" s="223"/>
      <c r="B23" s="222" t="s">
        <v>102</v>
      </c>
      <c r="C23" s="242">
        <f t="shared" si="23"/>
        <v>0</v>
      </c>
      <c r="D23" s="242">
        <f t="shared" si="23"/>
        <v>0</v>
      </c>
      <c r="E23" s="242">
        <f t="shared" si="23"/>
        <v>0</v>
      </c>
      <c r="F23" s="242">
        <f t="shared" si="23"/>
        <v>0</v>
      </c>
      <c r="G23" s="242">
        <f t="shared" si="23"/>
        <v>0</v>
      </c>
      <c r="H23" s="242">
        <f t="shared" si="23"/>
        <v>0</v>
      </c>
      <c r="I23" s="242">
        <f t="shared" si="23"/>
        <v>0</v>
      </c>
      <c r="J23" s="242">
        <f t="shared" si="23"/>
        <v>0</v>
      </c>
      <c r="K23" s="242">
        <f t="shared" si="23"/>
        <v>0</v>
      </c>
      <c r="L23" s="242">
        <f t="shared" si="23"/>
        <v>0</v>
      </c>
      <c r="M23" s="242">
        <f t="shared" si="23"/>
        <v>0</v>
      </c>
      <c r="N23" s="242">
        <f t="shared" si="23"/>
        <v>0</v>
      </c>
      <c r="O23" s="240">
        <f t="shared" si="18"/>
        <v>0</v>
      </c>
      <c r="P23" s="240">
        <f t="shared" si="19"/>
        <v>0</v>
      </c>
      <c r="Q23" s="240">
        <f t="shared" si="20"/>
        <v>0</v>
      </c>
      <c r="R23" s="240">
        <f t="shared" si="21"/>
        <v>0</v>
      </c>
      <c r="S23" s="240">
        <f t="shared" si="22"/>
        <v>0</v>
      </c>
      <c r="T23" s="731"/>
      <c r="U23" s="732"/>
    </row>
    <row r="24" spans="1:21" s="247" customFormat="1">
      <c r="A24" s="223"/>
      <c r="B24" s="222" t="s">
        <v>1225</v>
      </c>
      <c r="C24" s="242">
        <f t="shared" si="23"/>
        <v>0</v>
      </c>
      <c r="D24" s="242">
        <f t="shared" si="23"/>
        <v>0</v>
      </c>
      <c r="E24" s="242">
        <f t="shared" si="23"/>
        <v>0</v>
      </c>
      <c r="F24" s="242">
        <f t="shared" si="23"/>
        <v>0</v>
      </c>
      <c r="G24" s="242">
        <f t="shared" si="23"/>
        <v>0</v>
      </c>
      <c r="H24" s="242">
        <f t="shared" si="23"/>
        <v>0</v>
      </c>
      <c r="I24" s="242">
        <f t="shared" si="23"/>
        <v>0</v>
      </c>
      <c r="J24" s="242">
        <f t="shared" si="23"/>
        <v>0</v>
      </c>
      <c r="K24" s="242">
        <f t="shared" si="23"/>
        <v>0</v>
      </c>
      <c r="L24" s="242">
        <f t="shared" si="23"/>
        <v>0</v>
      </c>
      <c r="M24" s="242">
        <f t="shared" si="23"/>
        <v>0</v>
      </c>
      <c r="N24" s="242">
        <f t="shared" si="23"/>
        <v>0</v>
      </c>
      <c r="O24" s="240">
        <f t="shared" si="18"/>
        <v>0</v>
      </c>
      <c r="P24" s="240">
        <f t="shared" si="19"/>
        <v>0</v>
      </c>
      <c r="Q24" s="240">
        <f t="shared" si="20"/>
        <v>0</v>
      </c>
      <c r="R24" s="240">
        <f t="shared" si="21"/>
        <v>0</v>
      </c>
      <c r="S24" s="240">
        <f t="shared" si="22"/>
        <v>0</v>
      </c>
      <c r="T24" s="731"/>
      <c r="U24" s="732"/>
    </row>
    <row r="25" spans="1:21" s="248" customFormat="1" ht="27.75">
      <c r="A25" s="243"/>
      <c r="B25" s="228" t="s">
        <v>873</v>
      </c>
      <c r="C25" s="244">
        <f t="shared" ref="C25:S25" si="24">SUM(C19:C24)</f>
        <v>73951.026591666654</v>
      </c>
      <c r="D25" s="244">
        <f t="shared" si="24"/>
        <v>73951.026591666654</v>
      </c>
      <c r="E25" s="244">
        <f t="shared" si="24"/>
        <v>73951.026591666654</v>
      </c>
      <c r="F25" s="244">
        <f t="shared" si="24"/>
        <v>73951.026591666654</v>
      </c>
      <c r="G25" s="244">
        <f t="shared" si="24"/>
        <v>73951.026591666654</v>
      </c>
      <c r="H25" s="244">
        <f t="shared" si="24"/>
        <v>73951.026591666654</v>
      </c>
      <c r="I25" s="244">
        <f t="shared" si="24"/>
        <v>73951.026591666654</v>
      </c>
      <c r="J25" s="244">
        <f t="shared" si="24"/>
        <v>73951.026591666654</v>
      </c>
      <c r="K25" s="244">
        <f t="shared" si="24"/>
        <v>73951.026591666654</v>
      </c>
      <c r="L25" s="244">
        <f t="shared" si="24"/>
        <v>73951.026591666654</v>
      </c>
      <c r="M25" s="244">
        <f t="shared" si="24"/>
        <v>73951.026591666654</v>
      </c>
      <c r="N25" s="244">
        <f t="shared" si="24"/>
        <v>73951.026591666654</v>
      </c>
      <c r="O25" s="244">
        <f t="shared" si="24"/>
        <v>221853.07977499999</v>
      </c>
      <c r="P25" s="244">
        <f t="shared" si="24"/>
        <v>221853.07977499999</v>
      </c>
      <c r="Q25" s="244">
        <f t="shared" si="24"/>
        <v>221853.07977499999</v>
      </c>
      <c r="R25" s="244">
        <f t="shared" si="24"/>
        <v>221853.07977499999</v>
      </c>
      <c r="S25" s="244">
        <f t="shared" si="24"/>
        <v>887412.31909999996</v>
      </c>
      <c r="T25" s="735"/>
      <c r="U25" s="736"/>
    </row>
    <row r="26" spans="1:21" s="247" customFormat="1">
      <c r="A26" s="223"/>
      <c r="B26" s="222" t="s">
        <v>1227</v>
      </c>
      <c r="C26" s="242">
        <f>C85+C93+C101+C109</f>
        <v>368.2167192</v>
      </c>
      <c r="D26" s="242">
        <f t="shared" ref="D26:N26" si="25">D85+D93+D101+D109</f>
        <v>368.2167192</v>
      </c>
      <c r="E26" s="242">
        <f t="shared" si="25"/>
        <v>368.2167192</v>
      </c>
      <c r="F26" s="242">
        <f t="shared" si="25"/>
        <v>368.2167192</v>
      </c>
      <c r="G26" s="242">
        <f t="shared" si="25"/>
        <v>368.2167192</v>
      </c>
      <c r="H26" s="242">
        <f t="shared" si="25"/>
        <v>368.2167192</v>
      </c>
      <c r="I26" s="242">
        <f t="shared" si="25"/>
        <v>368.2167192</v>
      </c>
      <c r="J26" s="242">
        <f t="shared" si="25"/>
        <v>368.2167192</v>
      </c>
      <c r="K26" s="242">
        <f t="shared" si="25"/>
        <v>368.2167192</v>
      </c>
      <c r="L26" s="242">
        <f t="shared" si="25"/>
        <v>373.38316204999995</v>
      </c>
      <c r="M26" s="242">
        <f t="shared" si="25"/>
        <v>373.38316204999995</v>
      </c>
      <c r="N26" s="242">
        <f t="shared" si="25"/>
        <v>373.38316204999995</v>
      </c>
      <c r="O26" s="240">
        <f t="shared" ref="O26:O31" si="26">C26+D26+E26</f>
        <v>1104.6501576000001</v>
      </c>
      <c r="P26" s="240">
        <f t="shared" ref="P26:P31" si="27">F26+G26+H26</f>
        <v>1104.6501576000001</v>
      </c>
      <c r="Q26" s="240">
        <f t="shared" ref="Q26:Q31" si="28">I26+J26+K26</f>
        <v>1104.6501576000001</v>
      </c>
      <c r="R26" s="240">
        <f t="shared" ref="R26:R31" si="29">L26+M26+N26</f>
        <v>1120.1494861499998</v>
      </c>
      <c r="S26" s="240">
        <f t="shared" ref="S26:S31" si="30">SUM(O26:R26)</f>
        <v>4434.0999589499997</v>
      </c>
      <c r="T26" s="731"/>
      <c r="U26" s="732"/>
    </row>
    <row r="27" spans="1:21" s="247" customFormat="1">
      <c r="A27" s="223"/>
      <c r="B27" s="222" t="s">
        <v>1224</v>
      </c>
      <c r="C27" s="242">
        <f t="shared" ref="C27:N31" si="31">C86+C94+C102+C110</f>
        <v>830.90280625000003</v>
      </c>
      <c r="D27" s="242">
        <f t="shared" si="31"/>
        <v>830.90280625000003</v>
      </c>
      <c r="E27" s="242">
        <f t="shared" si="31"/>
        <v>830.90280625000003</v>
      </c>
      <c r="F27" s="242">
        <f t="shared" si="31"/>
        <v>830.90280625000003</v>
      </c>
      <c r="G27" s="242">
        <f t="shared" si="31"/>
        <v>830.90280625000003</v>
      </c>
      <c r="H27" s="242">
        <f t="shared" si="31"/>
        <v>830.90280625000003</v>
      </c>
      <c r="I27" s="242">
        <f t="shared" si="31"/>
        <v>830.90280625000003</v>
      </c>
      <c r="J27" s="242">
        <f t="shared" si="31"/>
        <v>830.90280625000003</v>
      </c>
      <c r="K27" s="242">
        <f t="shared" si="31"/>
        <v>830.90280625000003</v>
      </c>
      <c r="L27" s="242">
        <f t="shared" si="31"/>
        <v>832.84990000000005</v>
      </c>
      <c r="M27" s="242">
        <f t="shared" si="31"/>
        <v>832.84990000000005</v>
      </c>
      <c r="N27" s="242">
        <f t="shared" si="31"/>
        <v>832.84990000000005</v>
      </c>
      <c r="O27" s="240">
        <f t="shared" si="26"/>
        <v>2492.70841875</v>
      </c>
      <c r="P27" s="240">
        <f t="shared" si="27"/>
        <v>2492.70841875</v>
      </c>
      <c r="Q27" s="240">
        <f t="shared" si="28"/>
        <v>2492.70841875</v>
      </c>
      <c r="R27" s="240">
        <f t="shared" si="29"/>
        <v>2498.5497</v>
      </c>
      <c r="S27" s="240">
        <f t="shared" si="30"/>
        <v>9976.674956249999</v>
      </c>
      <c r="T27" s="731"/>
      <c r="U27" s="732"/>
    </row>
    <row r="28" spans="1:21" s="247" customFormat="1">
      <c r="A28" s="223"/>
      <c r="B28" s="222" t="s">
        <v>16</v>
      </c>
      <c r="C28" s="242">
        <f t="shared" si="31"/>
        <v>21000</v>
      </c>
      <c r="D28" s="242">
        <f t="shared" si="31"/>
        <v>21000</v>
      </c>
      <c r="E28" s="242">
        <f t="shared" si="31"/>
        <v>21000</v>
      </c>
      <c r="F28" s="242">
        <f t="shared" si="31"/>
        <v>21000</v>
      </c>
      <c r="G28" s="242">
        <f t="shared" si="31"/>
        <v>21000</v>
      </c>
      <c r="H28" s="242">
        <f t="shared" si="31"/>
        <v>21000</v>
      </c>
      <c r="I28" s="242">
        <f t="shared" si="31"/>
        <v>21000</v>
      </c>
      <c r="J28" s="242">
        <f t="shared" si="31"/>
        <v>21000</v>
      </c>
      <c r="K28" s="242">
        <f t="shared" si="31"/>
        <v>21000</v>
      </c>
      <c r="L28" s="242">
        <f t="shared" si="31"/>
        <v>21000</v>
      </c>
      <c r="M28" s="242">
        <f t="shared" si="31"/>
        <v>21000</v>
      </c>
      <c r="N28" s="242">
        <f t="shared" si="31"/>
        <v>21000</v>
      </c>
      <c r="O28" s="240">
        <f t="shared" si="26"/>
        <v>63000</v>
      </c>
      <c r="P28" s="240">
        <f t="shared" si="27"/>
        <v>63000</v>
      </c>
      <c r="Q28" s="240">
        <f t="shared" si="28"/>
        <v>63000</v>
      </c>
      <c r="R28" s="240">
        <f t="shared" si="29"/>
        <v>63000</v>
      </c>
      <c r="S28" s="240">
        <f t="shared" si="30"/>
        <v>252000</v>
      </c>
      <c r="T28" s="731"/>
      <c r="U28" s="732"/>
    </row>
    <row r="29" spans="1:21" s="247" customFormat="1">
      <c r="A29" s="223"/>
      <c r="B29" s="222" t="s">
        <v>1228</v>
      </c>
      <c r="C29" s="242">
        <f t="shared" si="31"/>
        <v>31893.75</v>
      </c>
      <c r="D29" s="242">
        <f t="shared" si="31"/>
        <v>31893.75</v>
      </c>
      <c r="E29" s="242">
        <f t="shared" si="31"/>
        <v>31893.75</v>
      </c>
      <c r="F29" s="242">
        <f t="shared" si="31"/>
        <v>31893.75</v>
      </c>
      <c r="G29" s="242">
        <f t="shared" si="31"/>
        <v>31893.75</v>
      </c>
      <c r="H29" s="242">
        <f t="shared" si="31"/>
        <v>31893.75</v>
      </c>
      <c r="I29" s="242">
        <f t="shared" si="31"/>
        <v>31893.75</v>
      </c>
      <c r="J29" s="242">
        <f t="shared" si="31"/>
        <v>31893.75</v>
      </c>
      <c r="K29" s="242">
        <f t="shared" si="31"/>
        <v>31893.75</v>
      </c>
      <c r="L29" s="242">
        <f t="shared" si="31"/>
        <v>31893.75</v>
      </c>
      <c r="M29" s="242">
        <f t="shared" si="31"/>
        <v>31893.75</v>
      </c>
      <c r="N29" s="242">
        <f t="shared" si="31"/>
        <v>31893.75</v>
      </c>
      <c r="O29" s="240">
        <f t="shared" si="26"/>
        <v>95681.25</v>
      </c>
      <c r="P29" s="240">
        <f t="shared" si="27"/>
        <v>95681.25</v>
      </c>
      <c r="Q29" s="240">
        <f t="shared" si="28"/>
        <v>95681.25</v>
      </c>
      <c r="R29" s="240">
        <f t="shared" si="29"/>
        <v>95681.25</v>
      </c>
      <c r="S29" s="240">
        <f t="shared" si="30"/>
        <v>382725</v>
      </c>
      <c r="T29" s="731"/>
      <c r="U29" s="732"/>
    </row>
    <row r="30" spans="1:21" s="247" customFormat="1">
      <c r="A30" s="223"/>
      <c r="B30" s="222" t="s">
        <v>102</v>
      </c>
      <c r="C30" s="242">
        <f t="shared" si="31"/>
        <v>6685.7477499999995</v>
      </c>
      <c r="D30" s="242">
        <f t="shared" si="31"/>
        <v>6685.7477499999995</v>
      </c>
      <c r="E30" s="242">
        <f t="shared" si="31"/>
        <v>6685.7477499999995</v>
      </c>
      <c r="F30" s="242">
        <f t="shared" si="31"/>
        <v>6685.7477499999995</v>
      </c>
      <c r="G30" s="242">
        <f t="shared" si="31"/>
        <v>6685.7477499999995</v>
      </c>
      <c r="H30" s="242">
        <f t="shared" si="31"/>
        <v>6685.7477499999995</v>
      </c>
      <c r="I30" s="242">
        <f t="shared" si="31"/>
        <v>6685.7477499999995</v>
      </c>
      <c r="J30" s="242">
        <f t="shared" si="31"/>
        <v>6685.7477499999995</v>
      </c>
      <c r="K30" s="242">
        <f t="shared" si="31"/>
        <v>6685.7477499999995</v>
      </c>
      <c r="L30" s="242">
        <f t="shared" si="31"/>
        <v>6891.4583750000002</v>
      </c>
      <c r="M30" s="242">
        <f t="shared" si="31"/>
        <v>6891.4583750000002</v>
      </c>
      <c r="N30" s="242">
        <f t="shared" si="31"/>
        <v>6891.4583750000002</v>
      </c>
      <c r="O30" s="240">
        <f t="shared" si="26"/>
        <v>20057.24325</v>
      </c>
      <c r="P30" s="240">
        <f t="shared" si="27"/>
        <v>20057.24325</v>
      </c>
      <c r="Q30" s="240">
        <f t="shared" si="28"/>
        <v>20057.24325</v>
      </c>
      <c r="R30" s="240">
        <f t="shared" si="29"/>
        <v>20674.375124999999</v>
      </c>
      <c r="S30" s="240">
        <f t="shared" si="30"/>
        <v>80846.10487499999</v>
      </c>
      <c r="T30" s="731"/>
      <c r="U30" s="732"/>
    </row>
    <row r="31" spans="1:21" s="247" customFormat="1">
      <c r="A31" s="223"/>
      <c r="B31" s="222" t="s">
        <v>1225</v>
      </c>
      <c r="C31" s="242">
        <f t="shared" si="31"/>
        <v>1492.8485256249999</v>
      </c>
      <c r="D31" s="242">
        <f t="shared" si="31"/>
        <v>1492.8485256249999</v>
      </c>
      <c r="E31" s="242">
        <f t="shared" si="31"/>
        <v>1492.8485256249999</v>
      </c>
      <c r="F31" s="242">
        <f t="shared" si="31"/>
        <v>1492.8485256249999</v>
      </c>
      <c r="G31" s="242">
        <f t="shared" si="31"/>
        <v>1492.8485256249999</v>
      </c>
      <c r="H31" s="242">
        <f t="shared" si="31"/>
        <v>1492.8485256249999</v>
      </c>
      <c r="I31" s="242">
        <f t="shared" si="31"/>
        <v>1492.8485256249999</v>
      </c>
      <c r="J31" s="242">
        <f t="shared" si="31"/>
        <v>1492.8485256249999</v>
      </c>
      <c r="K31" s="242">
        <f t="shared" si="31"/>
        <v>1492.8485256249999</v>
      </c>
      <c r="L31" s="242">
        <f t="shared" si="31"/>
        <v>1570.2789099999998</v>
      </c>
      <c r="M31" s="242">
        <f t="shared" si="31"/>
        <v>1570.2789099999998</v>
      </c>
      <c r="N31" s="242">
        <f t="shared" si="31"/>
        <v>1570.2789099999998</v>
      </c>
      <c r="O31" s="240">
        <f t="shared" si="26"/>
        <v>4478.5455768749998</v>
      </c>
      <c r="P31" s="240">
        <f t="shared" si="27"/>
        <v>4478.5455768749998</v>
      </c>
      <c r="Q31" s="240">
        <f t="shared" si="28"/>
        <v>4478.5455768749998</v>
      </c>
      <c r="R31" s="240">
        <f t="shared" si="29"/>
        <v>4710.8367299999991</v>
      </c>
      <c r="S31" s="240">
        <f t="shared" si="30"/>
        <v>18146.473460624999</v>
      </c>
      <c r="T31" s="731"/>
      <c r="U31" s="732"/>
    </row>
    <row r="32" spans="1:21" s="248" customFormat="1" ht="27.75">
      <c r="A32" s="243"/>
      <c r="B32" s="228" t="s">
        <v>1166</v>
      </c>
      <c r="C32" s="244">
        <f>SUM(C26:C31)</f>
        <v>62271.465801075006</v>
      </c>
      <c r="D32" s="244">
        <f t="shared" ref="D32:S32" si="32">SUM(D26:D31)</f>
        <v>62271.465801075006</v>
      </c>
      <c r="E32" s="244">
        <f t="shared" si="32"/>
        <v>62271.465801075006</v>
      </c>
      <c r="F32" s="244">
        <f t="shared" si="32"/>
        <v>62271.465801075006</v>
      </c>
      <c r="G32" s="244">
        <f t="shared" si="32"/>
        <v>62271.465801075006</v>
      </c>
      <c r="H32" s="244">
        <f t="shared" si="32"/>
        <v>62271.465801075006</v>
      </c>
      <c r="I32" s="244">
        <f t="shared" si="32"/>
        <v>62271.465801075006</v>
      </c>
      <c r="J32" s="244">
        <f t="shared" si="32"/>
        <v>62271.465801075006</v>
      </c>
      <c r="K32" s="244">
        <f t="shared" si="32"/>
        <v>62271.465801075006</v>
      </c>
      <c r="L32" s="244">
        <f t="shared" si="32"/>
        <v>62561.720347050003</v>
      </c>
      <c r="M32" s="244">
        <f t="shared" si="32"/>
        <v>62561.720347050003</v>
      </c>
      <c r="N32" s="244">
        <f t="shared" si="32"/>
        <v>62561.720347050003</v>
      </c>
      <c r="O32" s="244">
        <f t="shared" si="32"/>
        <v>186814.39740322501</v>
      </c>
      <c r="P32" s="244">
        <f t="shared" si="32"/>
        <v>186814.39740322501</v>
      </c>
      <c r="Q32" s="244">
        <f t="shared" si="32"/>
        <v>186814.39740322501</v>
      </c>
      <c r="R32" s="244">
        <f t="shared" si="32"/>
        <v>187685.16104114999</v>
      </c>
      <c r="S32" s="244">
        <f t="shared" si="32"/>
        <v>748128.35325082496</v>
      </c>
      <c r="T32" s="735"/>
      <c r="U32" s="736"/>
    </row>
    <row r="33" spans="1:21" s="252" customFormat="1" ht="27.75">
      <c r="A33" s="249"/>
      <c r="B33" s="269" t="s">
        <v>874</v>
      </c>
      <c r="C33" s="250">
        <f>C11+C18+C25+C32</f>
        <v>3176697.2376438165</v>
      </c>
      <c r="D33" s="250">
        <f t="shared" ref="D33:N33" si="33">D11+D18+D25+D32</f>
        <v>3130292.7984663276</v>
      </c>
      <c r="E33" s="250">
        <f t="shared" si="33"/>
        <v>3162440.5367929903</v>
      </c>
      <c r="F33" s="250">
        <f t="shared" si="33"/>
        <v>3154938.680933428</v>
      </c>
      <c r="G33" s="250">
        <f t="shared" si="33"/>
        <v>3183267.1004918106</v>
      </c>
      <c r="H33" s="250">
        <f t="shared" si="33"/>
        <v>3179507.9449136043</v>
      </c>
      <c r="I33" s="250">
        <f t="shared" si="33"/>
        <v>3127848.9026604425</v>
      </c>
      <c r="J33" s="250">
        <f t="shared" si="33"/>
        <v>3157523.2725319839</v>
      </c>
      <c r="K33" s="250">
        <f t="shared" si="33"/>
        <v>3128658.9072358408</v>
      </c>
      <c r="L33" s="250">
        <f t="shared" si="33"/>
        <v>3176952.9434200511</v>
      </c>
      <c r="M33" s="250">
        <f t="shared" si="33"/>
        <v>3167132.2299201451</v>
      </c>
      <c r="N33" s="250">
        <f t="shared" si="33"/>
        <v>3177100.031338797</v>
      </c>
      <c r="O33" s="251">
        <f>C33+D33+E33</f>
        <v>9469430.5729031339</v>
      </c>
      <c r="P33" s="251">
        <f>F33+G33+H33</f>
        <v>9517713.7263388429</v>
      </c>
      <c r="Q33" s="251">
        <f>I33+J33+K33</f>
        <v>9414031.0824282672</v>
      </c>
      <c r="R33" s="251">
        <f>L33+M33+N33</f>
        <v>9521185.2046789937</v>
      </c>
      <c r="S33" s="251">
        <f>SUM(O33:R33)</f>
        <v>37922360.586349234</v>
      </c>
      <c r="T33" s="737"/>
      <c r="U33" s="738"/>
    </row>
    <row r="34" spans="1:21" s="252" customFormat="1" ht="27.75">
      <c r="A34" s="229"/>
      <c r="B34" s="269" t="s">
        <v>875</v>
      </c>
      <c r="C34" s="251">
        <f>C33*22%</f>
        <v>698873.39228163962</v>
      </c>
      <c r="D34" s="251">
        <f t="shared" ref="D34:N34" si="34">D33*22%</f>
        <v>688664.41566259204</v>
      </c>
      <c r="E34" s="251">
        <f t="shared" si="34"/>
        <v>695736.91809445783</v>
      </c>
      <c r="F34" s="251">
        <f t="shared" si="34"/>
        <v>694086.50980535417</v>
      </c>
      <c r="G34" s="251">
        <f t="shared" si="34"/>
        <v>700318.76210819837</v>
      </c>
      <c r="H34" s="251">
        <f t="shared" si="34"/>
        <v>699491.74788099295</v>
      </c>
      <c r="I34" s="251">
        <f t="shared" si="34"/>
        <v>688126.75858529739</v>
      </c>
      <c r="J34" s="251">
        <f t="shared" si="34"/>
        <v>694655.11995703646</v>
      </c>
      <c r="K34" s="251">
        <f t="shared" si="34"/>
        <v>688304.95959188498</v>
      </c>
      <c r="L34" s="251">
        <f t="shared" si="34"/>
        <v>698929.6475524113</v>
      </c>
      <c r="M34" s="251">
        <f t="shared" si="34"/>
        <v>696769.09058243188</v>
      </c>
      <c r="N34" s="251">
        <f t="shared" si="34"/>
        <v>698962.00689453539</v>
      </c>
      <c r="O34" s="251">
        <f>C34+D34+E34</f>
        <v>2083274.7260386895</v>
      </c>
      <c r="P34" s="251">
        <f>F34+G34+H34</f>
        <v>2093897.0197945456</v>
      </c>
      <c r="Q34" s="251">
        <f>I34+J34+K34</f>
        <v>2071086.8381342189</v>
      </c>
      <c r="R34" s="251">
        <f>L34+M34+N34</f>
        <v>2094660.7450293787</v>
      </c>
      <c r="S34" s="251">
        <f>SUM(O34:R34)</f>
        <v>8342919.3289968325</v>
      </c>
      <c r="T34" s="737"/>
      <c r="U34" s="738"/>
    </row>
    <row r="35" spans="1:21" s="252" customFormat="1" ht="27.75">
      <c r="A35" s="229"/>
      <c r="B35" s="269" t="s">
        <v>876</v>
      </c>
      <c r="C35" s="251">
        <f>C33+C34</f>
        <v>3875570.6299254559</v>
      </c>
      <c r="D35" s="251">
        <f t="shared" ref="D35:N35" si="35">D33+D34</f>
        <v>3818957.2141289199</v>
      </c>
      <c r="E35" s="251">
        <f t="shared" si="35"/>
        <v>3858177.4548874479</v>
      </c>
      <c r="F35" s="251">
        <f t="shared" si="35"/>
        <v>3849025.1907387823</v>
      </c>
      <c r="G35" s="251">
        <f t="shared" si="35"/>
        <v>3883585.862600009</v>
      </c>
      <c r="H35" s="251">
        <f t="shared" si="35"/>
        <v>3878999.6927945972</v>
      </c>
      <c r="I35" s="251">
        <f t="shared" si="35"/>
        <v>3815975.66124574</v>
      </c>
      <c r="J35" s="251">
        <f t="shared" si="35"/>
        <v>3852178.3924890202</v>
      </c>
      <c r="K35" s="251">
        <f t="shared" si="35"/>
        <v>3816963.8668277259</v>
      </c>
      <c r="L35" s="251">
        <f t="shared" si="35"/>
        <v>3875882.5909724627</v>
      </c>
      <c r="M35" s="251">
        <f t="shared" si="35"/>
        <v>3863901.3205025769</v>
      </c>
      <c r="N35" s="251">
        <f t="shared" si="35"/>
        <v>3876062.0382333323</v>
      </c>
      <c r="O35" s="251">
        <f>C35+D35+E35</f>
        <v>11552705.298941825</v>
      </c>
      <c r="P35" s="251">
        <f>F35+G35+H35</f>
        <v>11611610.746133389</v>
      </c>
      <c r="Q35" s="251">
        <f>I35+J35+K35</f>
        <v>11485117.920562487</v>
      </c>
      <c r="R35" s="251">
        <f>L35+M35+N35</f>
        <v>11615845.949708372</v>
      </c>
      <c r="S35" s="251">
        <f>SUM(O35:R35)</f>
        <v>46265279.915346071</v>
      </c>
      <c r="T35" s="737"/>
      <c r="U35" s="738"/>
    </row>
    <row r="36" spans="1:21" s="262" customFormat="1" ht="24.95" customHeight="1">
      <c r="A36" s="261"/>
      <c r="B36" s="272" t="s">
        <v>1302</v>
      </c>
      <c r="C36" s="234" t="s">
        <v>1289</v>
      </c>
      <c r="D36" s="234" t="s">
        <v>1290</v>
      </c>
      <c r="E36" s="234" t="s">
        <v>1291</v>
      </c>
      <c r="F36" s="234" t="s">
        <v>1292</v>
      </c>
      <c r="G36" s="234" t="s">
        <v>1293</v>
      </c>
      <c r="H36" s="234" t="s">
        <v>1294</v>
      </c>
      <c r="I36" s="234" t="s">
        <v>1295</v>
      </c>
      <c r="J36" s="234" t="s">
        <v>1296</v>
      </c>
      <c r="K36" s="234" t="s">
        <v>1297</v>
      </c>
      <c r="L36" s="234" t="s">
        <v>1298</v>
      </c>
      <c r="M36" s="234" t="s">
        <v>1299</v>
      </c>
      <c r="N36" s="234" t="s">
        <v>1300</v>
      </c>
      <c r="O36" s="235" t="s">
        <v>106</v>
      </c>
      <c r="P36" s="235" t="s">
        <v>107</v>
      </c>
      <c r="Q36" s="235" t="s">
        <v>108</v>
      </c>
      <c r="R36" s="235" t="s">
        <v>109</v>
      </c>
      <c r="S36" s="235" t="s">
        <v>110</v>
      </c>
      <c r="T36" s="739"/>
      <c r="U36" s="740"/>
    </row>
    <row r="37" spans="1:21" s="247" customFormat="1">
      <c r="A37" s="255"/>
      <c r="B37" s="222" t="s">
        <v>1227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40">
        <f t="shared" ref="O37:O43" si="36">C37+D37+E37</f>
        <v>0</v>
      </c>
      <c r="P37" s="240">
        <f>F37+G37+H37</f>
        <v>0</v>
      </c>
      <c r="Q37" s="240">
        <f>I37+J37+K37</f>
        <v>0</v>
      </c>
      <c r="R37" s="240">
        <f>L37+M37+N37</f>
        <v>0</v>
      </c>
      <c r="S37" s="240">
        <f>SUM(O37:R37)</f>
        <v>0</v>
      </c>
      <c r="T37" s="731"/>
      <c r="U37" s="732"/>
    </row>
    <row r="38" spans="1:21" s="247" customFormat="1">
      <c r="A38" s="255"/>
      <c r="B38" s="222" t="s">
        <v>1224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40">
        <f t="shared" si="36"/>
        <v>0</v>
      </c>
      <c r="P38" s="240">
        <f t="shared" ref="P38:P43" si="37">F38+G38+H38</f>
        <v>0</v>
      </c>
      <c r="Q38" s="240">
        <f t="shared" ref="Q38:Q43" si="38">I38+J38+K38</f>
        <v>0</v>
      </c>
      <c r="R38" s="240">
        <f t="shared" ref="R38:R43" si="39">L38+M38+N38</f>
        <v>0</v>
      </c>
      <c r="S38" s="240">
        <f t="shared" ref="S38:S43" si="40">SUM(O38:R38)</f>
        <v>0</v>
      </c>
      <c r="T38" s="731"/>
      <c r="U38" s="732"/>
    </row>
    <row r="39" spans="1:21" s="247" customFormat="1">
      <c r="A39" s="255"/>
      <c r="B39" s="222" t="s">
        <v>16</v>
      </c>
      <c r="C39" s="257">
        <f ca="1">'НЧ - СД'!B86</f>
        <v>17753.57410843125</v>
      </c>
      <c r="D39" s="257">
        <f ca="1">'НЧ - СД'!C86</f>
        <v>16035.486291486293</v>
      </c>
      <c r="E39" s="257">
        <f ca="1">'НЧ - СД'!D86</f>
        <v>18641.252813852814</v>
      </c>
      <c r="F39" s="257">
        <f ca="1">'НЧ - СД'!E86</f>
        <v>17180.878169449599</v>
      </c>
      <c r="G39" s="257">
        <f ca="1">'НЧ - СД'!F86</f>
        <v>19622.371383002959</v>
      </c>
      <c r="H39" s="257">
        <f ca="1">'НЧ - СД'!G86</f>
        <v>18989.391660970607</v>
      </c>
      <c r="I39" s="257">
        <f ca="1">'НЧ - СД'!H86</f>
        <v>16209.785055524186</v>
      </c>
      <c r="J39" s="257">
        <f ca="1">'НЧ - СД'!I86</f>
        <v>18641.252813852814</v>
      </c>
      <c r="K39" s="257">
        <f ca="1">'НЧ - СД'!J86</f>
        <v>16399.929161747343</v>
      </c>
      <c r="L39" s="257">
        <f ca="1">'НЧ - СД'!K86</f>
        <v>16708.79578392622</v>
      </c>
      <c r="M39" s="257">
        <f ca="1">'НЧ - СД'!L86</f>
        <v>18595.272727272728</v>
      </c>
      <c r="N39" s="257">
        <f ca="1">'НЧ - СД'!M86</f>
        <v>16708.79578392622</v>
      </c>
      <c r="O39" s="240">
        <f t="shared" si="36"/>
        <v>52430.313213770358</v>
      </c>
      <c r="P39" s="240">
        <f>F39+G39+H39</f>
        <v>55792.641213423165</v>
      </c>
      <c r="Q39" s="240">
        <f t="shared" si="38"/>
        <v>51250.967031124346</v>
      </c>
      <c r="R39" s="240">
        <f t="shared" si="39"/>
        <v>52012.864295125168</v>
      </c>
      <c r="S39" s="240">
        <f t="shared" si="40"/>
        <v>211486.78575344302</v>
      </c>
      <c r="T39" s="731"/>
      <c r="U39" s="732"/>
    </row>
    <row r="40" spans="1:21" s="247" customFormat="1">
      <c r="A40" s="255"/>
      <c r="B40" s="222" t="s">
        <v>1228</v>
      </c>
      <c r="C40" s="257">
        <f ca="1">'НЧ - СД'!B87</f>
        <v>38994.050711193573</v>
      </c>
      <c r="D40" s="257">
        <f ca="1">'НЧ - СД'!C87</f>
        <v>35220.432900432905</v>
      </c>
      <c r="E40" s="257">
        <f ca="1">'НЧ - СД'!D87</f>
        <v>40943.753246753244</v>
      </c>
      <c r="F40" s="257">
        <f ca="1">'НЧ - СД'!E87</f>
        <v>37736.178107606684</v>
      </c>
      <c r="G40" s="257">
        <f ca="1">'НЧ - СД'!F87</f>
        <v>43098.687628161308</v>
      </c>
      <c r="H40" s="257">
        <f ca="1">'НЧ - СД'!G87</f>
        <v>41708.407382091595</v>
      </c>
      <c r="I40" s="257">
        <f ca="1">'НЧ - СД'!H87</f>
        <v>35603.263692828914</v>
      </c>
      <c r="J40" s="257">
        <f ca="1">'НЧ - СД'!I87</f>
        <v>40943.753246753244</v>
      </c>
      <c r="K40" s="257">
        <f ca="1">'НЧ - СД'!J87</f>
        <v>36020.897284533647</v>
      </c>
      <c r="L40" s="257">
        <f ca="1">'НЧ - СД'!K87</f>
        <v>36698.74872953134</v>
      </c>
      <c r="M40" s="257">
        <f ca="1">'НЧ - СД'!L87</f>
        <v>40842.155844155845</v>
      </c>
      <c r="N40" s="257">
        <f ca="1">'НЧ - СД'!M87</f>
        <v>36698.74872953134</v>
      </c>
      <c r="O40" s="240">
        <f t="shared" si="36"/>
        <v>115158.23685837972</v>
      </c>
      <c r="P40" s="240">
        <f t="shared" si="37"/>
        <v>122543.27311785959</v>
      </c>
      <c r="Q40" s="240">
        <f t="shared" si="38"/>
        <v>112567.91422411581</v>
      </c>
      <c r="R40" s="240">
        <f t="shared" si="39"/>
        <v>114239.65330321851</v>
      </c>
      <c r="S40" s="240">
        <f t="shared" si="40"/>
        <v>464509.07750357362</v>
      </c>
      <c r="T40" s="731"/>
      <c r="U40" s="732"/>
    </row>
    <row r="41" spans="1:21" s="247" customFormat="1">
      <c r="A41" s="255"/>
      <c r="B41" s="222" t="s">
        <v>102</v>
      </c>
      <c r="C41" s="257">
        <f ca="1">'НЧ - СД'!B88</f>
        <v>17387.014285714286</v>
      </c>
      <c r="D41" s="257">
        <f ca="1">'НЧ - СД'!C88</f>
        <v>15704.4</v>
      </c>
      <c r="E41" s="257">
        <f ca="1">'НЧ - СД'!D88</f>
        <v>18371.184905660379</v>
      </c>
      <c r="F41" s="257">
        <f ca="1">'НЧ - СД'!E88</f>
        <v>16926.898203592813</v>
      </c>
      <c r="G41" s="257">
        <f ca="1">'НЧ - СД'!F88</f>
        <v>19344.49271523179</v>
      </c>
      <c r="H41" s="257">
        <f ca="1">'НЧ - СД'!G88</f>
        <v>18200.598961018361</v>
      </c>
      <c r="I41" s="257">
        <f ca="1">'НЧ - СД'!H88</f>
        <v>15875.099999999999</v>
      </c>
      <c r="J41" s="257">
        <f ca="1">'НЧ - СД'!I88</f>
        <v>18256.364999999998</v>
      </c>
      <c r="K41" s="257">
        <f ca="1">'НЧ - СД'!J88</f>
        <v>16061.318181818182</v>
      </c>
      <c r="L41" s="257">
        <f ca="1">'НЧ - СД'!K88</f>
        <v>16363.349999999999</v>
      </c>
      <c r="M41" s="257">
        <f ca="1">'НЧ - СД'!L88</f>
        <v>18210.824999999997</v>
      </c>
      <c r="N41" s="257">
        <f ca="1">'НЧ - СД'!M88</f>
        <v>16452.767213114756</v>
      </c>
      <c r="O41" s="240">
        <f t="shared" si="36"/>
        <v>51462.599191374669</v>
      </c>
      <c r="P41" s="240">
        <f t="shared" si="37"/>
        <v>54471.989879842964</v>
      </c>
      <c r="Q41" s="240">
        <f t="shared" si="38"/>
        <v>50192.78318181818</v>
      </c>
      <c r="R41" s="240">
        <f t="shared" si="39"/>
        <v>51026.942213114751</v>
      </c>
      <c r="S41" s="240">
        <f t="shared" si="40"/>
        <v>207154.31446615056</v>
      </c>
      <c r="T41" s="731"/>
      <c r="U41" s="732"/>
    </row>
    <row r="42" spans="1:21" s="247" customFormat="1">
      <c r="A42" s="255"/>
      <c r="B42" s="222" t="s">
        <v>1225</v>
      </c>
      <c r="C42" s="257">
        <f ca="1">'НЧ - СД'!B89</f>
        <v>5022.5166666666664</v>
      </c>
      <c r="D42" s="257">
        <f ca="1">'НЧ - СД'!C89</f>
        <v>4536.4666666666672</v>
      </c>
      <c r="E42" s="257">
        <f ca="1">'НЧ - СД'!D89</f>
        <v>5306.8100628930815</v>
      </c>
      <c r="F42" s="257">
        <f ca="1">'НЧ - СД'!E89</f>
        <v>4889.604790419161</v>
      </c>
      <c r="G42" s="257">
        <f ca="1">'НЧ - СД'!F89</f>
        <v>1662.996026490066</v>
      </c>
      <c r="H42" s="257">
        <f ca="1">'НЧ - СД'!G89</f>
        <v>1455.1616766467064</v>
      </c>
      <c r="I42" s="257">
        <f ca="1">'НЧ - СД'!H89</f>
        <v>1364.7413043478261</v>
      </c>
      <c r="J42" s="257">
        <f ca="1">'НЧ - СД'!I89</f>
        <v>1569.4524999999999</v>
      </c>
      <c r="K42" s="257">
        <f ca="1">'НЧ - СД'!J89</f>
        <v>1380.75</v>
      </c>
      <c r="L42" s="257">
        <f ca="1">'НЧ - СД'!K89</f>
        <v>4726.826086956522</v>
      </c>
      <c r="M42" s="257">
        <f ca="1">'НЧ - СД'!L89</f>
        <v>5260.4999999999991</v>
      </c>
      <c r="N42" s="257">
        <f ca="1">'НЧ - СД'!M89</f>
        <v>4752.6557377049176</v>
      </c>
      <c r="O42" s="240">
        <f t="shared" si="36"/>
        <v>14865.793396226414</v>
      </c>
      <c r="P42" s="240">
        <f t="shared" si="37"/>
        <v>8007.7624935559343</v>
      </c>
      <c r="Q42" s="240">
        <f t="shared" si="38"/>
        <v>4314.9438043478258</v>
      </c>
      <c r="R42" s="240">
        <f t="shared" si="39"/>
        <v>14739.981824661438</v>
      </c>
      <c r="S42" s="240">
        <f t="shared" si="40"/>
        <v>41928.48151879161</v>
      </c>
      <c r="T42" s="731"/>
      <c r="U42" s="732"/>
    </row>
    <row r="43" spans="1:21" s="260" customFormat="1" ht="25.5">
      <c r="A43" s="258"/>
      <c r="B43" s="271" t="s">
        <v>871</v>
      </c>
      <c r="C43" s="259">
        <f>SUM(C37:C42)</f>
        <v>79157.155772005761</v>
      </c>
      <c r="D43" s="259">
        <f t="shared" ref="D43:N43" si="41">SUM(D37:D42)</f>
        <v>71496.785858585848</v>
      </c>
      <c r="E43" s="259">
        <f t="shared" si="41"/>
        <v>83263.001029159524</v>
      </c>
      <c r="F43" s="259">
        <f t="shared" si="41"/>
        <v>76733.559271068254</v>
      </c>
      <c r="G43" s="259">
        <f t="shared" si="41"/>
        <v>83728.547752886123</v>
      </c>
      <c r="H43" s="259">
        <f t="shared" si="41"/>
        <v>80353.559680727267</v>
      </c>
      <c r="I43" s="259">
        <f t="shared" si="41"/>
        <v>69052.890052700925</v>
      </c>
      <c r="J43" s="259">
        <f t="shared" si="41"/>
        <v>79410.823560606063</v>
      </c>
      <c r="K43" s="259">
        <f t="shared" si="41"/>
        <v>69862.894628099166</v>
      </c>
      <c r="L43" s="259">
        <f t="shared" si="41"/>
        <v>74497.720600414075</v>
      </c>
      <c r="M43" s="259">
        <f t="shared" si="41"/>
        <v>82908.753571428562</v>
      </c>
      <c r="N43" s="259">
        <f t="shared" si="41"/>
        <v>74612.96746427723</v>
      </c>
      <c r="O43" s="240">
        <f t="shared" si="36"/>
        <v>233916.94265975113</v>
      </c>
      <c r="P43" s="240">
        <f t="shared" si="37"/>
        <v>240815.66670468164</v>
      </c>
      <c r="Q43" s="240">
        <f t="shared" si="38"/>
        <v>218326.60824140615</v>
      </c>
      <c r="R43" s="240">
        <f t="shared" si="39"/>
        <v>232019.44163611985</v>
      </c>
      <c r="S43" s="240">
        <f t="shared" si="40"/>
        <v>925078.65924195875</v>
      </c>
      <c r="T43" s="741">
        <f ca="1">'НЧ - СД'!DN66</f>
        <v>925078.65924195899</v>
      </c>
      <c r="U43" s="743">
        <f>T43-S43</f>
        <v>0</v>
      </c>
    </row>
    <row r="44" spans="1:21" s="262" customFormat="1" ht="24.95" customHeight="1">
      <c r="A44" s="261"/>
      <c r="B44" s="272" t="s">
        <v>1301</v>
      </c>
      <c r="C44" s="234" t="s">
        <v>1289</v>
      </c>
      <c r="D44" s="234" t="s">
        <v>1290</v>
      </c>
      <c r="E44" s="234" t="s">
        <v>1291</v>
      </c>
      <c r="F44" s="234" t="s">
        <v>1292</v>
      </c>
      <c r="G44" s="234" t="s">
        <v>1293</v>
      </c>
      <c r="H44" s="234" t="s">
        <v>1294</v>
      </c>
      <c r="I44" s="234" t="s">
        <v>1295</v>
      </c>
      <c r="J44" s="234" t="s">
        <v>1296</v>
      </c>
      <c r="K44" s="234" t="s">
        <v>1297</v>
      </c>
      <c r="L44" s="234" t="s">
        <v>1298</v>
      </c>
      <c r="M44" s="234" t="s">
        <v>1299</v>
      </c>
      <c r="N44" s="234" t="s">
        <v>1300</v>
      </c>
      <c r="O44" s="235" t="s">
        <v>106</v>
      </c>
      <c r="P44" s="235" t="s">
        <v>107</v>
      </c>
      <c r="Q44" s="235" t="s">
        <v>108</v>
      </c>
      <c r="R44" s="235" t="s">
        <v>109</v>
      </c>
      <c r="S44" s="235" t="s">
        <v>110</v>
      </c>
      <c r="T44" s="739"/>
      <c r="U44" s="740"/>
    </row>
    <row r="45" spans="1:21" s="247" customFormat="1">
      <c r="A45" s="255"/>
      <c r="B45" s="222" t="s">
        <v>1227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40">
        <f t="shared" ref="O45:O51" si="42">C45+D45+E45</f>
        <v>0</v>
      </c>
      <c r="P45" s="240">
        <f t="shared" ref="P45:P51" si="43">F45+G45+H45</f>
        <v>0</v>
      </c>
      <c r="Q45" s="240">
        <f>I45+J45+K45</f>
        <v>0</v>
      </c>
      <c r="R45" s="240">
        <f>L45+M45+N45</f>
        <v>0</v>
      </c>
      <c r="S45" s="240">
        <f>SUM(O45:R45)</f>
        <v>0</v>
      </c>
      <c r="T45" s="731"/>
      <c r="U45" s="732"/>
    </row>
    <row r="46" spans="1:21" s="247" customFormat="1">
      <c r="A46" s="255"/>
      <c r="B46" s="222" t="s">
        <v>1224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40">
        <f t="shared" si="42"/>
        <v>0</v>
      </c>
      <c r="P46" s="240">
        <f t="shared" si="43"/>
        <v>0</v>
      </c>
      <c r="Q46" s="240">
        <f t="shared" ref="Q46:Q51" si="44">I46+J46+K46</f>
        <v>0</v>
      </c>
      <c r="R46" s="240">
        <f t="shared" ref="R46:R51" si="45">L46+M46+N46</f>
        <v>0</v>
      </c>
      <c r="S46" s="240">
        <f t="shared" ref="S46:S51" si="46">SUM(O46:R46)</f>
        <v>0</v>
      </c>
      <c r="T46" s="731"/>
      <c r="U46" s="732"/>
    </row>
    <row r="47" spans="1:21" s="247" customFormat="1">
      <c r="A47" s="255"/>
      <c r="B47" s="222" t="s">
        <v>16</v>
      </c>
      <c r="C47" s="257">
        <f ca="1">'НЧ - СД'!B25</f>
        <v>8146.7408781694503</v>
      </c>
      <c r="D47" s="257">
        <f ca="1">'НЧ - СД'!C25</f>
        <v>0</v>
      </c>
      <c r="E47" s="257">
        <f ca="1">'НЧ - СД'!D25</f>
        <v>4277.0389610389611</v>
      </c>
      <c r="F47" s="257">
        <f ca="1">'НЧ - СД'!E25</f>
        <v>4073.3704390847251</v>
      </c>
      <c r="G47" s="257">
        <f ca="1">'НЧ - СД'!F25</f>
        <v>9004.2925495557065</v>
      </c>
      <c r="H47" s="257">
        <f ca="1">'НЧ - СД'!G25</f>
        <v>9004.2925495557065</v>
      </c>
      <c r="I47" s="257">
        <f ca="1">'НЧ - СД'!H25</f>
        <v>0</v>
      </c>
      <c r="J47" s="257">
        <f ca="1">'НЧ - СД'!I25</f>
        <v>4277.0389610389611</v>
      </c>
      <c r="K47" s="257">
        <f ca="1">'НЧ - СД'!J25</f>
        <v>0</v>
      </c>
      <c r="L47" s="257">
        <f ca="1">'НЧ - СД'!K25</f>
        <v>3833.675889328063</v>
      </c>
      <c r="M47" s="257">
        <f ca="1">'НЧ - СД'!L25</f>
        <v>0</v>
      </c>
      <c r="N47" s="257">
        <f ca="1">'НЧ - СД'!M25</f>
        <v>3833.675889328063</v>
      </c>
      <c r="O47" s="240">
        <f t="shared" si="42"/>
        <v>12423.779839208411</v>
      </c>
      <c r="P47" s="240">
        <f t="shared" si="43"/>
        <v>22081.95553819614</v>
      </c>
      <c r="Q47" s="240">
        <f t="shared" si="44"/>
        <v>4277.0389610389611</v>
      </c>
      <c r="R47" s="240">
        <f t="shared" si="45"/>
        <v>7667.351778656126</v>
      </c>
      <c r="S47" s="240">
        <f t="shared" si="46"/>
        <v>46450.126117099637</v>
      </c>
      <c r="T47" s="731"/>
      <c r="U47" s="732"/>
    </row>
    <row r="48" spans="1:21" s="247" customFormat="1">
      <c r="A48" s="255"/>
      <c r="B48" s="222" t="s">
        <v>1228</v>
      </c>
      <c r="C48" s="257">
        <f ca="1">'НЧ - СД'!B26</f>
        <v>18214.471243042673</v>
      </c>
      <c r="D48" s="257">
        <f ca="1">'НЧ - СД'!C26</f>
        <v>0</v>
      </c>
      <c r="E48" s="257">
        <f ca="1">'НЧ - СД'!D26</f>
        <v>9562.5974025974028</v>
      </c>
      <c r="F48" s="257">
        <f ca="1">'НЧ - СД'!E26</f>
        <v>9107.2356215213367</v>
      </c>
      <c r="G48" s="257">
        <f ca="1">'НЧ - СД'!F26</f>
        <v>20131.784005468216</v>
      </c>
      <c r="H48" s="257">
        <f ca="1">'НЧ - СД'!G26</f>
        <v>20131.784005468216</v>
      </c>
      <c r="I48" s="257">
        <f ca="1">'НЧ - СД'!H26</f>
        <v>0</v>
      </c>
      <c r="J48" s="257">
        <f ca="1">'НЧ - СД'!I26</f>
        <v>9562.5974025974028</v>
      </c>
      <c r="K48" s="257">
        <f ca="1">'НЧ - СД'!J26</f>
        <v>0</v>
      </c>
      <c r="L48" s="257">
        <f ca="1">'НЧ - СД'!K26</f>
        <v>8571.157538114061</v>
      </c>
      <c r="M48" s="257">
        <f ca="1">'НЧ - СД'!L26</f>
        <v>0</v>
      </c>
      <c r="N48" s="257">
        <f ca="1">'НЧ - СД'!M26</f>
        <v>8571.157538114061</v>
      </c>
      <c r="O48" s="240">
        <f t="shared" si="42"/>
        <v>27777.068645640076</v>
      </c>
      <c r="P48" s="240">
        <f t="shared" si="43"/>
        <v>49370.80363245777</v>
      </c>
      <c r="Q48" s="240">
        <f t="shared" si="44"/>
        <v>9562.5974025974028</v>
      </c>
      <c r="R48" s="240">
        <f t="shared" si="45"/>
        <v>17142.315076228122</v>
      </c>
      <c r="S48" s="240">
        <f t="shared" si="46"/>
        <v>103852.78475692336</v>
      </c>
      <c r="T48" s="731"/>
      <c r="U48" s="732"/>
    </row>
    <row r="49" spans="1:21" s="247" customFormat="1">
      <c r="A49" s="255"/>
      <c r="B49" s="222" t="s">
        <v>102</v>
      </c>
      <c r="C49" s="257">
        <f ca="1">'НЧ - СД'!B27</f>
        <v>8778.8571428571449</v>
      </c>
      <c r="D49" s="257">
        <f ca="1">'НЧ - СД'!C27</f>
        <v>0</v>
      </c>
      <c r="E49" s="257">
        <f ca="1">'НЧ - СД'!D27</f>
        <v>4637.8867924528304</v>
      </c>
      <c r="F49" s="257">
        <f ca="1">'НЧ - СД'!E27</f>
        <v>4415.7125748502995</v>
      </c>
      <c r="G49" s="257">
        <f ca="1">'НЧ - СД'!F27</f>
        <v>9767.2052980132466</v>
      </c>
      <c r="H49" s="257">
        <f ca="1">'НЧ - СД'!G27</f>
        <v>9559.254153943768</v>
      </c>
      <c r="I49" s="257">
        <f ca="1">'НЧ - СД'!H27</f>
        <v>0</v>
      </c>
      <c r="J49" s="257">
        <f ca="1">'НЧ - СД'!I27</f>
        <v>4608.8999999999996</v>
      </c>
      <c r="K49" s="257">
        <f ca="1">'НЧ - СД'!J27</f>
        <v>0</v>
      </c>
      <c r="L49" s="257">
        <f ca="1">'НЧ - СД'!K27</f>
        <v>4131</v>
      </c>
      <c r="M49" s="257">
        <f ca="1">'НЧ - СД'!L27</f>
        <v>0</v>
      </c>
      <c r="N49" s="257">
        <f ca="1">'НЧ - СД'!M27</f>
        <v>4153.5737704918038</v>
      </c>
      <c r="O49" s="240">
        <f t="shared" si="42"/>
        <v>13416.743935309976</v>
      </c>
      <c r="P49" s="240">
        <f t="shared" si="43"/>
        <v>23742.172026807311</v>
      </c>
      <c r="Q49" s="240">
        <f t="shared" si="44"/>
        <v>4608.8999999999996</v>
      </c>
      <c r="R49" s="240">
        <f t="shared" si="45"/>
        <v>8284.5737704918029</v>
      </c>
      <c r="S49" s="240">
        <f t="shared" si="46"/>
        <v>50052.389732609096</v>
      </c>
      <c r="T49" s="731"/>
      <c r="U49" s="732"/>
    </row>
    <row r="50" spans="1:21" s="247" customFormat="1">
      <c r="A50" s="255"/>
      <c r="B50" s="222" t="s">
        <v>1225</v>
      </c>
      <c r="C50" s="257">
        <f ca="1">'НЧ - СД'!B28</f>
        <v>3604</v>
      </c>
      <c r="D50" s="257">
        <f ca="1">'НЧ - СД'!C28</f>
        <v>0</v>
      </c>
      <c r="E50" s="257">
        <f ca="1">'НЧ - СД'!D28</f>
        <v>1904</v>
      </c>
      <c r="F50" s="257">
        <f ca="1">'НЧ - СД'!E28</f>
        <v>1812.7904191616765</v>
      </c>
      <c r="G50" s="257">
        <f ca="1">'НЧ - СД'!F28</f>
        <v>1839.2582781456954</v>
      </c>
      <c r="H50" s="257">
        <f ca="1">'НЧ - СД'!G28</f>
        <v>1663.0419161676646</v>
      </c>
      <c r="I50" s="257">
        <f ca="1">'НЧ - СД'!H28</f>
        <v>0</v>
      </c>
      <c r="J50" s="257">
        <f ca="1">'НЧ - СД'!I28</f>
        <v>867.90000000000009</v>
      </c>
      <c r="K50" s="257">
        <f ca="1">'НЧ - СД'!J28</f>
        <v>0</v>
      </c>
      <c r="L50" s="257">
        <f ca="1">'НЧ - СД'!K28</f>
        <v>1695.913043478261</v>
      </c>
      <c r="M50" s="257">
        <f ca="1">'НЧ - СД'!L28</f>
        <v>0</v>
      </c>
      <c r="N50" s="257">
        <f ca="1">'НЧ - СД'!M28</f>
        <v>1705.1803278688524</v>
      </c>
      <c r="O50" s="240">
        <f t="shared" si="42"/>
        <v>5508</v>
      </c>
      <c r="P50" s="240">
        <f t="shared" si="43"/>
        <v>5315.0906134750367</v>
      </c>
      <c r="Q50" s="240">
        <f t="shared" si="44"/>
        <v>867.90000000000009</v>
      </c>
      <c r="R50" s="240">
        <f t="shared" si="45"/>
        <v>3401.0933713471131</v>
      </c>
      <c r="S50" s="240">
        <f t="shared" si="46"/>
        <v>15092.083984822149</v>
      </c>
      <c r="T50" s="731"/>
      <c r="U50" s="732"/>
    </row>
    <row r="51" spans="1:21" s="260" customFormat="1" ht="25.5">
      <c r="A51" s="258"/>
      <c r="B51" s="271" t="s">
        <v>871</v>
      </c>
      <c r="C51" s="259">
        <f t="shared" ref="C51:N51" si="47">SUM(C45:C50)</f>
        <v>38744.069264069272</v>
      </c>
      <c r="D51" s="259">
        <f t="shared" si="47"/>
        <v>0</v>
      </c>
      <c r="E51" s="259">
        <f t="shared" si="47"/>
        <v>20381.523156089195</v>
      </c>
      <c r="F51" s="259">
        <f t="shared" si="47"/>
        <v>19409.109054618038</v>
      </c>
      <c r="G51" s="259">
        <f t="shared" si="47"/>
        <v>40742.540131182868</v>
      </c>
      <c r="H51" s="259">
        <f t="shared" si="47"/>
        <v>40358.372625135351</v>
      </c>
      <c r="I51" s="259">
        <f t="shared" si="47"/>
        <v>0</v>
      </c>
      <c r="J51" s="259">
        <f t="shared" si="47"/>
        <v>19316.436363636363</v>
      </c>
      <c r="K51" s="259">
        <f t="shared" si="47"/>
        <v>0</v>
      </c>
      <c r="L51" s="259">
        <f t="shared" si="47"/>
        <v>18231.746470920385</v>
      </c>
      <c r="M51" s="259">
        <f t="shared" si="47"/>
        <v>0</v>
      </c>
      <c r="N51" s="259">
        <f t="shared" si="47"/>
        <v>18263.587525802781</v>
      </c>
      <c r="O51" s="240">
        <f t="shared" si="42"/>
        <v>59125.592420158471</v>
      </c>
      <c r="P51" s="240">
        <f t="shared" si="43"/>
        <v>100510.02181093626</v>
      </c>
      <c r="Q51" s="240">
        <f t="shared" si="44"/>
        <v>19316.436363636363</v>
      </c>
      <c r="R51" s="240">
        <f t="shared" si="45"/>
        <v>36495.333996723166</v>
      </c>
      <c r="S51" s="240">
        <f t="shared" si="46"/>
        <v>215447.38459145426</v>
      </c>
      <c r="T51" s="741">
        <f ca="1">'НЧ - СД'!DN19</f>
        <v>215447.38459145426</v>
      </c>
      <c r="U51" s="743">
        <f>T51-S51</f>
        <v>0</v>
      </c>
    </row>
    <row r="52" spans="1:21" s="262" customFormat="1" ht="24.95" customHeight="1">
      <c r="A52" s="261"/>
      <c r="B52" s="272" t="s">
        <v>1303</v>
      </c>
      <c r="C52" s="234" t="s">
        <v>1289</v>
      </c>
      <c r="D52" s="234" t="s">
        <v>1290</v>
      </c>
      <c r="E52" s="234" t="s">
        <v>1291</v>
      </c>
      <c r="F52" s="234" t="s">
        <v>1292</v>
      </c>
      <c r="G52" s="234" t="s">
        <v>1293</v>
      </c>
      <c r="H52" s="234" t="s">
        <v>1294</v>
      </c>
      <c r="I52" s="234" t="s">
        <v>1295</v>
      </c>
      <c r="J52" s="234" t="s">
        <v>1296</v>
      </c>
      <c r="K52" s="234" t="s">
        <v>1297</v>
      </c>
      <c r="L52" s="234" t="s">
        <v>1298</v>
      </c>
      <c r="M52" s="234" t="s">
        <v>1299</v>
      </c>
      <c r="N52" s="234" t="s">
        <v>1300</v>
      </c>
      <c r="O52" s="235" t="s">
        <v>106</v>
      </c>
      <c r="P52" s="235" t="s">
        <v>107</v>
      </c>
      <c r="Q52" s="235" t="s">
        <v>108</v>
      </c>
      <c r="R52" s="235" t="s">
        <v>109</v>
      </c>
      <c r="S52" s="235" t="s">
        <v>110</v>
      </c>
      <c r="T52" s="739"/>
      <c r="U52" s="740"/>
    </row>
    <row r="53" spans="1:21" s="247" customFormat="1">
      <c r="A53" s="255"/>
      <c r="B53" s="222" t="s">
        <v>1227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40">
        <f t="shared" ref="O53:O59" si="48">C53+D53+E53</f>
        <v>0</v>
      </c>
      <c r="P53" s="240">
        <f t="shared" ref="P53:P59" si="49">F53+G53+H53</f>
        <v>0</v>
      </c>
      <c r="Q53" s="240">
        <f>I53+J53+K53</f>
        <v>0</v>
      </c>
      <c r="R53" s="240">
        <f>L53+M53+N53</f>
        <v>0</v>
      </c>
      <c r="S53" s="240">
        <f>SUM(O53:R53)</f>
        <v>0</v>
      </c>
      <c r="T53" s="731"/>
      <c r="U53" s="732"/>
    </row>
    <row r="54" spans="1:21" s="247" customFormat="1">
      <c r="A54" s="255"/>
      <c r="B54" s="222" t="s">
        <v>1224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40">
        <f t="shared" si="48"/>
        <v>0</v>
      </c>
      <c r="P54" s="240">
        <f t="shared" si="49"/>
        <v>0</v>
      </c>
      <c r="Q54" s="240">
        <f t="shared" ref="Q54:Q59" si="50">I54+J54+K54</f>
        <v>0</v>
      </c>
      <c r="R54" s="240">
        <f t="shared" ref="R54:R59" si="51">L54+M54+N54</f>
        <v>0</v>
      </c>
      <c r="S54" s="240">
        <f t="shared" ref="S54:S59" si="52">SUM(O54:R54)</f>
        <v>0</v>
      </c>
      <c r="T54" s="731"/>
      <c r="U54" s="732"/>
    </row>
    <row r="55" spans="1:21" s="247" customFormat="1">
      <c r="A55" s="255"/>
      <c r="B55" s="222" t="s">
        <v>16</v>
      </c>
      <c r="C55" s="257">
        <v>1000</v>
      </c>
      <c r="D55" s="257">
        <f>C55</f>
        <v>1000</v>
      </c>
      <c r="E55" s="257">
        <f>D55</f>
        <v>1000</v>
      </c>
      <c r="F55" s="257">
        <f t="shared" ref="F55:N55" si="53">E55</f>
        <v>1000</v>
      </c>
      <c r="G55" s="257">
        <f t="shared" si="53"/>
        <v>1000</v>
      </c>
      <c r="H55" s="257">
        <f t="shared" si="53"/>
        <v>1000</v>
      </c>
      <c r="I55" s="257">
        <f t="shared" si="53"/>
        <v>1000</v>
      </c>
      <c r="J55" s="257">
        <f t="shared" si="53"/>
        <v>1000</v>
      </c>
      <c r="K55" s="257">
        <f t="shared" si="53"/>
        <v>1000</v>
      </c>
      <c r="L55" s="257">
        <f t="shared" si="53"/>
        <v>1000</v>
      </c>
      <c r="M55" s="257">
        <f t="shared" si="53"/>
        <v>1000</v>
      </c>
      <c r="N55" s="257">
        <f t="shared" si="53"/>
        <v>1000</v>
      </c>
      <c r="O55" s="240">
        <f t="shared" si="48"/>
        <v>3000</v>
      </c>
      <c r="P55" s="240">
        <f t="shared" si="49"/>
        <v>3000</v>
      </c>
      <c r="Q55" s="240">
        <f t="shared" si="50"/>
        <v>3000</v>
      </c>
      <c r="R55" s="240">
        <f t="shared" si="51"/>
        <v>3000</v>
      </c>
      <c r="S55" s="240">
        <f t="shared" si="52"/>
        <v>12000</v>
      </c>
      <c r="T55" s="731"/>
      <c r="U55" s="732"/>
    </row>
    <row r="56" spans="1:21" s="247" customFormat="1">
      <c r="A56" s="255"/>
      <c r="B56" s="222" t="s">
        <v>1228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40">
        <f t="shared" si="48"/>
        <v>0</v>
      </c>
      <c r="P56" s="240">
        <f t="shared" si="49"/>
        <v>0</v>
      </c>
      <c r="Q56" s="240">
        <f t="shared" si="50"/>
        <v>0</v>
      </c>
      <c r="R56" s="240">
        <f t="shared" si="51"/>
        <v>0</v>
      </c>
      <c r="S56" s="240">
        <f t="shared" si="52"/>
        <v>0</v>
      </c>
      <c r="T56" s="731"/>
      <c r="U56" s="732"/>
    </row>
    <row r="57" spans="1:21" s="247" customFormat="1">
      <c r="A57" s="255"/>
      <c r="B57" s="222" t="s">
        <v>102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40">
        <f t="shared" si="48"/>
        <v>0</v>
      </c>
      <c r="P57" s="240">
        <f t="shared" si="49"/>
        <v>0</v>
      </c>
      <c r="Q57" s="240">
        <f t="shared" si="50"/>
        <v>0</v>
      </c>
      <c r="R57" s="240">
        <f t="shared" si="51"/>
        <v>0</v>
      </c>
      <c r="S57" s="240">
        <f t="shared" si="52"/>
        <v>0</v>
      </c>
      <c r="T57" s="731"/>
      <c r="U57" s="732"/>
    </row>
    <row r="58" spans="1:21" s="247" customFormat="1">
      <c r="A58" s="255"/>
      <c r="B58" s="222" t="s">
        <v>1225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40">
        <f t="shared" si="48"/>
        <v>0</v>
      </c>
      <c r="P58" s="240">
        <f t="shared" si="49"/>
        <v>0</v>
      </c>
      <c r="Q58" s="240">
        <f t="shared" si="50"/>
        <v>0</v>
      </c>
      <c r="R58" s="240">
        <f t="shared" si="51"/>
        <v>0</v>
      </c>
      <c r="S58" s="240">
        <f t="shared" si="52"/>
        <v>0</v>
      </c>
      <c r="T58" s="731"/>
      <c r="U58" s="732"/>
    </row>
    <row r="59" spans="1:21" s="260" customFormat="1" ht="25.5">
      <c r="A59" s="258"/>
      <c r="B59" s="271" t="s">
        <v>871</v>
      </c>
      <c r="C59" s="259">
        <f t="shared" ref="C59:N59" si="54">SUM(C53:C58)</f>
        <v>1000</v>
      </c>
      <c r="D59" s="259">
        <f t="shared" si="54"/>
        <v>1000</v>
      </c>
      <c r="E59" s="259">
        <f t="shared" si="54"/>
        <v>1000</v>
      </c>
      <c r="F59" s="259">
        <f t="shared" si="54"/>
        <v>1000</v>
      </c>
      <c r="G59" s="259">
        <f t="shared" si="54"/>
        <v>1000</v>
      </c>
      <c r="H59" s="259">
        <f t="shared" si="54"/>
        <v>1000</v>
      </c>
      <c r="I59" s="259">
        <f t="shared" si="54"/>
        <v>1000</v>
      </c>
      <c r="J59" s="259">
        <f t="shared" si="54"/>
        <v>1000</v>
      </c>
      <c r="K59" s="259">
        <f t="shared" si="54"/>
        <v>1000</v>
      </c>
      <c r="L59" s="259">
        <f t="shared" si="54"/>
        <v>1000</v>
      </c>
      <c r="M59" s="259">
        <f t="shared" si="54"/>
        <v>1000</v>
      </c>
      <c r="N59" s="259">
        <f t="shared" si="54"/>
        <v>1000</v>
      </c>
      <c r="O59" s="240">
        <f t="shared" si="48"/>
        <v>3000</v>
      </c>
      <c r="P59" s="240">
        <f t="shared" si="49"/>
        <v>3000</v>
      </c>
      <c r="Q59" s="240">
        <f t="shared" si="50"/>
        <v>3000</v>
      </c>
      <c r="R59" s="240">
        <f t="shared" si="51"/>
        <v>3000</v>
      </c>
      <c r="S59" s="240">
        <f t="shared" si="52"/>
        <v>12000</v>
      </c>
      <c r="T59" s="744"/>
      <c r="U59" s="742"/>
    </row>
    <row r="60" spans="1:21" s="254" customFormat="1" ht="24.95" customHeight="1">
      <c r="A60" s="253"/>
      <c r="B60" s="718" t="s">
        <v>1304</v>
      </c>
      <c r="C60" s="225" t="s">
        <v>1289</v>
      </c>
      <c r="D60" s="225" t="s">
        <v>1290</v>
      </c>
      <c r="E60" s="225" t="s">
        <v>1291</v>
      </c>
      <c r="F60" s="225" t="s">
        <v>1292</v>
      </c>
      <c r="G60" s="225" t="s">
        <v>1293</v>
      </c>
      <c r="H60" s="225" t="s">
        <v>1294</v>
      </c>
      <c r="I60" s="225" t="s">
        <v>1295</v>
      </c>
      <c r="J60" s="225" t="s">
        <v>1296</v>
      </c>
      <c r="K60" s="225" t="s">
        <v>1297</v>
      </c>
      <c r="L60" s="225" t="s">
        <v>1298</v>
      </c>
      <c r="M60" s="225" t="s">
        <v>1299</v>
      </c>
      <c r="N60" s="225" t="s">
        <v>1300</v>
      </c>
      <c r="O60" s="226" t="s">
        <v>106</v>
      </c>
      <c r="P60" s="226" t="s">
        <v>107</v>
      </c>
      <c r="Q60" s="226" t="s">
        <v>108</v>
      </c>
      <c r="R60" s="226" t="s">
        <v>109</v>
      </c>
      <c r="S60" s="226" t="s">
        <v>110</v>
      </c>
      <c r="T60" s="745"/>
      <c r="U60" s="746"/>
    </row>
    <row r="61" spans="1:21" s="247" customFormat="1">
      <c r="A61" s="255"/>
      <c r="B61" s="222" t="s">
        <v>1227</v>
      </c>
      <c r="C61" s="257">
        <f ca="1">'01.10.2022'!AP680/12</f>
        <v>4759.7516749999995</v>
      </c>
      <c r="D61" s="257">
        <f t="shared" ref="D61:N61" si="55">C61</f>
        <v>4759.7516749999995</v>
      </c>
      <c r="E61" s="257">
        <f t="shared" si="55"/>
        <v>4759.7516749999995</v>
      </c>
      <c r="F61" s="257">
        <f t="shared" si="55"/>
        <v>4759.7516749999995</v>
      </c>
      <c r="G61" s="257">
        <f t="shared" si="55"/>
        <v>4759.7516749999995</v>
      </c>
      <c r="H61" s="257">
        <f t="shared" si="55"/>
        <v>4759.7516749999995</v>
      </c>
      <c r="I61" s="257">
        <f t="shared" si="55"/>
        <v>4759.7516749999995</v>
      </c>
      <c r="J61" s="257">
        <f t="shared" si="55"/>
        <v>4759.7516749999995</v>
      </c>
      <c r="K61" s="257">
        <f t="shared" si="55"/>
        <v>4759.7516749999995</v>
      </c>
      <c r="L61" s="257">
        <f t="shared" si="55"/>
        <v>4759.7516749999995</v>
      </c>
      <c r="M61" s="257">
        <f t="shared" si="55"/>
        <v>4759.7516749999995</v>
      </c>
      <c r="N61" s="257">
        <f t="shared" si="55"/>
        <v>4759.7516749999995</v>
      </c>
      <c r="O61" s="240">
        <f t="shared" ref="O61:O67" si="56">C61+D61+E61</f>
        <v>14279.255024999999</v>
      </c>
      <c r="P61" s="240">
        <f t="shared" ref="P61:P67" si="57">F61+G61+H61</f>
        <v>14279.255024999999</v>
      </c>
      <c r="Q61" s="240">
        <f>I61+J61+K61</f>
        <v>14279.255024999999</v>
      </c>
      <c r="R61" s="240">
        <f>L61+M61+N61</f>
        <v>14279.255024999999</v>
      </c>
      <c r="S61" s="240">
        <f>SUM(O61:R61)</f>
        <v>57117.020099999994</v>
      </c>
      <c r="T61" s="731"/>
      <c r="U61" s="732"/>
    </row>
    <row r="62" spans="1:21" s="247" customFormat="1">
      <c r="A62" s="255"/>
      <c r="B62" s="222" t="s">
        <v>1224</v>
      </c>
      <c r="C62" s="257">
        <f ca="1">'01.10.2022'!AP681/12</f>
        <v>7200.9599166666667</v>
      </c>
      <c r="D62" s="257">
        <f t="shared" ref="D62:N62" si="58">C62</f>
        <v>7200.9599166666667</v>
      </c>
      <c r="E62" s="257">
        <f t="shared" si="58"/>
        <v>7200.9599166666667</v>
      </c>
      <c r="F62" s="257">
        <f t="shared" si="58"/>
        <v>7200.9599166666667</v>
      </c>
      <c r="G62" s="257">
        <f t="shared" si="58"/>
        <v>7200.9599166666667</v>
      </c>
      <c r="H62" s="257">
        <f t="shared" si="58"/>
        <v>7200.9599166666667</v>
      </c>
      <c r="I62" s="257">
        <f t="shared" si="58"/>
        <v>7200.9599166666667</v>
      </c>
      <c r="J62" s="257">
        <f t="shared" si="58"/>
        <v>7200.9599166666667</v>
      </c>
      <c r="K62" s="257">
        <f t="shared" si="58"/>
        <v>7200.9599166666667</v>
      </c>
      <c r="L62" s="257">
        <f t="shared" si="58"/>
        <v>7200.9599166666667</v>
      </c>
      <c r="M62" s="257">
        <f t="shared" si="58"/>
        <v>7200.9599166666667</v>
      </c>
      <c r="N62" s="257">
        <f t="shared" si="58"/>
        <v>7200.9599166666667</v>
      </c>
      <c r="O62" s="240">
        <f t="shared" si="56"/>
        <v>21602.87975</v>
      </c>
      <c r="P62" s="240">
        <f t="shared" si="57"/>
        <v>21602.87975</v>
      </c>
      <c r="Q62" s="240">
        <f t="shared" ref="Q62:Q67" si="59">I62+J62+K62</f>
        <v>21602.87975</v>
      </c>
      <c r="R62" s="240">
        <f t="shared" ref="R62:R67" si="60">L62+M62+N62</f>
        <v>21602.87975</v>
      </c>
      <c r="S62" s="240">
        <f t="shared" ref="S62:S67" si="61">SUM(O62:R62)</f>
        <v>86411.519</v>
      </c>
      <c r="T62" s="731"/>
      <c r="U62" s="732"/>
    </row>
    <row r="63" spans="1:21" s="247" customFormat="1">
      <c r="A63" s="255"/>
      <c r="B63" s="222" t="s">
        <v>16</v>
      </c>
      <c r="C63" s="257">
        <f ca="1">'01.10.2022'!AP682/12</f>
        <v>19338.579999999998</v>
      </c>
      <c r="D63" s="257">
        <f t="shared" ref="D63:N63" si="62">C63</f>
        <v>19338.579999999998</v>
      </c>
      <c r="E63" s="257">
        <f t="shared" si="62"/>
        <v>19338.579999999998</v>
      </c>
      <c r="F63" s="257">
        <f t="shared" si="62"/>
        <v>19338.579999999998</v>
      </c>
      <c r="G63" s="257">
        <f t="shared" si="62"/>
        <v>19338.579999999998</v>
      </c>
      <c r="H63" s="257">
        <f t="shared" si="62"/>
        <v>19338.579999999998</v>
      </c>
      <c r="I63" s="257">
        <f t="shared" si="62"/>
        <v>19338.579999999998</v>
      </c>
      <c r="J63" s="257">
        <f t="shared" si="62"/>
        <v>19338.579999999998</v>
      </c>
      <c r="K63" s="257">
        <f t="shared" si="62"/>
        <v>19338.579999999998</v>
      </c>
      <c r="L63" s="257">
        <f t="shared" si="62"/>
        <v>19338.579999999998</v>
      </c>
      <c r="M63" s="257">
        <f t="shared" si="62"/>
        <v>19338.579999999998</v>
      </c>
      <c r="N63" s="257">
        <f t="shared" si="62"/>
        <v>19338.579999999998</v>
      </c>
      <c r="O63" s="240">
        <f t="shared" si="56"/>
        <v>58015.739999999991</v>
      </c>
      <c r="P63" s="240">
        <f t="shared" si="57"/>
        <v>58015.739999999991</v>
      </c>
      <c r="Q63" s="240">
        <f t="shared" si="59"/>
        <v>58015.739999999991</v>
      </c>
      <c r="R63" s="240">
        <f t="shared" si="60"/>
        <v>58015.739999999991</v>
      </c>
      <c r="S63" s="240">
        <f t="shared" si="61"/>
        <v>232062.95999999996</v>
      </c>
      <c r="T63" s="731"/>
      <c r="U63" s="732"/>
    </row>
    <row r="64" spans="1:21" s="247" customFormat="1">
      <c r="A64" s="255"/>
      <c r="B64" s="222" t="s">
        <v>1228</v>
      </c>
      <c r="C64" s="257">
        <f ca="1">'01.10.2022'!AP683/12</f>
        <v>42651.734999999993</v>
      </c>
      <c r="D64" s="257">
        <f t="shared" ref="D64:N64" si="63">C64</f>
        <v>42651.734999999993</v>
      </c>
      <c r="E64" s="257">
        <f t="shared" si="63"/>
        <v>42651.734999999993</v>
      </c>
      <c r="F64" s="257">
        <f t="shared" si="63"/>
        <v>42651.734999999993</v>
      </c>
      <c r="G64" s="257">
        <f t="shared" si="63"/>
        <v>42651.734999999993</v>
      </c>
      <c r="H64" s="257">
        <f t="shared" si="63"/>
        <v>42651.734999999993</v>
      </c>
      <c r="I64" s="257">
        <f t="shared" si="63"/>
        <v>42651.734999999993</v>
      </c>
      <c r="J64" s="257">
        <f t="shared" si="63"/>
        <v>42651.734999999993</v>
      </c>
      <c r="K64" s="257">
        <f t="shared" si="63"/>
        <v>42651.734999999993</v>
      </c>
      <c r="L64" s="257">
        <f t="shared" si="63"/>
        <v>42651.734999999993</v>
      </c>
      <c r="M64" s="257">
        <f t="shared" si="63"/>
        <v>42651.734999999993</v>
      </c>
      <c r="N64" s="257">
        <f t="shared" si="63"/>
        <v>42651.734999999993</v>
      </c>
      <c r="O64" s="240">
        <f t="shared" si="56"/>
        <v>127955.20499999999</v>
      </c>
      <c r="P64" s="240">
        <f t="shared" si="57"/>
        <v>127955.20499999999</v>
      </c>
      <c r="Q64" s="240">
        <f t="shared" si="59"/>
        <v>127955.20499999999</v>
      </c>
      <c r="R64" s="240">
        <f t="shared" si="60"/>
        <v>127955.20499999999</v>
      </c>
      <c r="S64" s="240">
        <f t="shared" si="61"/>
        <v>511820.81999999995</v>
      </c>
      <c r="T64" s="731"/>
      <c r="U64" s="732"/>
    </row>
    <row r="65" spans="1:21" s="247" customFormat="1">
      <c r="A65" s="255"/>
      <c r="B65" s="222" t="s">
        <v>102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40">
        <f t="shared" si="56"/>
        <v>0</v>
      </c>
      <c r="P65" s="240">
        <f t="shared" si="57"/>
        <v>0</v>
      </c>
      <c r="Q65" s="240">
        <f t="shared" si="59"/>
        <v>0</v>
      </c>
      <c r="R65" s="240">
        <f t="shared" si="60"/>
        <v>0</v>
      </c>
      <c r="S65" s="240">
        <f t="shared" si="61"/>
        <v>0</v>
      </c>
      <c r="T65" s="731"/>
      <c r="U65" s="732"/>
    </row>
    <row r="66" spans="1:21" s="247" customFormat="1">
      <c r="A66" s="255"/>
      <c r="B66" s="222" t="s">
        <v>1225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40">
        <f t="shared" si="56"/>
        <v>0</v>
      </c>
      <c r="P66" s="240">
        <f t="shared" si="57"/>
        <v>0</v>
      </c>
      <c r="Q66" s="240">
        <f t="shared" si="59"/>
        <v>0</v>
      </c>
      <c r="R66" s="240">
        <f t="shared" si="60"/>
        <v>0</v>
      </c>
      <c r="S66" s="240">
        <f t="shared" si="61"/>
        <v>0</v>
      </c>
      <c r="T66" s="731"/>
      <c r="U66" s="732"/>
    </row>
    <row r="67" spans="1:21" s="260" customFormat="1" ht="25.5">
      <c r="A67" s="258"/>
      <c r="B67" s="271" t="s">
        <v>871</v>
      </c>
      <c r="C67" s="259">
        <f t="shared" ref="C67:N67" si="64">SUM(C61:C66)</f>
        <v>73951.026591666654</v>
      </c>
      <c r="D67" s="259">
        <f t="shared" si="64"/>
        <v>73951.026591666654</v>
      </c>
      <c r="E67" s="259">
        <f t="shared" si="64"/>
        <v>73951.026591666654</v>
      </c>
      <c r="F67" s="259">
        <f t="shared" si="64"/>
        <v>73951.026591666654</v>
      </c>
      <c r="G67" s="259">
        <f t="shared" si="64"/>
        <v>73951.026591666654</v>
      </c>
      <c r="H67" s="259">
        <f t="shared" si="64"/>
        <v>73951.026591666654</v>
      </c>
      <c r="I67" s="259">
        <f t="shared" si="64"/>
        <v>73951.026591666654</v>
      </c>
      <c r="J67" s="259">
        <f t="shared" si="64"/>
        <v>73951.026591666654</v>
      </c>
      <c r="K67" s="259">
        <f t="shared" si="64"/>
        <v>73951.026591666654</v>
      </c>
      <c r="L67" s="259">
        <f t="shared" si="64"/>
        <v>73951.026591666654</v>
      </c>
      <c r="M67" s="259">
        <f t="shared" si="64"/>
        <v>73951.026591666654</v>
      </c>
      <c r="N67" s="259">
        <f t="shared" si="64"/>
        <v>73951.026591666654</v>
      </c>
      <c r="O67" s="240">
        <f t="shared" si="56"/>
        <v>221853.07977499996</v>
      </c>
      <c r="P67" s="240">
        <f t="shared" si="57"/>
        <v>221853.07977499996</v>
      </c>
      <c r="Q67" s="240">
        <f t="shared" si="59"/>
        <v>221853.07977499996</v>
      </c>
      <c r="R67" s="240">
        <f t="shared" si="60"/>
        <v>221853.07977499996</v>
      </c>
      <c r="S67" s="240">
        <f t="shared" si="61"/>
        <v>887412.31909999985</v>
      </c>
      <c r="T67" s="744"/>
      <c r="U67" s="742"/>
    </row>
    <row r="68" spans="1:21" s="254" customFormat="1" ht="24.95" customHeight="1">
      <c r="A68" s="253"/>
      <c r="B68" s="270" t="s">
        <v>1305</v>
      </c>
      <c r="C68" s="225" t="s">
        <v>1289</v>
      </c>
      <c r="D68" s="225" t="s">
        <v>1290</v>
      </c>
      <c r="E68" s="225" t="s">
        <v>1291</v>
      </c>
      <c r="F68" s="225" t="s">
        <v>1292</v>
      </c>
      <c r="G68" s="225" t="s">
        <v>1293</v>
      </c>
      <c r="H68" s="225" t="s">
        <v>1294</v>
      </c>
      <c r="I68" s="225" t="s">
        <v>1295</v>
      </c>
      <c r="J68" s="225" t="s">
        <v>1296</v>
      </c>
      <c r="K68" s="225" t="s">
        <v>1297</v>
      </c>
      <c r="L68" s="225" t="s">
        <v>1298</v>
      </c>
      <c r="M68" s="225" t="s">
        <v>1299</v>
      </c>
      <c r="N68" s="225" t="s">
        <v>1300</v>
      </c>
      <c r="O68" s="226" t="s">
        <v>106</v>
      </c>
      <c r="P68" s="226" t="s">
        <v>107</v>
      </c>
      <c r="Q68" s="226" t="s">
        <v>108</v>
      </c>
      <c r="R68" s="226" t="s">
        <v>109</v>
      </c>
      <c r="S68" s="226" t="s">
        <v>110</v>
      </c>
      <c r="T68" s="745"/>
      <c r="U68" s="746"/>
    </row>
    <row r="69" spans="1:21" s="247" customFormat="1">
      <c r="A69" s="255"/>
      <c r="B69" s="222" t="s">
        <v>1227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40">
        <f t="shared" ref="O69:O75" si="65">C69+D69+E69</f>
        <v>0</v>
      </c>
      <c r="P69" s="240">
        <f t="shared" ref="P69:P75" si="66">F69+G69+H69</f>
        <v>0</v>
      </c>
      <c r="Q69" s="240">
        <f>I69+J69+K69</f>
        <v>0</v>
      </c>
      <c r="R69" s="240">
        <f>L69+M69+N69</f>
        <v>0</v>
      </c>
      <c r="S69" s="240">
        <f>SUM(O69:R69)</f>
        <v>0</v>
      </c>
      <c r="T69" s="731"/>
      <c r="U69" s="732"/>
    </row>
    <row r="70" spans="1:21" s="247" customFormat="1">
      <c r="A70" s="255"/>
      <c r="B70" s="222" t="s">
        <v>1224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40">
        <f t="shared" si="65"/>
        <v>0</v>
      </c>
      <c r="P70" s="240">
        <f t="shared" si="66"/>
        <v>0</v>
      </c>
      <c r="Q70" s="240">
        <f t="shared" ref="Q70:Q75" si="67">I70+J70+K70</f>
        <v>0</v>
      </c>
      <c r="R70" s="240">
        <f t="shared" ref="R70:R75" si="68">L70+M70+N70</f>
        <v>0</v>
      </c>
      <c r="S70" s="240">
        <f t="shared" ref="S70:S75" si="69">SUM(O70:R70)</f>
        <v>0</v>
      </c>
      <c r="T70" s="731"/>
      <c r="U70" s="732"/>
    </row>
    <row r="71" spans="1:21" s="247" customFormat="1">
      <c r="A71" s="255"/>
      <c r="B71" s="222" t="s">
        <v>16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40">
        <f t="shared" si="65"/>
        <v>0</v>
      </c>
      <c r="P71" s="240">
        <f t="shared" si="66"/>
        <v>0</v>
      </c>
      <c r="Q71" s="240">
        <f t="shared" si="67"/>
        <v>0</v>
      </c>
      <c r="R71" s="240">
        <f t="shared" si="68"/>
        <v>0</v>
      </c>
      <c r="S71" s="240">
        <f t="shared" si="69"/>
        <v>0</v>
      </c>
      <c r="T71" s="731"/>
      <c r="U71" s="732"/>
    </row>
    <row r="72" spans="1:21" s="247" customFormat="1">
      <c r="A72" s="255"/>
      <c r="B72" s="222" t="s">
        <v>1228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40">
        <f t="shared" si="65"/>
        <v>0</v>
      </c>
      <c r="P72" s="240">
        <f t="shared" si="66"/>
        <v>0</v>
      </c>
      <c r="Q72" s="240">
        <f t="shared" si="67"/>
        <v>0</v>
      </c>
      <c r="R72" s="240">
        <f t="shared" si="68"/>
        <v>0</v>
      </c>
      <c r="S72" s="240">
        <f t="shared" si="69"/>
        <v>0</v>
      </c>
      <c r="T72" s="731"/>
      <c r="U72" s="732"/>
    </row>
    <row r="73" spans="1:21" s="247" customFormat="1">
      <c r="A73" s="255"/>
      <c r="B73" s="222" t="s">
        <v>102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40">
        <f t="shared" si="65"/>
        <v>0</v>
      </c>
      <c r="P73" s="240">
        <f t="shared" si="66"/>
        <v>0</v>
      </c>
      <c r="Q73" s="240">
        <f t="shared" si="67"/>
        <v>0</v>
      </c>
      <c r="R73" s="240">
        <f t="shared" si="68"/>
        <v>0</v>
      </c>
      <c r="S73" s="240">
        <f t="shared" si="69"/>
        <v>0</v>
      </c>
      <c r="T73" s="731"/>
      <c r="U73" s="732"/>
    </row>
    <row r="74" spans="1:21" s="247" customFormat="1">
      <c r="A74" s="255"/>
      <c r="B74" s="222" t="s">
        <v>1225</v>
      </c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40">
        <f t="shared" si="65"/>
        <v>0</v>
      </c>
      <c r="P74" s="240">
        <f t="shared" si="66"/>
        <v>0</v>
      </c>
      <c r="Q74" s="240">
        <f t="shared" si="67"/>
        <v>0</v>
      </c>
      <c r="R74" s="240">
        <f t="shared" si="68"/>
        <v>0</v>
      </c>
      <c r="S74" s="240">
        <f t="shared" si="69"/>
        <v>0</v>
      </c>
      <c r="T74" s="731"/>
      <c r="U74" s="732"/>
    </row>
    <row r="75" spans="1:21" s="260" customFormat="1" ht="25.5">
      <c r="A75" s="258"/>
      <c r="B75" s="271" t="s">
        <v>871</v>
      </c>
      <c r="C75" s="259">
        <f t="shared" ref="C75:N75" si="70">SUM(C69:C74)</f>
        <v>0</v>
      </c>
      <c r="D75" s="259">
        <f t="shared" si="70"/>
        <v>0</v>
      </c>
      <c r="E75" s="259">
        <f t="shared" si="70"/>
        <v>0</v>
      </c>
      <c r="F75" s="259">
        <f t="shared" si="70"/>
        <v>0</v>
      </c>
      <c r="G75" s="259">
        <f t="shared" si="70"/>
        <v>0</v>
      </c>
      <c r="H75" s="259">
        <f t="shared" si="70"/>
        <v>0</v>
      </c>
      <c r="I75" s="259">
        <f t="shared" si="70"/>
        <v>0</v>
      </c>
      <c r="J75" s="259">
        <f t="shared" si="70"/>
        <v>0</v>
      </c>
      <c r="K75" s="259">
        <f t="shared" si="70"/>
        <v>0</v>
      </c>
      <c r="L75" s="259">
        <f t="shared" si="70"/>
        <v>0</v>
      </c>
      <c r="M75" s="259">
        <f t="shared" si="70"/>
        <v>0</v>
      </c>
      <c r="N75" s="259">
        <f t="shared" si="70"/>
        <v>0</v>
      </c>
      <c r="O75" s="240">
        <f t="shared" si="65"/>
        <v>0</v>
      </c>
      <c r="P75" s="240">
        <f t="shared" si="66"/>
        <v>0</v>
      </c>
      <c r="Q75" s="240">
        <f t="shared" si="67"/>
        <v>0</v>
      </c>
      <c r="R75" s="240">
        <f t="shared" si="68"/>
        <v>0</v>
      </c>
      <c r="S75" s="240">
        <f t="shared" si="69"/>
        <v>0</v>
      </c>
      <c r="T75" s="744"/>
      <c r="U75" s="742"/>
    </row>
    <row r="76" spans="1:21" s="254" customFormat="1" ht="24.95" customHeight="1">
      <c r="A76" s="253"/>
      <c r="B76" s="270" t="s">
        <v>1167</v>
      </c>
      <c r="C76" s="225" t="s">
        <v>1289</v>
      </c>
      <c r="D76" s="225" t="s">
        <v>1290</v>
      </c>
      <c r="E76" s="225" t="s">
        <v>1291</v>
      </c>
      <c r="F76" s="225" t="s">
        <v>1292</v>
      </c>
      <c r="G76" s="225" t="s">
        <v>1293</v>
      </c>
      <c r="H76" s="225" t="s">
        <v>1294</v>
      </c>
      <c r="I76" s="225" t="s">
        <v>1295</v>
      </c>
      <c r="J76" s="225" t="s">
        <v>1296</v>
      </c>
      <c r="K76" s="225" t="s">
        <v>1297</v>
      </c>
      <c r="L76" s="225" t="s">
        <v>1298</v>
      </c>
      <c r="M76" s="225" t="s">
        <v>1299</v>
      </c>
      <c r="N76" s="225" t="s">
        <v>1300</v>
      </c>
      <c r="O76" s="226" t="s">
        <v>106</v>
      </c>
      <c r="P76" s="226" t="s">
        <v>107</v>
      </c>
      <c r="Q76" s="226" t="s">
        <v>108</v>
      </c>
      <c r="R76" s="226" t="s">
        <v>109</v>
      </c>
      <c r="S76" s="226" t="s">
        <v>110</v>
      </c>
      <c r="T76" s="745"/>
      <c r="U76" s="746"/>
    </row>
    <row r="77" spans="1:21" s="247" customFormat="1">
      <c r="A77" s="255"/>
      <c r="B77" s="222" t="s">
        <v>1227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40">
        <f t="shared" ref="O77:O83" si="71">C77+D77+E77</f>
        <v>0</v>
      </c>
      <c r="P77" s="240">
        <f t="shared" ref="P77:P83" si="72">F77+G77+H77</f>
        <v>0</v>
      </c>
      <c r="Q77" s="240">
        <f>I77+J77+K77</f>
        <v>0</v>
      </c>
      <c r="R77" s="240">
        <f>L77+M77+N77</f>
        <v>0</v>
      </c>
      <c r="S77" s="240">
        <f>SUM(O77:R77)</f>
        <v>0</v>
      </c>
      <c r="T77" s="731"/>
      <c r="U77" s="732"/>
    </row>
    <row r="78" spans="1:21" s="247" customFormat="1">
      <c r="A78" s="255"/>
      <c r="B78" s="222" t="s">
        <v>1224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40">
        <f t="shared" si="71"/>
        <v>0</v>
      </c>
      <c r="P78" s="240">
        <f t="shared" si="72"/>
        <v>0</v>
      </c>
      <c r="Q78" s="240">
        <f t="shared" ref="Q78:Q83" si="73">I78+J78+K78</f>
        <v>0</v>
      </c>
      <c r="R78" s="240">
        <f t="shared" ref="R78:R83" si="74">L78+M78+N78</f>
        <v>0</v>
      </c>
      <c r="S78" s="240">
        <f t="shared" ref="S78:S83" si="75">SUM(O78:R78)</f>
        <v>0</v>
      </c>
      <c r="T78" s="731"/>
      <c r="U78" s="732"/>
    </row>
    <row r="79" spans="1:21" s="247" customFormat="1">
      <c r="A79" s="255"/>
      <c r="B79" s="222" t="s">
        <v>16</v>
      </c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40">
        <f t="shared" si="71"/>
        <v>0</v>
      </c>
      <c r="P79" s="240">
        <f t="shared" si="72"/>
        <v>0</v>
      </c>
      <c r="Q79" s="240">
        <f t="shared" si="73"/>
        <v>0</v>
      </c>
      <c r="R79" s="240">
        <f t="shared" si="74"/>
        <v>0</v>
      </c>
      <c r="S79" s="240">
        <f t="shared" si="75"/>
        <v>0</v>
      </c>
      <c r="T79" s="731"/>
      <c r="U79" s="732"/>
    </row>
    <row r="80" spans="1:21" s="247" customFormat="1">
      <c r="A80" s="255"/>
      <c r="B80" s="222" t="s">
        <v>1228</v>
      </c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40">
        <f t="shared" si="71"/>
        <v>0</v>
      </c>
      <c r="P80" s="240">
        <f t="shared" si="72"/>
        <v>0</v>
      </c>
      <c r="Q80" s="240">
        <f t="shared" si="73"/>
        <v>0</v>
      </c>
      <c r="R80" s="240">
        <f t="shared" si="74"/>
        <v>0</v>
      </c>
      <c r="S80" s="240">
        <f t="shared" si="75"/>
        <v>0</v>
      </c>
      <c r="T80" s="731"/>
      <c r="U80" s="732"/>
    </row>
    <row r="81" spans="1:21" s="247" customFormat="1">
      <c r="A81" s="255"/>
      <c r="B81" s="222" t="s">
        <v>102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40">
        <f t="shared" si="71"/>
        <v>0</v>
      </c>
      <c r="P81" s="240">
        <f t="shared" si="72"/>
        <v>0</v>
      </c>
      <c r="Q81" s="240">
        <f t="shared" si="73"/>
        <v>0</v>
      </c>
      <c r="R81" s="240">
        <f t="shared" si="74"/>
        <v>0</v>
      </c>
      <c r="S81" s="240">
        <f t="shared" si="75"/>
        <v>0</v>
      </c>
      <c r="T81" s="731"/>
      <c r="U81" s="732"/>
    </row>
    <row r="82" spans="1:21" s="247" customFormat="1">
      <c r="A82" s="255"/>
      <c r="B82" s="222" t="s">
        <v>1225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40">
        <f t="shared" si="71"/>
        <v>0</v>
      </c>
      <c r="P82" s="240">
        <f t="shared" si="72"/>
        <v>0</v>
      </c>
      <c r="Q82" s="240">
        <f t="shared" si="73"/>
        <v>0</v>
      </c>
      <c r="R82" s="240">
        <f t="shared" si="74"/>
        <v>0</v>
      </c>
      <c r="S82" s="240">
        <f t="shared" si="75"/>
        <v>0</v>
      </c>
      <c r="T82" s="731"/>
      <c r="U82" s="732"/>
    </row>
    <row r="83" spans="1:21" s="260" customFormat="1" ht="25.5">
      <c r="A83" s="258"/>
      <c r="B83" s="271" t="s">
        <v>871</v>
      </c>
      <c r="C83" s="259">
        <f t="shared" ref="C83:N83" si="76">SUM(C77:C82)</f>
        <v>0</v>
      </c>
      <c r="D83" s="259">
        <f t="shared" si="76"/>
        <v>0</v>
      </c>
      <c r="E83" s="259">
        <f t="shared" si="76"/>
        <v>0</v>
      </c>
      <c r="F83" s="259">
        <f t="shared" si="76"/>
        <v>0</v>
      </c>
      <c r="G83" s="259">
        <f t="shared" si="76"/>
        <v>0</v>
      </c>
      <c r="H83" s="259">
        <f t="shared" si="76"/>
        <v>0</v>
      </c>
      <c r="I83" s="259">
        <f t="shared" si="76"/>
        <v>0</v>
      </c>
      <c r="J83" s="259">
        <f t="shared" si="76"/>
        <v>0</v>
      </c>
      <c r="K83" s="259">
        <f t="shared" si="76"/>
        <v>0</v>
      </c>
      <c r="L83" s="259">
        <f t="shared" si="76"/>
        <v>0</v>
      </c>
      <c r="M83" s="259">
        <f t="shared" si="76"/>
        <v>0</v>
      </c>
      <c r="N83" s="259">
        <f t="shared" si="76"/>
        <v>0</v>
      </c>
      <c r="O83" s="240">
        <f t="shared" si="71"/>
        <v>0</v>
      </c>
      <c r="P83" s="240">
        <f t="shared" si="72"/>
        <v>0</v>
      </c>
      <c r="Q83" s="240">
        <f t="shared" si="73"/>
        <v>0</v>
      </c>
      <c r="R83" s="240">
        <f t="shared" si="74"/>
        <v>0</v>
      </c>
      <c r="S83" s="240">
        <f t="shared" si="75"/>
        <v>0</v>
      </c>
      <c r="T83" s="744"/>
      <c r="U83" s="742"/>
    </row>
    <row r="84" spans="1:21" s="264" customFormat="1" ht="24.95" customHeight="1">
      <c r="A84" s="263"/>
      <c r="B84" s="273" t="s">
        <v>1148</v>
      </c>
      <c r="C84" s="236" t="s">
        <v>1289</v>
      </c>
      <c r="D84" s="236" t="s">
        <v>1290</v>
      </c>
      <c r="E84" s="236" t="s">
        <v>1291</v>
      </c>
      <c r="F84" s="236" t="s">
        <v>1292</v>
      </c>
      <c r="G84" s="236" t="s">
        <v>1293</v>
      </c>
      <c r="H84" s="236" t="s">
        <v>1294</v>
      </c>
      <c r="I84" s="236" t="s">
        <v>1295</v>
      </c>
      <c r="J84" s="236" t="s">
        <v>1296</v>
      </c>
      <c r="K84" s="236" t="s">
        <v>1297</v>
      </c>
      <c r="L84" s="236" t="s">
        <v>1298</v>
      </c>
      <c r="M84" s="236" t="s">
        <v>1299</v>
      </c>
      <c r="N84" s="236" t="s">
        <v>1300</v>
      </c>
      <c r="O84" s="237" t="s">
        <v>106</v>
      </c>
      <c r="P84" s="237" t="s">
        <v>107</v>
      </c>
      <c r="Q84" s="237" t="s">
        <v>108</v>
      </c>
      <c r="R84" s="237" t="s">
        <v>109</v>
      </c>
      <c r="S84" s="237" t="s">
        <v>110</v>
      </c>
      <c r="T84" s="747"/>
      <c r="U84" s="748"/>
    </row>
    <row r="85" spans="1:21" s="247" customFormat="1">
      <c r="A85" s="255"/>
      <c r="B85" s="222" t="s">
        <v>1227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40">
        <f t="shared" ref="O85:O91" si="77">C85+D85+E85</f>
        <v>0</v>
      </c>
      <c r="P85" s="240">
        <f t="shared" ref="P85:P91" si="78">F85+G85+H85</f>
        <v>0</v>
      </c>
      <c r="Q85" s="240">
        <f>I85+J85+K85</f>
        <v>0</v>
      </c>
      <c r="R85" s="240">
        <f>L85+M85+N85</f>
        <v>0</v>
      </c>
      <c r="S85" s="240">
        <f>SUM(O85:R85)</f>
        <v>0</v>
      </c>
      <c r="T85" s="731"/>
      <c r="U85" s="732"/>
    </row>
    <row r="86" spans="1:21" s="247" customFormat="1">
      <c r="A86" s="255"/>
      <c r="B86" s="222" t="s">
        <v>1224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40">
        <f t="shared" si="77"/>
        <v>0</v>
      </c>
      <c r="P86" s="240">
        <f t="shared" si="78"/>
        <v>0</v>
      </c>
      <c r="Q86" s="240">
        <f t="shared" ref="Q86:Q91" si="79">I86+J86+K86</f>
        <v>0</v>
      </c>
      <c r="R86" s="240">
        <f t="shared" ref="R86:R91" si="80">L86+M86+N86</f>
        <v>0</v>
      </c>
      <c r="S86" s="240">
        <f t="shared" ref="S86:S91" si="81">SUM(O86:R86)</f>
        <v>0</v>
      </c>
      <c r="T86" s="731"/>
      <c r="U86" s="732"/>
    </row>
    <row r="87" spans="1:21" s="247" customFormat="1">
      <c r="A87" s="255"/>
      <c r="B87" s="222" t="s">
        <v>16</v>
      </c>
      <c r="C87" s="257">
        <f>C7*2%</f>
        <v>16800</v>
      </c>
      <c r="D87" s="257">
        <f t="shared" ref="D87:N87" si="82">D7*2%</f>
        <v>16800</v>
      </c>
      <c r="E87" s="257">
        <f t="shared" si="82"/>
        <v>16800</v>
      </c>
      <c r="F87" s="257">
        <f t="shared" si="82"/>
        <v>16800</v>
      </c>
      <c r="G87" s="257">
        <f t="shared" si="82"/>
        <v>16800</v>
      </c>
      <c r="H87" s="257">
        <f t="shared" si="82"/>
        <v>16800</v>
      </c>
      <c r="I87" s="257">
        <f t="shared" si="82"/>
        <v>16800</v>
      </c>
      <c r="J87" s="257">
        <f t="shared" si="82"/>
        <v>16800</v>
      </c>
      <c r="K87" s="257">
        <f t="shared" si="82"/>
        <v>16800</v>
      </c>
      <c r="L87" s="257">
        <f t="shared" si="82"/>
        <v>16800</v>
      </c>
      <c r="M87" s="257">
        <f t="shared" si="82"/>
        <v>16800</v>
      </c>
      <c r="N87" s="257">
        <f t="shared" si="82"/>
        <v>16800</v>
      </c>
      <c r="O87" s="240">
        <f t="shared" si="77"/>
        <v>50400</v>
      </c>
      <c r="P87" s="240">
        <f t="shared" si="78"/>
        <v>50400</v>
      </c>
      <c r="Q87" s="240">
        <f t="shared" si="79"/>
        <v>50400</v>
      </c>
      <c r="R87" s="240">
        <f t="shared" si="80"/>
        <v>50400</v>
      </c>
      <c r="S87" s="240">
        <f t="shared" si="81"/>
        <v>201600</v>
      </c>
      <c r="T87" s="731"/>
      <c r="U87" s="732"/>
    </row>
    <row r="88" spans="1:21" s="247" customFormat="1">
      <c r="A88" s="255"/>
      <c r="B88" s="222" t="s">
        <v>1228</v>
      </c>
      <c r="C88" s="257">
        <f t="shared" ref="C88:N89" si="83">C8*2%</f>
        <v>25515</v>
      </c>
      <c r="D88" s="257">
        <f t="shared" si="83"/>
        <v>25515</v>
      </c>
      <c r="E88" s="257">
        <f t="shared" si="83"/>
        <v>25515</v>
      </c>
      <c r="F88" s="257">
        <f t="shared" si="83"/>
        <v>25515</v>
      </c>
      <c r="G88" s="257">
        <f t="shared" si="83"/>
        <v>25515</v>
      </c>
      <c r="H88" s="257">
        <f t="shared" si="83"/>
        <v>25515</v>
      </c>
      <c r="I88" s="257">
        <f t="shared" si="83"/>
        <v>25515</v>
      </c>
      <c r="J88" s="257">
        <f t="shared" si="83"/>
        <v>25515</v>
      </c>
      <c r="K88" s="257">
        <f t="shared" si="83"/>
        <v>25515</v>
      </c>
      <c r="L88" s="257">
        <f t="shared" si="83"/>
        <v>25515</v>
      </c>
      <c r="M88" s="257">
        <f t="shared" si="83"/>
        <v>25515</v>
      </c>
      <c r="N88" s="257">
        <f t="shared" si="83"/>
        <v>25515</v>
      </c>
      <c r="O88" s="240">
        <f t="shared" si="77"/>
        <v>76545</v>
      </c>
      <c r="P88" s="240">
        <f t="shared" si="78"/>
        <v>76545</v>
      </c>
      <c r="Q88" s="240">
        <f t="shared" si="79"/>
        <v>76545</v>
      </c>
      <c r="R88" s="240">
        <f t="shared" si="80"/>
        <v>76545</v>
      </c>
      <c r="S88" s="240">
        <f t="shared" si="81"/>
        <v>306180</v>
      </c>
      <c r="T88" s="731"/>
      <c r="U88" s="732"/>
    </row>
    <row r="89" spans="1:21" s="247" customFormat="1">
      <c r="A89" s="255"/>
      <c r="B89" s="222" t="s">
        <v>102</v>
      </c>
      <c r="C89" s="257">
        <f t="shared" si="83"/>
        <v>5348.5981999999995</v>
      </c>
      <c r="D89" s="257">
        <f t="shared" si="83"/>
        <v>5348.5981999999995</v>
      </c>
      <c r="E89" s="257">
        <f t="shared" si="83"/>
        <v>5348.5981999999995</v>
      </c>
      <c r="F89" s="257">
        <f t="shared" si="83"/>
        <v>5348.5981999999995</v>
      </c>
      <c r="G89" s="257">
        <f t="shared" si="83"/>
        <v>5348.5981999999995</v>
      </c>
      <c r="H89" s="257">
        <f t="shared" si="83"/>
        <v>5348.5981999999995</v>
      </c>
      <c r="I89" s="257">
        <f t="shared" si="83"/>
        <v>5348.5981999999995</v>
      </c>
      <c r="J89" s="257">
        <f t="shared" si="83"/>
        <v>5348.5981999999995</v>
      </c>
      <c r="K89" s="257">
        <f t="shared" si="83"/>
        <v>5348.5981999999995</v>
      </c>
      <c r="L89" s="257">
        <f t="shared" si="83"/>
        <v>5513.1666999999998</v>
      </c>
      <c r="M89" s="257">
        <f t="shared" si="83"/>
        <v>5513.1666999999998</v>
      </c>
      <c r="N89" s="257">
        <f t="shared" si="83"/>
        <v>5513.1666999999998</v>
      </c>
      <c r="O89" s="240">
        <f t="shared" si="77"/>
        <v>16045.794599999997</v>
      </c>
      <c r="P89" s="240">
        <f t="shared" si="78"/>
        <v>16045.794599999997</v>
      </c>
      <c r="Q89" s="240">
        <f t="shared" si="79"/>
        <v>16045.794599999997</v>
      </c>
      <c r="R89" s="240">
        <f t="shared" si="80"/>
        <v>16539.500099999997</v>
      </c>
      <c r="S89" s="240">
        <f t="shared" si="81"/>
        <v>64676.883899999993</v>
      </c>
      <c r="T89" s="731"/>
      <c r="U89" s="732"/>
    </row>
    <row r="90" spans="1:21" s="247" customFormat="1">
      <c r="A90" s="255"/>
      <c r="B90" s="222" t="s">
        <v>1225</v>
      </c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40">
        <f t="shared" si="77"/>
        <v>0</v>
      </c>
      <c r="P90" s="240">
        <f t="shared" si="78"/>
        <v>0</v>
      </c>
      <c r="Q90" s="240">
        <f t="shared" si="79"/>
        <v>0</v>
      </c>
      <c r="R90" s="240">
        <f t="shared" si="80"/>
        <v>0</v>
      </c>
      <c r="S90" s="240">
        <f t="shared" si="81"/>
        <v>0</v>
      </c>
      <c r="T90" s="731"/>
      <c r="U90" s="732"/>
    </row>
    <row r="91" spans="1:21" s="260" customFormat="1" ht="25.5">
      <c r="A91" s="258"/>
      <c r="B91" s="271" t="s">
        <v>871</v>
      </c>
      <c r="C91" s="259">
        <f t="shared" ref="C91:N91" si="84">SUM(C85:C90)</f>
        <v>47663.5982</v>
      </c>
      <c r="D91" s="259">
        <f t="shared" si="84"/>
        <v>47663.5982</v>
      </c>
      <c r="E91" s="259">
        <f t="shared" si="84"/>
        <v>47663.5982</v>
      </c>
      <c r="F91" s="259">
        <f t="shared" si="84"/>
        <v>47663.5982</v>
      </c>
      <c r="G91" s="259">
        <f t="shared" si="84"/>
        <v>47663.5982</v>
      </c>
      <c r="H91" s="259">
        <f t="shared" si="84"/>
        <v>47663.5982</v>
      </c>
      <c r="I91" s="259">
        <f t="shared" si="84"/>
        <v>47663.5982</v>
      </c>
      <c r="J91" s="259">
        <f t="shared" si="84"/>
        <v>47663.5982</v>
      </c>
      <c r="K91" s="259">
        <f t="shared" si="84"/>
        <v>47663.5982</v>
      </c>
      <c r="L91" s="259">
        <f t="shared" si="84"/>
        <v>47828.166700000002</v>
      </c>
      <c r="M91" s="259">
        <f t="shared" si="84"/>
        <v>47828.166700000002</v>
      </c>
      <c r="N91" s="259">
        <f t="shared" si="84"/>
        <v>47828.166700000002</v>
      </c>
      <c r="O91" s="240">
        <f t="shared" si="77"/>
        <v>142990.79459999999</v>
      </c>
      <c r="P91" s="240">
        <f t="shared" si="78"/>
        <v>142990.79459999999</v>
      </c>
      <c r="Q91" s="240">
        <f t="shared" si="79"/>
        <v>142990.79459999999</v>
      </c>
      <c r="R91" s="240">
        <f t="shared" si="80"/>
        <v>143484.5001</v>
      </c>
      <c r="S91" s="240">
        <f t="shared" si="81"/>
        <v>572456.88390000002</v>
      </c>
      <c r="T91" s="744"/>
      <c r="U91" s="742"/>
    </row>
    <row r="92" spans="1:21" s="264" customFormat="1" ht="24.95" customHeight="1">
      <c r="A92" s="263"/>
      <c r="B92" s="274" t="s">
        <v>1149</v>
      </c>
      <c r="C92" s="236" t="s">
        <v>1289</v>
      </c>
      <c r="D92" s="236" t="s">
        <v>1290</v>
      </c>
      <c r="E92" s="236" t="s">
        <v>1291</v>
      </c>
      <c r="F92" s="236" t="s">
        <v>1292</v>
      </c>
      <c r="G92" s="236" t="s">
        <v>1293</v>
      </c>
      <c r="H92" s="236" t="s">
        <v>1294</v>
      </c>
      <c r="I92" s="236" t="s">
        <v>1295</v>
      </c>
      <c r="J92" s="236" t="s">
        <v>1296</v>
      </c>
      <c r="K92" s="236" t="s">
        <v>1297</v>
      </c>
      <c r="L92" s="236" t="s">
        <v>1298</v>
      </c>
      <c r="M92" s="236" t="s">
        <v>1299</v>
      </c>
      <c r="N92" s="236" t="s">
        <v>1300</v>
      </c>
      <c r="O92" s="237" t="s">
        <v>106</v>
      </c>
      <c r="P92" s="237" t="s">
        <v>107</v>
      </c>
      <c r="Q92" s="237" t="s">
        <v>108</v>
      </c>
      <c r="R92" s="237" t="s">
        <v>109</v>
      </c>
      <c r="S92" s="237" t="s">
        <v>110</v>
      </c>
      <c r="T92" s="747"/>
      <c r="U92" s="748"/>
    </row>
    <row r="93" spans="1:21" s="247" customFormat="1">
      <c r="A93" s="255"/>
      <c r="B93" s="222" t="s">
        <v>1227</v>
      </c>
      <c r="C93" s="257">
        <f>C5*0.5%</f>
        <v>368.2167192</v>
      </c>
      <c r="D93" s="257">
        <f t="shared" ref="D93:N93" si="85">D5*0.5%</f>
        <v>368.2167192</v>
      </c>
      <c r="E93" s="257">
        <f t="shared" si="85"/>
        <v>368.2167192</v>
      </c>
      <c r="F93" s="257">
        <f t="shared" si="85"/>
        <v>368.2167192</v>
      </c>
      <c r="G93" s="257">
        <f t="shared" si="85"/>
        <v>368.2167192</v>
      </c>
      <c r="H93" s="257">
        <f t="shared" si="85"/>
        <v>368.2167192</v>
      </c>
      <c r="I93" s="257">
        <f t="shared" si="85"/>
        <v>368.2167192</v>
      </c>
      <c r="J93" s="257">
        <f t="shared" si="85"/>
        <v>368.2167192</v>
      </c>
      <c r="K93" s="257">
        <f t="shared" si="85"/>
        <v>368.2167192</v>
      </c>
      <c r="L93" s="257">
        <f t="shared" si="85"/>
        <v>373.38316204999995</v>
      </c>
      <c r="M93" s="257">
        <f t="shared" si="85"/>
        <v>373.38316204999995</v>
      </c>
      <c r="N93" s="257">
        <f t="shared" si="85"/>
        <v>373.38316204999995</v>
      </c>
      <c r="O93" s="240">
        <f t="shared" ref="O93:O99" si="86">C93+D93+E93</f>
        <v>1104.6501576000001</v>
      </c>
      <c r="P93" s="240">
        <f t="shared" ref="P93:P99" si="87">F93+G93+H93</f>
        <v>1104.6501576000001</v>
      </c>
      <c r="Q93" s="240">
        <f>I93+J93+K93</f>
        <v>1104.6501576000001</v>
      </c>
      <c r="R93" s="240">
        <f>L93+M93+N93</f>
        <v>1120.1494861499998</v>
      </c>
      <c r="S93" s="240">
        <f>SUM(O93:R93)</f>
        <v>4434.0999589499997</v>
      </c>
      <c r="T93" s="731"/>
      <c r="U93" s="732"/>
    </row>
    <row r="94" spans="1:21" s="247" customFormat="1">
      <c r="A94" s="255"/>
      <c r="B94" s="222" t="s">
        <v>1224</v>
      </c>
      <c r="C94" s="257">
        <f t="shared" ref="C94:N98" si="88">C6*0.5%</f>
        <v>830.90280625000003</v>
      </c>
      <c r="D94" s="257">
        <f t="shared" si="88"/>
        <v>830.90280625000003</v>
      </c>
      <c r="E94" s="257">
        <f t="shared" si="88"/>
        <v>830.90280625000003</v>
      </c>
      <c r="F94" s="257">
        <f t="shared" si="88"/>
        <v>830.90280625000003</v>
      </c>
      <c r="G94" s="257">
        <f t="shared" si="88"/>
        <v>830.90280625000003</v>
      </c>
      <c r="H94" s="257">
        <f t="shared" si="88"/>
        <v>830.90280625000003</v>
      </c>
      <c r="I94" s="257">
        <f t="shared" si="88"/>
        <v>830.90280625000003</v>
      </c>
      <c r="J94" s="257">
        <f t="shared" si="88"/>
        <v>830.90280625000003</v>
      </c>
      <c r="K94" s="257">
        <f t="shared" si="88"/>
        <v>830.90280625000003</v>
      </c>
      <c r="L94" s="257">
        <f t="shared" si="88"/>
        <v>832.84990000000005</v>
      </c>
      <c r="M94" s="257">
        <f t="shared" si="88"/>
        <v>832.84990000000005</v>
      </c>
      <c r="N94" s="257">
        <f t="shared" si="88"/>
        <v>832.84990000000005</v>
      </c>
      <c r="O94" s="240">
        <f t="shared" si="86"/>
        <v>2492.70841875</v>
      </c>
      <c r="P94" s="240">
        <f t="shared" si="87"/>
        <v>2492.70841875</v>
      </c>
      <c r="Q94" s="240">
        <f t="shared" ref="Q94:Q99" si="89">I94+J94+K94</f>
        <v>2492.70841875</v>
      </c>
      <c r="R94" s="240">
        <f t="shared" ref="R94:R99" si="90">L94+M94+N94</f>
        <v>2498.5497</v>
      </c>
      <c r="S94" s="240">
        <f t="shared" ref="S94:S99" si="91">SUM(O94:R94)</f>
        <v>9976.674956249999</v>
      </c>
      <c r="T94" s="731"/>
      <c r="U94" s="732"/>
    </row>
    <row r="95" spans="1:21" s="247" customFormat="1">
      <c r="A95" s="255"/>
      <c r="B95" s="222" t="s">
        <v>16</v>
      </c>
      <c r="C95" s="257">
        <f t="shared" si="88"/>
        <v>4200</v>
      </c>
      <c r="D95" s="257">
        <f t="shared" si="88"/>
        <v>4200</v>
      </c>
      <c r="E95" s="257">
        <f t="shared" si="88"/>
        <v>4200</v>
      </c>
      <c r="F95" s="257">
        <f t="shared" si="88"/>
        <v>4200</v>
      </c>
      <c r="G95" s="257">
        <f t="shared" si="88"/>
        <v>4200</v>
      </c>
      <c r="H95" s="257">
        <f t="shared" si="88"/>
        <v>4200</v>
      </c>
      <c r="I95" s="257">
        <f t="shared" si="88"/>
        <v>4200</v>
      </c>
      <c r="J95" s="257">
        <f t="shared" si="88"/>
        <v>4200</v>
      </c>
      <c r="K95" s="257">
        <f t="shared" si="88"/>
        <v>4200</v>
      </c>
      <c r="L95" s="257">
        <f t="shared" si="88"/>
        <v>4200</v>
      </c>
      <c r="M95" s="257">
        <f t="shared" si="88"/>
        <v>4200</v>
      </c>
      <c r="N95" s="257">
        <f t="shared" si="88"/>
        <v>4200</v>
      </c>
      <c r="O95" s="240">
        <f t="shared" si="86"/>
        <v>12600</v>
      </c>
      <c r="P95" s="240">
        <f t="shared" si="87"/>
        <v>12600</v>
      </c>
      <c r="Q95" s="240">
        <f t="shared" si="89"/>
        <v>12600</v>
      </c>
      <c r="R95" s="240">
        <f t="shared" si="90"/>
        <v>12600</v>
      </c>
      <c r="S95" s="240">
        <f t="shared" si="91"/>
        <v>50400</v>
      </c>
      <c r="T95" s="731"/>
      <c r="U95" s="732"/>
    </row>
    <row r="96" spans="1:21" s="247" customFormat="1">
      <c r="A96" s="255"/>
      <c r="B96" s="222" t="s">
        <v>1228</v>
      </c>
      <c r="C96" s="257">
        <f t="shared" si="88"/>
        <v>6378.75</v>
      </c>
      <c r="D96" s="257">
        <f t="shared" si="88"/>
        <v>6378.75</v>
      </c>
      <c r="E96" s="257">
        <f t="shared" si="88"/>
        <v>6378.75</v>
      </c>
      <c r="F96" s="257">
        <f t="shared" si="88"/>
        <v>6378.75</v>
      </c>
      <c r="G96" s="257">
        <f t="shared" si="88"/>
        <v>6378.75</v>
      </c>
      <c r="H96" s="257">
        <f t="shared" si="88"/>
        <v>6378.75</v>
      </c>
      <c r="I96" s="257">
        <f t="shared" si="88"/>
        <v>6378.75</v>
      </c>
      <c r="J96" s="257">
        <f t="shared" si="88"/>
        <v>6378.75</v>
      </c>
      <c r="K96" s="257">
        <f t="shared" si="88"/>
        <v>6378.75</v>
      </c>
      <c r="L96" s="257">
        <f t="shared" si="88"/>
        <v>6378.75</v>
      </c>
      <c r="M96" s="257">
        <f t="shared" si="88"/>
        <v>6378.75</v>
      </c>
      <c r="N96" s="257">
        <f t="shared" si="88"/>
        <v>6378.75</v>
      </c>
      <c r="O96" s="240">
        <f t="shared" si="86"/>
        <v>19136.25</v>
      </c>
      <c r="P96" s="240">
        <f t="shared" si="87"/>
        <v>19136.25</v>
      </c>
      <c r="Q96" s="240">
        <f t="shared" si="89"/>
        <v>19136.25</v>
      </c>
      <c r="R96" s="240">
        <f t="shared" si="90"/>
        <v>19136.25</v>
      </c>
      <c r="S96" s="240">
        <f t="shared" si="91"/>
        <v>76545</v>
      </c>
      <c r="T96" s="731"/>
      <c r="U96" s="732"/>
    </row>
    <row r="97" spans="1:21" s="247" customFormat="1">
      <c r="A97" s="255"/>
      <c r="B97" s="222" t="s">
        <v>102</v>
      </c>
      <c r="C97" s="257">
        <f t="shared" si="88"/>
        <v>1337.1495499999999</v>
      </c>
      <c r="D97" s="257">
        <f t="shared" si="88"/>
        <v>1337.1495499999999</v>
      </c>
      <c r="E97" s="257">
        <f t="shared" si="88"/>
        <v>1337.1495499999999</v>
      </c>
      <c r="F97" s="257">
        <f t="shared" si="88"/>
        <v>1337.1495499999999</v>
      </c>
      <c r="G97" s="257">
        <f t="shared" si="88"/>
        <v>1337.1495499999999</v>
      </c>
      <c r="H97" s="257">
        <f t="shared" si="88"/>
        <v>1337.1495499999999</v>
      </c>
      <c r="I97" s="257">
        <f t="shared" si="88"/>
        <v>1337.1495499999999</v>
      </c>
      <c r="J97" s="257">
        <f t="shared" si="88"/>
        <v>1337.1495499999999</v>
      </c>
      <c r="K97" s="257">
        <f t="shared" si="88"/>
        <v>1337.1495499999999</v>
      </c>
      <c r="L97" s="257">
        <f t="shared" si="88"/>
        <v>1378.2916749999999</v>
      </c>
      <c r="M97" s="257">
        <f t="shared" si="88"/>
        <v>1378.2916749999999</v>
      </c>
      <c r="N97" s="257">
        <f t="shared" si="88"/>
        <v>1378.2916749999999</v>
      </c>
      <c r="O97" s="240">
        <f t="shared" si="86"/>
        <v>4011.4486499999994</v>
      </c>
      <c r="P97" s="240">
        <f t="shared" si="87"/>
        <v>4011.4486499999994</v>
      </c>
      <c r="Q97" s="240">
        <f t="shared" si="89"/>
        <v>4011.4486499999994</v>
      </c>
      <c r="R97" s="240">
        <f t="shared" si="90"/>
        <v>4134.8750249999994</v>
      </c>
      <c r="S97" s="240">
        <f t="shared" si="91"/>
        <v>16169.220974999998</v>
      </c>
      <c r="T97" s="731"/>
      <c r="U97" s="732"/>
    </row>
    <row r="98" spans="1:21" s="247" customFormat="1">
      <c r="A98" s="255"/>
      <c r="B98" s="222" t="s">
        <v>1225</v>
      </c>
      <c r="C98" s="257">
        <f t="shared" si="88"/>
        <v>1492.8485256249999</v>
      </c>
      <c r="D98" s="257">
        <f t="shared" si="88"/>
        <v>1492.8485256249999</v>
      </c>
      <c r="E98" s="257">
        <f t="shared" si="88"/>
        <v>1492.8485256249999</v>
      </c>
      <c r="F98" s="257">
        <f t="shared" si="88"/>
        <v>1492.8485256249999</v>
      </c>
      <c r="G98" s="257">
        <f t="shared" si="88"/>
        <v>1492.8485256249999</v>
      </c>
      <c r="H98" s="257">
        <f t="shared" si="88"/>
        <v>1492.8485256249999</v>
      </c>
      <c r="I98" s="257">
        <f t="shared" si="88"/>
        <v>1492.8485256249999</v>
      </c>
      <c r="J98" s="257">
        <f t="shared" si="88"/>
        <v>1492.8485256249999</v>
      </c>
      <c r="K98" s="257">
        <f t="shared" si="88"/>
        <v>1492.8485256249999</v>
      </c>
      <c r="L98" s="257">
        <f t="shared" si="88"/>
        <v>1570.2789099999998</v>
      </c>
      <c r="M98" s="257">
        <f t="shared" si="88"/>
        <v>1570.2789099999998</v>
      </c>
      <c r="N98" s="257">
        <f t="shared" si="88"/>
        <v>1570.2789099999998</v>
      </c>
      <c r="O98" s="240">
        <f t="shared" si="86"/>
        <v>4478.5455768749998</v>
      </c>
      <c r="P98" s="240">
        <f t="shared" si="87"/>
        <v>4478.5455768749998</v>
      </c>
      <c r="Q98" s="240">
        <f t="shared" si="89"/>
        <v>4478.5455768749998</v>
      </c>
      <c r="R98" s="240">
        <f t="shared" si="90"/>
        <v>4710.8367299999991</v>
      </c>
      <c r="S98" s="240">
        <f t="shared" si="91"/>
        <v>18146.473460624999</v>
      </c>
      <c r="T98" s="731"/>
      <c r="U98" s="732"/>
    </row>
    <row r="99" spans="1:21" s="260" customFormat="1" ht="25.5">
      <c r="A99" s="258"/>
      <c r="B99" s="271" t="s">
        <v>871</v>
      </c>
      <c r="C99" s="259">
        <f t="shared" ref="C99:N99" si="92">SUM(C93:C98)</f>
        <v>14607.867601075</v>
      </c>
      <c r="D99" s="259">
        <f t="shared" si="92"/>
        <v>14607.867601075</v>
      </c>
      <c r="E99" s="259">
        <f t="shared" si="92"/>
        <v>14607.867601075</v>
      </c>
      <c r="F99" s="259">
        <f t="shared" si="92"/>
        <v>14607.867601075</v>
      </c>
      <c r="G99" s="259">
        <f t="shared" si="92"/>
        <v>14607.867601075</v>
      </c>
      <c r="H99" s="259">
        <f t="shared" si="92"/>
        <v>14607.867601075</v>
      </c>
      <c r="I99" s="259">
        <f t="shared" si="92"/>
        <v>14607.867601075</v>
      </c>
      <c r="J99" s="259">
        <f t="shared" si="92"/>
        <v>14607.867601075</v>
      </c>
      <c r="K99" s="259">
        <f t="shared" si="92"/>
        <v>14607.867601075</v>
      </c>
      <c r="L99" s="259">
        <f t="shared" si="92"/>
        <v>14733.553647049999</v>
      </c>
      <c r="M99" s="259">
        <f t="shared" si="92"/>
        <v>14733.553647049999</v>
      </c>
      <c r="N99" s="259">
        <f t="shared" si="92"/>
        <v>14733.553647049999</v>
      </c>
      <c r="O99" s="240">
        <f t="shared" si="86"/>
        <v>43823.602803225003</v>
      </c>
      <c r="P99" s="240">
        <f t="shared" si="87"/>
        <v>43823.602803225003</v>
      </c>
      <c r="Q99" s="240">
        <f t="shared" si="89"/>
        <v>43823.602803225003</v>
      </c>
      <c r="R99" s="240">
        <f t="shared" si="90"/>
        <v>44200.660941149996</v>
      </c>
      <c r="S99" s="240">
        <f t="shared" si="91"/>
        <v>175671.46935082501</v>
      </c>
      <c r="T99" s="744"/>
      <c r="U99" s="742"/>
    </row>
    <row r="100" spans="1:21" s="264" customFormat="1" ht="24.95" customHeight="1">
      <c r="A100" s="263"/>
      <c r="B100" s="274" t="s">
        <v>878</v>
      </c>
      <c r="C100" s="236" t="s">
        <v>1289</v>
      </c>
      <c r="D100" s="236" t="s">
        <v>1290</v>
      </c>
      <c r="E100" s="236" t="s">
        <v>1291</v>
      </c>
      <c r="F100" s="236" t="s">
        <v>1292</v>
      </c>
      <c r="G100" s="236" t="s">
        <v>1293</v>
      </c>
      <c r="H100" s="236" t="s">
        <v>1294</v>
      </c>
      <c r="I100" s="236" t="s">
        <v>1295</v>
      </c>
      <c r="J100" s="236" t="s">
        <v>1296</v>
      </c>
      <c r="K100" s="236" t="s">
        <v>1297</v>
      </c>
      <c r="L100" s="236" t="s">
        <v>1298</v>
      </c>
      <c r="M100" s="236" t="s">
        <v>1299</v>
      </c>
      <c r="N100" s="236" t="s">
        <v>1300</v>
      </c>
      <c r="O100" s="237" t="s">
        <v>106</v>
      </c>
      <c r="P100" s="237" t="s">
        <v>107</v>
      </c>
      <c r="Q100" s="237" t="s">
        <v>108</v>
      </c>
      <c r="R100" s="237" t="s">
        <v>109</v>
      </c>
      <c r="S100" s="237" t="s">
        <v>110</v>
      </c>
      <c r="T100" s="747"/>
      <c r="U100" s="748"/>
    </row>
    <row r="101" spans="1:21" s="247" customFormat="1">
      <c r="A101" s="255"/>
      <c r="B101" s="222" t="s">
        <v>1227</v>
      </c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40">
        <f t="shared" ref="O101:O107" si="93">C101+D101+E101</f>
        <v>0</v>
      </c>
      <c r="P101" s="240">
        <f t="shared" ref="P101:P107" si="94">F101+G101+H101</f>
        <v>0</v>
      </c>
      <c r="Q101" s="240">
        <f>I101+J101+K101</f>
        <v>0</v>
      </c>
      <c r="R101" s="240">
        <f>L101+M101+N101</f>
        <v>0</v>
      </c>
      <c r="S101" s="240">
        <f>SUM(O101:R101)</f>
        <v>0</v>
      </c>
      <c r="T101" s="731"/>
      <c r="U101" s="732"/>
    </row>
    <row r="102" spans="1:21" s="247" customFormat="1">
      <c r="A102" s="255"/>
      <c r="B102" s="222" t="s">
        <v>1224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40">
        <f t="shared" si="93"/>
        <v>0</v>
      </c>
      <c r="P102" s="240">
        <f t="shared" si="94"/>
        <v>0</v>
      </c>
      <c r="Q102" s="240">
        <f t="shared" ref="Q102:Q107" si="95">I102+J102+K102</f>
        <v>0</v>
      </c>
      <c r="R102" s="240">
        <f t="shared" ref="R102:R107" si="96">L102+M102+N102</f>
        <v>0</v>
      </c>
      <c r="S102" s="240">
        <f t="shared" ref="S102:S107" si="97">SUM(O102:R102)</f>
        <v>0</v>
      </c>
      <c r="T102" s="731"/>
      <c r="U102" s="732"/>
    </row>
    <row r="103" spans="1:21" s="247" customFormat="1">
      <c r="A103" s="255"/>
      <c r="B103" s="222" t="s">
        <v>16</v>
      </c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40">
        <f t="shared" si="93"/>
        <v>0</v>
      </c>
      <c r="P103" s="240">
        <f t="shared" si="94"/>
        <v>0</v>
      </c>
      <c r="Q103" s="240">
        <f t="shared" si="95"/>
        <v>0</v>
      </c>
      <c r="R103" s="240">
        <f t="shared" si="96"/>
        <v>0</v>
      </c>
      <c r="S103" s="240">
        <f t="shared" si="97"/>
        <v>0</v>
      </c>
      <c r="T103" s="731"/>
      <c r="U103" s="732"/>
    </row>
    <row r="104" spans="1:21" s="247" customFormat="1">
      <c r="A104" s="255"/>
      <c r="B104" s="222" t="s">
        <v>1228</v>
      </c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40">
        <f t="shared" si="93"/>
        <v>0</v>
      </c>
      <c r="P104" s="240">
        <f t="shared" si="94"/>
        <v>0</v>
      </c>
      <c r="Q104" s="240">
        <f t="shared" si="95"/>
        <v>0</v>
      </c>
      <c r="R104" s="240">
        <f t="shared" si="96"/>
        <v>0</v>
      </c>
      <c r="S104" s="240">
        <f t="shared" si="97"/>
        <v>0</v>
      </c>
      <c r="T104" s="731"/>
      <c r="U104" s="732"/>
    </row>
    <row r="105" spans="1:21" s="247" customFormat="1">
      <c r="A105" s="255"/>
      <c r="B105" s="222" t="s">
        <v>102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40">
        <f t="shared" si="93"/>
        <v>0</v>
      </c>
      <c r="P105" s="240">
        <f t="shared" si="94"/>
        <v>0</v>
      </c>
      <c r="Q105" s="240">
        <f t="shared" si="95"/>
        <v>0</v>
      </c>
      <c r="R105" s="240">
        <f t="shared" si="96"/>
        <v>0</v>
      </c>
      <c r="S105" s="240">
        <f t="shared" si="97"/>
        <v>0</v>
      </c>
      <c r="T105" s="731"/>
      <c r="U105" s="732"/>
    </row>
    <row r="106" spans="1:21" s="247" customFormat="1">
      <c r="A106" s="255"/>
      <c r="B106" s="222" t="s">
        <v>1225</v>
      </c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40">
        <f t="shared" si="93"/>
        <v>0</v>
      </c>
      <c r="P106" s="240">
        <f t="shared" si="94"/>
        <v>0</v>
      </c>
      <c r="Q106" s="240">
        <f t="shared" si="95"/>
        <v>0</v>
      </c>
      <c r="R106" s="240">
        <f t="shared" si="96"/>
        <v>0</v>
      </c>
      <c r="S106" s="240">
        <f t="shared" si="97"/>
        <v>0</v>
      </c>
      <c r="T106" s="731"/>
      <c r="U106" s="732"/>
    </row>
    <row r="107" spans="1:21" s="260" customFormat="1" ht="25.5">
      <c r="A107" s="258"/>
      <c r="B107" s="271" t="s">
        <v>871</v>
      </c>
      <c r="C107" s="259">
        <f t="shared" ref="C107:N107" si="98">SUM(C101:C106)</f>
        <v>0</v>
      </c>
      <c r="D107" s="259">
        <f t="shared" si="98"/>
        <v>0</v>
      </c>
      <c r="E107" s="259">
        <f t="shared" si="98"/>
        <v>0</v>
      </c>
      <c r="F107" s="259">
        <f t="shared" si="98"/>
        <v>0</v>
      </c>
      <c r="G107" s="259">
        <f t="shared" si="98"/>
        <v>0</v>
      </c>
      <c r="H107" s="259">
        <f t="shared" si="98"/>
        <v>0</v>
      </c>
      <c r="I107" s="259">
        <f t="shared" si="98"/>
        <v>0</v>
      </c>
      <c r="J107" s="259">
        <f t="shared" si="98"/>
        <v>0</v>
      </c>
      <c r="K107" s="259">
        <f t="shared" si="98"/>
        <v>0</v>
      </c>
      <c r="L107" s="259">
        <f t="shared" si="98"/>
        <v>0</v>
      </c>
      <c r="M107" s="259">
        <f t="shared" si="98"/>
        <v>0</v>
      </c>
      <c r="N107" s="259">
        <f t="shared" si="98"/>
        <v>0</v>
      </c>
      <c r="O107" s="240">
        <f t="shared" si="93"/>
        <v>0</v>
      </c>
      <c r="P107" s="240">
        <f t="shared" si="94"/>
        <v>0</v>
      </c>
      <c r="Q107" s="240">
        <f t="shared" si="95"/>
        <v>0</v>
      </c>
      <c r="R107" s="240">
        <f t="shared" si="96"/>
        <v>0</v>
      </c>
      <c r="S107" s="240">
        <f t="shared" si="97"/>
        <v>0</v>
      </c>
      <c r="T107" s="744"/>
      <c r="U107" s="742"/>
    </row>
    <row r="108" spans="1:21" s="289" customFormat="1" ht="28.5" customHeight="1">
      <c r="A108" s="285"/>
      <c r="B108" s="286" t="s">
        <v>1164</v>
      </c>
      <c r="C108" s="287" t="s">
        <v>1289</v>
      </c>
      <c r="D108" s="287" t="s">
        <v>1290</v>
      </c>
      <c r="E108" s="287" t="s">
        <v>1291</v>
      </c>
      <c r="F108" s="287" t="s">
        <v>1292</v>
      </c>
      <c r="G108" s="287" t="s">
        <v>1293</v>
      </c>
      <c r="H108" s="287" t="s">
        <v>1294</v>
      </c>
      <c r="I108" s="287" t="s">
        <v>1295</v>
      </c>
      <c r="J108" s="287" t="s">
        <v>1296</v>
      </c>
      <c r="K108" s="287" t="s">
        <v>1297</v>
      </c>
      <c r="L108" s="287" t="s">
        <v>1298</v>
      </c>
      <c r="M108" s="287" t="s">
        <v>1299</v>
      </c>
      <c r="N108" s="287" t="s">
        <v>1300</v>
      </c>
      <c r="O108" s="288" t="s">
        <v>106</v>
      </c>
      <c r="P108" s="288" t="s">
        <v>107</v>
      </c>
      <c r="Q108" s="288" t="s">
        <v>108</v>
      </c>
      <c r="R108" s="288" t="s">
        <v>109</v>
      </c>
      <c r="S108" s="288" t="s">
        <v>110</v>
      </c>
      <c r="T108" s="749"/>
      <c r="U108" s="750"/>
    </row>
    <row r="109" spans="1:21" s="247" customFormat="1">
      <c r="A109" s="255"/>
      <c r="B109" s="222" t="s">
        <v>1227</v>
      </c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40">
        <f t="shared" ref="O109:O115" si="99">C109+D109+E109</f>
        <v>0</v>
      </c>
      <c r="P109" s="240">
        <f t="shared" ref="P109:P115" si="100">F109+G109+H109</f>
        <v>0</v>
      </c>
      <c r="Q109" s="240">
        <f>I109+J109+K109</f>
        <v>0</v>
      </c>
      <c r="R109" s="240">
        <f>L109+M109+N109</f>
        <v>0</v>
      </c>
      <c r="S109" s="240">
        <f>SUM(O109:R109)</f>
        <v>0</v>
      </c>
      <c r="T109" s="731"/>
      <c r="U109" s="732"/>
    </row>
    <row r="110" spans="1:21" s="247" customFormat="1">
      <c r="A110" s="255"/>
      <c r="B110" s="222" t="s">
        <v>1224</v>
      </c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40">
        <f t="shared" si="99"/>
        <v>0</v>
      </c>
      <c r="P110" s="240">
        <f t="shared" si="100"/>
        <v>0</v>
      </c>
      <c r="Q110" s="240">
        <f t="shared" ref="Q110:Q115" si="101">I110+J110+K110</f>
        <v>0</v>
      </c>
      <c r="R110" s="240">
        <f t="shared" ref="R110:R115" si="102">L110+M110+N110</f>
        <v>0</v>
      </c>
      <c r="S110" s="240">
        <f t="shared" ref="S110:S115" si="103">SUM(O110:R110)</f>
        <v>0</v>
      </c>
      <c r="T110" s="731"/>
      <c r="U110" s="732"/>
    </row>
    <row r="111" spans="1:21" s="247" customFormat="1">
      <c r="A111" s="255"/>
      <c r="B111" s="222" t="s">
        <v>16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40">
        <f t="shared" si="99"/>
        <v>0</v>
      </c>
      <c r="P111" s="240">
        <f t="shared" si="100"/>
        <v>0</v>
      </c>
      <c r="Q111" s="240">
        <f t="shared" si="101"/>
        <v>0</v>
      </c>
      <c r="R111" s="240">
        <f t="shared" si="102"/>
        <v>0</v>
      </c>
      <c r="S111" s="240">
        <f t="shared" si="103"/>
        <v>0</v>
      </c>
      <c r="T111" s="731"/>
      <c r="U111" s="732"/>
    </row>
    <row r="112" spans="1:21" s="247" customFormat="1">
      <c r="A112" s="255"/>
      <c r="B112" s="222" t="s">
        <v>1228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40">
        <f t="shared" si="99"/>
        <v>0</v>
      </c>
      <c r="P112" s="240">
        <f t="shared" si="100"/>
        <v>0</v>
      </c>
      <c r="Q112" s="240">
        <f t="shared" si="101"/>
        <v>0</v>
      </c>
      <c r="R112" s="240">
        <f t="shared" si="102"/>
        <v>0</v>
      </c>
      <c r="S112" s="240">
        <f t="shared" si="103"/>
        <v>0</v>
      </c>
      <c r="T112" s="731"/>
      <c r="U112" s="732"/>
    </row>
    <row r="113" spans="1:21" s="247" customFormat="1">
      <c r="A113" s="255"/>
      <c r="B113" s="222" t="s">
        <v>102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40">
        <f t="shared" si="99"/>
        <v>0</v>
      </c>
      <c r="P113" s="240">
        <f t="shared" si="100"/>
        <v>0</v>
      </c>
      <c r="Q113" s="240">
        <f t="shared" si="101"/>
        <v>0</v>
      </c>
      <c r="R113" s="240">
        <f t="shared" si="102"/>
        <v>0</v>
      </c>
      <c r="S113" s="240">
        <f t="shared" si="103"/>
        <v>0</v>
      </c>
      <c r="T113" s="731"/>
      <c r="U113" s="732"/>
    </row>
    <row r="114" spans="1:21" s="247" customFormat="1">
      <c r="A114" s="255"/>
      <c r="B114" s="222" t="s">
        <v>1225</v>
      </c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40">
        <f t="shared" si="99"/>
        <v>0</v>
      </c>
      <c r="P114" s="240">
        <f t="shared" si="100"/>
        <v>0</v>
      </c>
      <c r="Q114" s="240">
        <f t="shared" si="101"/>
        <v>0</v>
      </c>
      <c r="R114" s="240">
        <f t="shared" si="102"/>
        <v>0</v>
      </c>
      <c r="S114" s="240">
        <f t="shared" si="103"/>
        <v>0</v>
      </c>
      <c r="T114" s="731"/>
      <c r="U114" s="732"/>
    </row>
    <row r="115" spans="1:21" s="260" customFormat="1" ht="25.5">
      <c r="A115" s="258"/>
      <c r="B115" s="271" t="s">
        <v>871</v>
      </c>
      <c r="C115" s="259">
        <f t="shared" ref="C115:N115" si="104">SUM(C109:C114)</f>
        <v>0</v>
      </c>
      <c r="D115" s="259">
        <f t="shared" si="104"/>
        <v>0</v>
      </c>
      <c r="E115" s="259">
        <f t="shared" si="104"/>
        <v>0</v>
      </c>
      <c r="F115" s="259">
        <f t="shared" si="104"/>
        <v>0</v>
      </c>
      <c r="G115" s="259">
        <f t="shared" si="104"/>
        <v>0</v>
      </c>
      <c r="H115" s="259">
        <f t="shared" si="104"/>
        <v>0</v>
      </c>
      <c r="I115" s="259">
        <f t="shared" si="104"/>
        <v>0</v>
      </c>
      <c r="J115" s="259">
        <f t="shared" si="104"/>
        <v>0</v>
      </c>
      <c r="K115" s="259">
        <f t="shared" si="104"/>
        <v>0</v>
      </c>
      <c r="L115" s="259">
        <f t="shared" si="104"/>
        <v>0</v>
      </c>
      <c r="M115" s="259">
        <f t="shared" si="104"/>
        <v>0</v>
      </c>
      <c r="N115" s="259">
        <f t="shared" si="104"/>
        <v>0</v>
      </c>
      <c r="O115" s="240">
        <f t="shared" si="99"/>
        <v>0</v>
      </c>
      <c r="P115" s="240">
        <f t="shared" si="100"/>
        <v>0</v>
      </c>
      <c r="Q115" s="240">
        <f t="shared" si="101"/>
        <v>0</v>
      </c>
      <c r="R115" s="240">
        <f t="shared" si="102"/>
        <v>0</v>
      </c>
      <c r="S115" s="240">
        <f t="shared" si="103"/>
        <v>0</v>
      </c>
      <c r="T115" s="744"/>
      <c r="U115" s="742"/>
    </row>
    <row r="116" spans="1:21" s="247" customFormat="1">
      <c r="A116" s="255"/>
      <c r="B116" s="27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731"/>
      <c r="U116" s="732"/>
    </row>
    <row r="117" spans="1:21" s="241" customFormat="1">
      <c r="A117" s="265"/>
      <c r="B117" s="276" t="s">
        <v>1302</v>
      </c>
      <c r="C117" s="242">
        <f>C43</f>
        <v>79157.155772005761</v>
      </c>
      <c r="D117" s="242">
        <f t="shared" ref="D117:N117" si="105">D43</f>
        <v>71496.785858585848</v>
      </c>
      <c r="E117" s="242">
        <f t="shared" si="105"/>
        <v>83263.001029159524</v>
      </c>
      <c r="F117" s="242">
        <f t="shared" si="105"/>
        <v>76733.559271068254</v>
      </c>
      <c r="G117" s="242">
        <f t="shared" si="105"/>
        <v>83728.547752886123</v>
      </c>
      <c r="H117" s="242">
        <f t="shared" si="105"/>
        <v>80353.559680727267</v>
      </c>
      <c r="I117" s="242">
        <f t="shared" si="105"/>
        <v>69052.890052700925</v>
      </c>
      <c r="J117" s="242">
        <f t="shared" si="105"/>
        <v>79410.823560606063</v>
      </c>
      <c r="K117" s="242">
        <f t="shared" si="105"/>
        <v>69862.894628099166</v>
      </c>
      <c r="L117" s="242">
        <f t="shared" si="105"/>
        <v>74497.720600414075</v>
      </c>
      <c r="M117" s="242">
        <f t="shared" si="105"/>
        <v>82908.753571428562</v>
      </c>
      <c r="N117" s="242">
        <f t="shared" si="105"/>
        <v>74612.96746427723</v>
      </c>
      <c r="O117" s="240">
        <f t="shared" ref="O117:O127" si="106">C117+D117+E117</f>
        <v>233916.94265975113</v>
      </c>
      <c r="P117" s="240">
        <f t="shared" ref="P117:P127" si="107">F117+G117+H117</f>
        <v>240815.66670468164</v>
      </c>
      <c r="Q117" s="240">
        <f t="shared" ref="Q117:Q127" si="108">I117+J117+K117</f>
        <v>218326.60824140615</v>
      </c>
      <c r="R117" s="240">
        <f t="shared" ref="R117:R127" si="109">L117+M117+N117</f>
        <v>232019.44163611985</v>
      </c>
      <c r="S117" s="240">
        <f t="shared" ref="S117:S127" si="110">SUM(O117:R117)</f>
        <v>925078.65924195875</v>
      </c>
      <c r="T117" s="751">
        <f ca="1">'НЧ - СД'!DN66</f>
        <v>925078.65924195899</v>
      </c>
      <c r="U117" s="743">
        <f>T117-S117</f>
        <v>0</v>
      </c>
    </row>
    <row r="118" spans="1:21" s="241" customFormat="1">
      <c r="A118" s="265"/>
      <c r="B118" s="276" t="s">
        <v>1301</v>
      </c>
      <c r="C118" s="242">
        <f>C51</f>
        <v>38744.069264069272</v>
      </c>
      <c r="D118" s="242">
        <f t="shared" ref="D118:N118" si="111">D51</f>
        <v>0</v>
      </c>
      <c r="E118" s="242">
        <f t="shared" si="111"/>
        <v>20381.523156089195</v>
      </c>
      <c r="F118" s="242">
        <f t="shared" si="111"/>
        <v>19409.109054618038</v>
      </c>
      <c r="G118" s="242">
        <f t="shared" si="111"/>
        <v>40742.540131182868</v>
      </c>
      <c r="H118" s="242">
        <f t="shared" si="111"/>
        <v>40358.372625135351</v>
      </c>
      <c r="I118" s="242">
        <f t="shared" si="111"/>
        <v>0</v>
      </c>
      <c r="J118" s="242">
        <f t="shared" si="111"/>
        <v>19316.436363636363</v>
      </c>
      <c r="K118" s="242">
        <f t="shared" si="111"/>
        <v>0</v>
      </c>
      <c r="L118" s="242">
        <f t="shared" si="111"/>
        <v>18231.746470920385</v>
      </c>
      <c r="M118" s="242">
        <f t="shared" si="111"/>
        <v>0</v>
      </c>
      <c r="N118" s="242">
        <f t="shared" si="111"/>
        <v>18263.587525802781</v>
      </c>
      <c r="O118" s="240">
        <f t="shared" si="106"/>
        <v>59125.592420158471</v>
      </c>
      <c r="P118" s="240">
        <f t="shared" si="107"/>
        <v>100510.02181093626</v>
      </c>
      <c r="Q118" s="240">
        <f t="shared" si="108"/>
        <v>19316.436363636363</v>
      </c>
      <c r="R118" s="240">
        <f t="shared" si="109"/>
        <v>36495.333996723166</v>
      </c>
      <c r="S118" s="240">
        <f t="shared" si="110"/>
        <v>215447.38459145426</v>
      </c>
      <c r="T118" s="751">
        <f ca="1">'НЧ - СД'!DN19</f>
        <v>215447.38459145426</v>
      </c>
      <c r="U118" s="743">
        <f>T118-S118</f>
        <v>0</v>
      </c>
    </row>
    <row r="119" spans="1:21" s="241" customFormat="1">
      <c r="A119" s="266"/>
      <c r="B119" s="276" t="s">
        <v>1303</v>
      </c>
      <c r="C119" s="242">
        <f>C59</f>
        <v>1000</v>
      </c>
      <c r="D119" s="242">
        <f t="shared" ref="D119:N119" si="112">D59</f>
        <v>1000</v>
      </c>
      <c r="E119" s="242">
        <f t="shared" si="112"/>
        <v>1000</v>
      </c>
      <c r="F119" s="242">
        <f t="shared" si="112"/>
        <v>1000</v>
      </c>
      <c r="G119" s="242">
        <f t="shared" si="112"/>
        <v>1000</v>
      </c>
      <c r="H119" s="242">
        <f t="shared" si="112"/>
        <v>1000</v>
      </c>
      <c r="I119" s="242">
        <f t="shared" si="112"/>
        <v>1000</v>
      </c>
      <c r="J119" s="242">
        <f t="shared" si="112"/>
        <v>1000</v>
      </c>
      <c r="K119" s="242">
        <f t="shared" si="112"/>
        <v>1000</v>
      </c>
      <c r="L119" s="242">
        <f t="shared" si="112"/>
        <v>1000</v>
      </c>
      <c r="M119" s="242">
        <f t="shared" si="112"/>
        <v>1000</v>
      </c>
      <c r="N119" s="242">
        <f t="shared" si="112"/>
        <v>1000</v>
      </c>
      <c r="O119" s="240">
        <f t="shared" si="106"/>
        <v>3000</v>
      </c>
      <c r="P119" s="240">
        <f t="shared" si="107"/>
        <v>3000</v>
      </c>
      <c r="Q119" s="240">
        <f t="shared" si="108"/>
        <v>3000</v>
      </c>
      <c r="R119" s="240">
        <f t="shared" si="109"/>
        <v>3000</v>
      </c>
      <c r="S119" s="240">
        <f t="shared" si="110"/>
        <v>12000</v>
      </c>
      <c r="T119" s="727"/>
      <c r="U119" s="728"/>
    </row>
    <row r="120" spans="1:21" s="241" customFormat="1">
      <c r="A120" s="266"/>
      <c r="B120" s="277" t="s">
        <v>1304</v>
      </c>
      <c r="C120" s="242">
        <f>C67</f>
        <v>73951.026591666654</v>
      </c>
      <c r="D120" s="242">
        <f t="shared" ref="D120:N120" si="113">D67</f>
        <v>73951.026591666654</v>
      </c>
      <c r="E120" s="242">
        <f t="shared" si="113"/>
        <v>73951.026591666654</v>
      </c>
      <c r="F120" s="242">
        <f t="shared" si="113"/>
        <v>73951.026591666654</v>
      </c>
      <c r="G120" s="242">
        <f t="shared" si="113"/>
        <v>73951.026591666654</v>
      </c>
      <c r="H120" s="242">
        <f t="shared" si="113"/>
        <v>73951.026591666654</v>
      </c>
      <c r="I120" s="242">
        <f t="shared" si="113"/>
        <v>73951.026591666654</v>
      </c>
      <c r="J120" s="242">
        <f t="shared" si="113"/>
        <v>73951.026591666654</v>
      </c>
      <c r="K120" s="242">
        <f t="shared" si="113"/>
        <v>73951.026591666654</v>
      </c>
      <c r="L120" s="242">
        <f t="shared" si="113"/>
        <v>73951.026591666654</v>
      </c>
      <c r="M120" s="242">
        <f t="shared" si="113"/>
        <v>73951.026591666654</v>
      </c>
      <c r="N120" s="242">
        <f t="shared" si="113"/>
        <v>73951.026591666654</v>
      </c>
      <c r="O120" s="240">
        <f t="shared" si="106"/>
        <v>221853.07977499996</v>
      </c>
      <c r="P120" s="240">
        <f t="shared" si="107"/>
        <v>221853.07977499996</v>
      </c>
      <c r="Q120" s="240">
        <f t="shared" si="108"/>
        <v>221853.07977499996</v>
      </c>
      <c r="R120" s="240">
        <f t="shared" si="109"/>
        <v>221853.07977499996</v>
      </c>
      <c r="S120" s="240">
        <f t="shared" si="110"/>
        <v>887412.31909999985</v>
      </c>
      <c r="T120" s="727"/>
      <c r="U120" s="728"/>
    </row>
    <row r="121" spans="1:21" s="241" customFormat="1">
      <c r="A121" s="266"/>
      <c r="B121" s="278" t="s">
        <v>1305</v>
      </c>
      <c r="C121" s="242">
        <f>C75</f>
        <v>0</v>
      </c>
      <c r="D121" s="242">
        <f t="shared" ref="D121:N121" si="114">D75</f>
        <v>0</v>
      </c>
      <c r="E121" s="242">
        <f t="shared" si="114"/>
        <v>0</v>
      </c>
      <c r="F121" s="242">
        <f t="shared" si="114"/>
        <v>0</v>
      </c>
      <c r="G121" s="242">
        <f t="shared" si="114"/>
        <v>0</v>
      </c>
      <c r="H121" s="242">
        <f t="shared" si="114"/>
        <v>0</v>
      </c>
      <c r="I121" s="242">
        <f t="shared" si="114"/>
        <v>0</v>
      </c>
      <c r="J121" s="242">
        <f t="shared" si="114"/>
        <v>0</v>
      </c>
      <c r="K121" s="242">
        <f t="shared" si="114"/>
        <v>0</v>
      </c>
      <c r="L121" s="242">
        <f t="shared" si="114"/>
        <v>0</v>
      </c>
      <c r="M121" s="242">
        <f t="shared" si="114"/>
        <v>0</v>
      </c>
      <c r="N121" s="242">
        <f t="shared" si="114"/>
        <v>0</v>
      </c>
      <c r="O121" s="240">
        <f t="shared" si="106"/>
        <v>0</v>
      </c>
      <c r="P121" s="240">
        <f t="shared" si="107"/>
        <v>0</v>
      </c>
      <c r="Q121" s="240">
        <f t="shared" si="108"/>
        <v>0</v>
      </c>
      <c r="R121" s="240">
        <f t="shared" si="109"/>
        <v>0</v>
      </c>
      <c r="S121" s="240">
        <f t="shared" si="110"/>
        <v>0</v>
      </c>
      <c r="T121" s="727"/>
      <c r="U121" s="728"/>
    </row>
    <row r="122" spans="1:21" s="241" customFormat="1">
      <c r="A122" s="266"/>
      <c r="B122" s="278" t="s">
        <v>1306</v>
      </c>
      <c r="C122" s="242">
        <f>C83</f>
        <v>0</v>
      </c>
      <c r="D122" s="242">
        <f t="shared" ref="D122:N122" si="115">D83</f>
        <v>0</v>
      </c>
      <c r="E122" s="242">
        <f t="shared" si="115"/>
        <v>0</v>
      </c>
      <c r="F122" s="242">
        <f t="shared" si="115"/>
        <v>0</v>
      </c>
      <c r="G122" s="242">
        <f t="shared" si="115"/>
        <v>0</v>
      </c>
      <c r="H122" s="242">
        <f t="shared" si="115"/>
        <v>0</v>
      </c>
      <c r="I122" s="242">
        <f t="shared" si="115"/>
        <v>0</v>
      </c>
      <c r="J122" s="242">
        <f t="shared" si="115"/>
        <v>0</v>
      </c>
      <c r="K122" s="242">
        <f t="shared" si="115"/>
        <v>0</v>
      </c>
      <c r="L122" s="242">
        <f t="shared" si="115"/>
        <v>0</v>
      </c>
      <c r="M122" s="242">
        <f t="shared" si="115"/>
        <v>0</v>
      </c>
      <c r="N122" s="242">
        <f t="shared" si="115"/>
        <v>0</v>
      </c>
      <c r="O122" s="240">
        <f t="shared" si="106"/>
        <v>0</v>
      </c>
      <c r="P122" s="240">
        <f t="shared" si="107"/>
        <v>0</v>
      </c>
      <c r="Q122" s="240">
        <f t="shared" si="108"/>
        <v>0</v>
      </c>
      <c r="R122" s="240">
        <f t="shared" si="109"/>
        <v>0</v>
      </c>
      <c r="S122" s="240">
        <f t="shared" si="110"/>
        <v>0</v>
      </c>
      <c r="T122" s="727"/>
      <c r="U122" s="728"/>
    </row>
    <row r="123" spans="1:21" s="241" customFormat="1">
      <c r="A123" s="265"/>
      <c r="B123" s="279" t="s">
        <v>1148</v>
      </c>
      <c r="C123" s="242">
        <f>C91</f>
        <v>47663.5982</v>
      </c>
      <c r="D123" s="242">
        <f t="shared" ref="D123:N123" si="116">D91</f>
        <v>47663.5982</v>
      </c>
      <c r="E123" s="242">
        <f t="shared" si="116"/>
        <v>47663.5982</v>
      </c>
      <c r="F123" s="242">
        <f t="shared" si="116"/>
        <v>47663.5982</v>
      </c>
      <c r="G123" s="242">
        <f t="shared" si="116"/>
        <v>47663.5982</v>
      </c>
      <c r="H123" s="242">
        <f t="shared" si="116"/>
        <v>47663.5982</v>
      </c>
      <c r="I123" s="242">
        <f t="shared" si="116"/>
        <v>47663.5982</v>
      </c>
      <c r="J123" s="242">
        <f t="shared" si="116"/>
        <v>47663.5982</v>
      </c>
      <c r="K123" s="242">
        <f t="shared" si="116"/>
        <v>47663.5982</v>
      </c>
      <c r="L123" s="242">
        <f t="shared" si="116"/>
        <v>47828.166700000002</v>
      </c>
      <c r="M123" s="242">
        <f t="shared" si="116"/>
        <v>47828.166700000002</v>
      </c>
      <c r="N123" s="242">
        <f t="shared" si="116"/>
        <v>47828.166700000002</v>
      </c>
      <c r="O123" s="240">
        <f t="shared" si="106"/>
        <v>142990.79459999999</v>
      </c>
      <c r="P123" s="240">
        <f t="shared" si="107"/>
        <v>142990.79459999999</v>
      </c>
      <c r="Q123" s="240">
        <f t="shared" si="108"/>
        <v>142990.79459999999</v>
      </c>
      <c r="R123" s="240">
        <f t="shared" si="109"/>
        <v>143484.5001</v>
      </c>
      <c r="S123" s="240">
        <f t="shared" si="110"/>
        <v>572456.88390000002</v>
      </c>
      <c r="T123" s="727"/>
      <c r="U123" s="728"/>
    </row>
    <row r="124" spans="1:21" s="241" customFormat="1" ht="24.95" customHeight="1">
      <c r="A124" s="265"/>
      <c r="B124" s="280" t="s">
        <v>1149</v>
      </c>
      <c r="C124" s="242">
        <f>C99</f>
        <v>14607.867601075</v>
      </c>
      <c r="D124" s="242">
        <f t="shared" ref="D124:N124" si="117">D99</f>
        <v>14607.867601075</v>
      </c>
      <c r="E124" s="242">
        <f t="shared" si="117"/>
        <v>14607.867601075</v>
      </c>
      <c r="F124" s="242">
        <f t="shared" si="117"/>
        <v>14607.867601075</v>
      </c>
      <c r="G124" s="242">
        <f t="shared" si="117"/>
        <v>14607.867601075</v>
      </c>
      <c r="H124" s="242">
        <f t="shared" si="117"/>
        <v>14607.867601075</v>
      </c>
      <c r="I124" s="242">
        <f t="shared" si="117"/>
        <v>14607.867601075</v>
      </c>
      <c r="J124" s="242">
        <f t="shared" si="117"/>
        <v>14607.867601075</v>
      </c>
      <c r="K124" s="242">
        <f t="shared" si="117"/>
        <v>14607.867601075</v>
      </c>
      <c r="L124" s="242">
        <f t="shared" si="117"/>
        <v>14733.553647049999</v>
      </c>
      <c r="M124" s="242">
        <f t="shared" si="117"/>
        <v>14733.553647049999</v>
      </c>
      <c r="N124" s="242">
        <f t="shared" si="117"/>
        <v>14733.553647049999</v>
      </c>
      <c r="O124" s="240">
        <f t="shared" si="106"/>
        <v>43823.602803225003</v>
      </c>
      <c r="P124" s="240">
        <f t="shared" si="107"/>
        <v>43823.602803225003</v>
      </c>
      <c r="Q124" s="240">
        <f t="shared" si="108"/>
        <v>43823.602803225003</v>
      </c>
      <c r="R124" s="240">
        <f t="shared" si="109"/>
        <v>44200.660941149996</v>
      </c>
      <c r="S124" s="240">
        <f t="shared" si="110"/>
        <v>175671.46935082501</v>
      </c>
      <c r="T124" s="727"/>
      <c r="U124" s="728"/>
    </row>
    <row r="125" spans="1:21" s="241" customFormat="1">
      <c r="A125" s="265"/>
      <c r="B125" s="281" t="s">
        <v>879</v>
      </c>
      <c r="C125" s="242">
        <f>C106</f>
        <v>0</v>
      </c>
      <c r="D125" s="242">
        <f t="shared" ref="D125:N125" si="118">D106</f>
        <v>0</v>
      </c>
      <c r="E125" s="242">
        <f t="shared" si="118"/>
        <v>0</v>
      </c>
      <c r="F125" s="242">
        <f t="shared" si="118"/>
        <v>0</v>
      </c>
      <c r="G125" s="242">
        <f t="shared" si="118"/>
        <v>0</v>
      </c>
      <c r="H125" s="242">
        <f t="shared" si="118"/>
        <v>0</v>
      </c>
      <c r="I125" s="242">
        <f t="shared" si="118"/>
        <v>0</v>
      </c>
      <c r="J125" s="242">
        <f t="shared" si="118"/>
        <v>0</v>
      </c>
      <c r="K125" s="242">
        <f t="shared" si="118"/>
        <v>0</v>
      </c>
      <c r="L125" s="242">
        <f t="shared" si="118"/>
        <v>0</v>
      </c>
      <c r="M125" s="242">
        <f t="shared" si="118"/>
        <v>0</v>
      </c>
      <c r="N125" s="242">
        <f t="shared" si="118"/>
        <v>0</v>
      </c>
      <c r="O125" s="240">
        <f t="shared" si="106"/>
        <v>0</v>
      </c>
      <c r="P125" s="240">
        <f t="shared" si="107"/>
        <v>0</v>
      </c>
      <c r="Q125" s="240">
        <f t="shared" si="108"/>
        <v>0</v>
      </c>
      <c r="R125" s="240">
        <f t="shared" si="109"/>
        <v>0</v>
      </c>
      <c r="S125" s="240">
        <f t="shared" si="110"/>
        <v>0</v>
      </c>
      <c r="T125" s="727"/>
      <c r="U125" s="728"/>
    </row>
    <row r="126" spans="1:21" s="241" customFormat="1">
      <c r="A126" s="265"/>
      <c r="B126" s="755" t="s">
        <v>880</v>
      </c>
      <c r="C126" s="242">
        <f>C115</f>
        <v>0</v>
      </c>
      <c r="D126" s="242">
        <f t="shared" ref="D126:N126" si="119">D115</f>
        <v>0</v>
      </c>
      <c r="E126" s="242">
        <f t="shared" si="119"/>
        <v>0</v>
      </c>
      <c r="F126" s="242">
        <f t="shared" si="119"/>
        <v>0</v>
      </c>
      <c r="G126" s="242">
        <f t="shared" si="119"/>
        <v>0</v>
      </c>
      <c r="H126" s="242">
        <f t="shared" si="119"/>
        <v>0</v>
      </c>
      <c r="I126" s="242">
        <f t="shared" si="119"/>
        <v>0</v>
      </c>
      <c r="J126" s="242">
        <f t="shared" si="119"/>
        <v>0</v>
      </c>
      <c r="K126" s="242">
        <f t="shared" si="119"/>
        <v>0</v>
      </c>
      <c r="L126" s="242">
        <f t="shared" si="119"/>
        <v>0</v>
      </c>
      <c r="M126" s="242">
        <f t="shared" si="119"/>
        <v>0</v>
      </c>
      <c r="N126" s="242">
        <f t="shared" si="119"/>
        <v>0</v>
      </c>
      <c r="O126" s="240">
        <f t="shared" si="106"/>
        <v>0</v>
      </c>
      <c r="P126" s="240">
        <f t="shared" si="107"/>
        <v>0</v>
      </c>
      <c r="Q126" s="240">
        <f t="shared" si="108"/>
        <v>0</v>
      </c>
      <c r="R126" s="240">
        <f t="shared" si="109"/>
        <v>0</v>
      </c>
      <c r="S126" s="240">
        <f t="shared" si="110"/>
        <v>0</v>
      </c>
      <c r="T126" s="727"/>
      <c r="U126" s="728"/>
    </row>
    <row r="127" spans="1:21" s="232" customFormat="1" ht="25.5">
      <c r="A127" s="283"/>
      <c r="B127" s="284"/>
      <c r="C127" s="224">
        <f>SUM(C117:C126)</f>
        <v>255123.71742881669</v>
      </c>
      <c r="D127" s="224">
        <f t="shared" ref="D127:N127" si="120">SUM(D117:D126)</f>
        <v>208719.27825132752</v>
      </c>
      <c r="E127" s="224">
        <f t="shared" si="120"/>
        <v>240867.01657799041</v>
      </c>
      <c r="F127" s="224">
        <f t="shared" si="120"/>
        <v>233365.16071842794</v>
      </c>
      <c r="G127" s="224">
        <f t="shared" si="120"/>
        <v>261693.58027681065</v>
      </c>
      <c r="H127" s="224">
        <f t="shared" si="120"/>
        <v>257934.4246986043</v>
      </c>
      <c r="I127" s="224">
        <f t="shared" si="120"/>
        <v>206275.38244544258</v>
      </c>
      <c r="J127" s="224">
        <f t="shared" si="120"/>
        <v>235949.75231698409</v>
      </c>
      <c r="K127" s="224">
        <f t="shared" si="120"/>
        <v>207085.38702084083</v>
      </c>
      <c r="L127" s="224">
        <f t="shared" si="120"/>
        <v>230242.2140100511</v>
      </c>
      <c r="M127" s="224">
        <f t="shared" si="120"/>
        <v>220421.50051014521</v>
      </c>
      <c r="N127" s="224">
        <f t="shared" si="120"/>
        <v>230389.30192879666</v>
      </c>
      <c r="O127" s="240">
        <f t="shared" si="106"/>
        <v>704710.01225813455</v>
      </c>
      <c r="P127" s="240">
        <f t="shared" si="107"/>
        <v>752993.16569384292</v>
      </c>
      <c r="Q127" s="240">
        <f t="shared" si="108"/>
        <v>649310.5217832675</v>
      </c>
      <c r="R127" s="240">
        <f t="shared" si="109"/>
        <v>681053.016448993</v>
      </c>
      <c r="S127" s="240">
        <f t="shared" si="110"/>
        <v>2788066.716184238</v>
      </c>
      <c r="T127" s="752"/>
      <c r="U127" s="753"/>
    </row>
    <row r="128" spans="1:21">
      <c r="S128" s="290">
        <f>S127-S32-S25-S18</f>
        <v>0</v>
      </c>
    </row>
  </sheetData>
  <mergeCells count="1">
    <mergeCell ref="B1:R1"/>
  </mergeCells>
  <phoneticPr fontId="73" type="noConversion"/>
  <pageMargins left="0" right="0" top="0" bottom="0" header="0" footer="0"/>
  <pageSetup paperSize="9" scale="1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784"/>
  <sheetViews>
    <sheetView view="pageBreakPreview" zoomScale="45" zoomScaleNormal="40" zoomScaleSheetLayoutView="45" workbookViewId="0">
      <selection activeCell="H560" sqref="H560:H583"/>
    </sheetView>
  </sheetViews>
  <sheetFormatPr defaultRowHeight="23.25"/>
  <cols>
    <col min="1" max="1" width="10.28515625" style="200" customWidth="1"/>
    <col min="2" max="2" width="8.7109375" style="200" customWidth="1"/>
    <col min="3" max="3" width="81.5703125" style="199" customWidth="1"/>
    <col min="4" max="4" width="63" style="156" customWidth="1"/>
    <col min="5" max="5" width="36.85546875" style="158" customWidth="1"/>
    <col min="6" max="6" width="8.7109375" style="156" customWidth="1"/>
    <col min="7" max="7" width="17.5703125" style="156" customWidth="1"/>
    <col min="8" max="8" width="14.42578125" style="156" customWidth="1"/>
    <col min="9" max="9" width="13.7109375" style="156" customWidth="1"/>
    <col min="10" max="10" width="7.5703125" style="156" customWidth="1"/>
    <col min="11" max="11" width="14.7109375" style="156" customWidth="1"/>
    <col min="12" max="12" width="15.7109375" style="156" customWidth="1"/>
    <col min="13" max="13" width="12.85546875" style="156" customWidth="1"/>
    <col min="14" max="14" width="21.5703125" style="156" customWidth="1"/>
    <col min="15" max="15" width="13.42578125" style="156" customWidth="1"/>
    <col min="16" max="16" width="10.7109375" style="156" customWidth="1"/>
    <col min="17" max="17" width="12" style="156" customWidth="1"/>
    <col min="18" max="18" width="8.28515625" style="156" customWidth="1"/>
    <col min="19" max="19" width="16.7109375" style="156" bestFit="1" customWidth="1"/>
    <col min="20" max="20" width="11.7109375" style="156" customWidth="1"/>
    <col min="21" max="21" width="8.7109375" style="156" customWidth="1"/>
    <col min="22" max="22" width="18.85546875" style="156" customWidth="1"/>
    <col min="23" max="23" width="19.7109375" style="156" customWidth="1"/>
    <col min="24" max="24" width="21.5703125" style="156" customWidth="1"/>
    <col min="25" max="25" width="24.5703125" style="156" customWidth="1"/>
    <col min="26" max="26" width="21.5703125" style="156" customWidth="1"/>
    <col min="27" max="27" width="22.140625" style="494" customWidth="1"/>
    <col min="28" max="28" width="24.140625" style="494" customWidth="1"/>
    <col min="29" max="29" width="23.85546875" style="201" customWidth="1"/>
    <col min="30" max="30" width="19" style="201" customWidth="1"/>
    <col min="31" max="31" width="17.5703125" style="202" customWidth="1"/>
    <col min="32" max="32" width="15.28515625" style="202" customWidth="1"/>
    <col min="33" max="33" width="21.28515625" style="202" customWidth="1"/>
    <col min="34" max="34" width="15.28515625" style="202" customWidth="1"/>
    <col min="35" max="35" width="19.5703125" style="209" customWidth="1"/>
    <col min="36" max="36" width="15.28515625" style="209" customWidth="1"/>
    <col min="37" max="37" width="18.7109375" style="204" customWidth="1"/>
    <col min="38" max="38" width="21.28515625" style="209" customWidth="1"/>
    <col min="39" max="39" width="28.140625" style="204" customWidth="1"/>
    <col min="40" max="40" width="18.7109375" style="204" customWidth="1"/>
    <col min="41" max="41" width="21.28515625" style="209" customWidth="1"/>
    <col min="42" max="42" width="24.7109375" style="202" customWidth="1"/>
    <col min="43" max="43" width="22.5703125" style="202" customWidth="1"/>
    <col min="44" max="44" width="13.5703125" style="202" customWidth="1"/>
    <col min="45" max="45" width="23.140625" style="202" customWidth="1"/>
    <col min="46" max="46" width="9.140625" style="210"/>
    <col min="47" max="47" width="10" style="210" bestFit="1" customWidth="1"/>
    <col min="48" max="54" width="9.140625" style="210"/>
    <col min="55" max="55" width="14.42578125" style="210" bestFit="1" customWidth="1"/>
    <col min="56" max="16384" width="9.140625" style="210"/>
  </cols>
  <sheetData>
    <row r="1" spans="1:45" s="161" customFormat="1" ht="57" customHeight="1">
      <c r="A1" s="156"/>
      <c r="B1" s="156"/>
      <c r="C1" s="157" t="s">
        <v>1086</v>
      </c>
      <c r="D1" s="156"/>
      <c r="E1" s="158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494"/>
      <c r="AB1" s="494"/>
      <c r="AC1" s="156"/>
      <c r="AD1" s="156"/>
      <c r="AE1" s="159"/>
      <c r="AF1" s="159"/>
      <c r="AG1" s="159"/>
      <c r="AH1" s="159"/>
      <c r="AI1" s="160"/>
      <c r="AJ1" s="160"/>
      <c r="AK1" s="160"/>
      <c r="AL1" s="160"/>
      <c r="AM1" s="160"/>
      <c r="AN1" s="160"/>
      <c r="AO1" s="160"/>
      <c r="AP1" s="159"/>
      <c r="AQ1" s="159"/>
      <c r="AR1" s="159"/>
      <c r="AS1" s="159"/>
    </row>
    <row r="2" spans="1:45" s="169" customFormat="1" ht="64.5">
      <c r="A2" s="162"/>
      <c r="B2" s="162"/>
      <c r="C2" s="1160" t="s">
        <v>1085</v>
      </c>
      <c r="D2" s="1160"/>
      <c r="E2" s="1161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762"/>
      <c r="Z2" s="762"/>
      <c r="AA2" s="495"/>
      <c r="AB2" s="495"/>
      <c r="AC2" s="162"/>
      <c r="AD2" s="163"/>
      <c r="AE2" s="164"/>
      <c r="AF2" s="165"/>
      <c r="AG2" s="166"/>
      <c r="AH2" s="164"/>
      <c r="AI2" s="167"/>
      <c r="AJ2" s="168"/>
      <c r="AK2" s="168"/>
      <c r="AL2" s="168"/>
      <c r="AM2" s="168"/>
      <c r="AN2" s="168"/>
      <c r="AO2" s="168"/>
      <c r="AP2" s="164"/>
      <c r="AQ2" s="164"/>
      <c r="AR2" s="164"/>
      <c r="AS2" s="164"/>
    </row>
    <row r="3" spans="1:45" s="174" customFormat="1" ht="29.25" customHeight="1">
      <c r="A3" s="170"/>
      <c r="B3" s="170"/>
      <c r="C3" s="171"/>
      <c r="D3" s="170"/>
      <c r="E3" s="172"/>
      <c r="F3" s="170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70"/>
      <c r="U3" s="170"/>
      <c r="V3" s="170"/>
      <c r="W3" s="170"/>
      <c r="X3" s="170"/>
      <c r="Y3" s="170"/>
      <c r="Z3" s="170"/>
      <c r="AA3" s="496"/>
      <c r="AB3" s="496"/>
      <c r="AC3" s="170"/>
      <c r="AD3" s="170"/>
      <c r="AE3" s="164"/>
      <c r="AF3" s="164"/>
      <c r="AG3" s="164"/>
      <c r="AH3" s="164"/>
      <c r="AI3" s="173"/>
      <c r="AJ3" s="173"/>
      <c r="AK3" s="173"/>
      <c r="AL3" s="173"/>
      <c r="AM3" s="173"/>
      <c r="AN3" s="173"/>
      <c r="AO3" s="173"/>
      <c r="AP3" s="164"/>
      <c r="AQ3" s="164"/>
      <c r="AR3" s="164"/>
      <c r="AS3" s="164"/>
    </row>
    <row r="4" spans="1:45" s="175" customFormat="1" ht="85.5" customHeight="1">
      <c r="A4" s="1157"/>
      <c r="B4" s="1157"/>
      <c r="C4" s="1157" t="s">
        <v>266</v>
      </c>
      <c r="D4" s="1158"/>
      <c r="E4" s="1163" t="s">
        <v>267</v>
      </c>
      <c r="F4" s="1164" t="s">
        <v>268</v>
      </c>
      <c r="G4" s="1151" t="s">
        <v>269</v>
      </c>
      <c r="H4" s="1151"/>
      <c r="I4" s="1151"/>
      <c r="J4" s="1151"/>
      <c r="K4" s="1151"/>
      <c r="L4" s="1151"/>
      <c r="M4" s="1151"/>
      <c r="N4" s="1151"/>
      <c r="O4" s="1151" t="s">
        <v>270</v>
      </c>
      <c r="P4" s="1151"/>
      <c r="Q4" s="1151" t="s">
        <v>271</v>
      </c>
      <c r="R4" s="1151"/>
      <c r="S4" s="1151"/>
      <c r="T4" s="1151" t="s">
        <v>272</v>
      </c>
      <c r="U4" s="1151"/>
      <c r="V4" s="1151"/>
      <c r="W4" s="1151" t="s">
        <v>273</v>
      </c>
      <c r="X4" s="1151" t="s">
        <v>274</v>
      </c>
      <c r="Y4" s="1151" t="s">
        <v>1080</v>
      </c>
      <c r="Z4" s="1151" t="s">
        <v>274</v>
      </c>
      <c r="AA4" s="1156" t="s">
        <v>1080</v>
      </c>
      <c r="AB4" s="1156" t="s">
        <v>274</v>
      </c>
      <c r="AC4" s="1151" t="s">
        <v>275</v>
      </c>
      <c r="AD4" s="1151" t="s">
        <v>273</v>
      </c>
      <c r="AE4" s="1147" t="s">
        <v>276</v>
      </c>
      <c r="AF4" s="1150"/>
      <c r="AG4" s="1150"/>
      <c r="AH4" s="1150"/>
      <c r="AI4" s="1150"/>
      <c r="AJ4" s="1150"/>
      <c r="AK4" s="1147" t="s">
        <v>277</v>
      </c>
      <c r="AL4" s="1147"/>
      <c r="AM4" s="1147" t="s">
        <v>273</v>
      </c>
      <c r="AN4" s="1147" t="s">
        <v>278</v>
      </c>
      <c r="AO4" s="1147"/>
      <c r="AP4" s="1147" t="s">
        <v>279</v>
      </c>
      <c r="AQ4" s="1150"/>
      <c r="AR4" s="1150"/>
      <c r="AS4" s="1150"/>
    </row>
    <row r="5" spans="1:45" s="175" customFormat="1" ht="39.75" customHeight="1">
      <c r="A5" s="1157"/>
      <c r="B5" s="1157"/>
      <c r="C5" s="1157"/>
      <c r="D5" s="1158"/>
      <c r="E5" s="1163"/>
      <c r="F5" s="1164"/>
      <c r="G5" s="1151" t="s">
        <v>280</v>
      </c>
      <c r="H5" s="1151" t="s">
        <v>281</v>
      </c>
      <c r="I5" s="1152"/>
      <c r="J5" s="1152"/>
      <c r="K5" s="1152"/>
      <c r="L5" s="1152"/>
      <c r="M5" s="1152"/>
      <c r="N5" s="1151" t="s">
        <v>282</v>
      </c>
      <c r="O5" s="1154" t="s">
        <v>283</v>
      </c>
      <c r="P5" s="1154" t="s">
        <v>284</v>
      </c>
      <c r="Q5" s="1155" t="s">
        <v>285</v>
      </c>
      <c r="R5" s="1151" t="s">
        <v>286</v>
      </c>
      <c r="S5" s="1151"/>
      <c r="T5" s="1154" t="s">
        <v>287</v>
      </c>
      <c r="U5" s="1151" t="s">
        <v>288</v>
      </c>
      <c r="V5" s="1151"/>
      <c r="W5" s="1151"/>
      <c r="X5" s="1151"/>
      <c r="Y5" s="1151"/>
      <c r="Z5" s="1151"/>
      <c r="AA5" s="1156"/>
      <c r="AB5" s="1156"/>
      <c r="AC5" s="1151"/>
      <c r="AD5" s="1151"/>
      <c r="AE5" s="1150"/>
      <c r="AF5" s="1150"/>
      <c r="AG5" s="1150"/>
      <c r="AH5" s="1150"/>
      <c r="AI5" s="1150"/>
      <c r="AJ5" s="1150"/>
      <c r="AK5" s="1147"/>
      <c r="AL5" s="1147"/>
      <c r="AM5" s="1147"/>
      <c r="AN5" s="1147"/>
      <c r="AO5" s="1147"/>
      <c r="AP5" s="1150"/>
      <c r="AQ5" s="1150"/>
      <c r="AR5" s="1150"/>
      <c r="AS5" s="1150"/>
    </row>
    <row r="6" spans="1:45" s="175" customFormat="1" ht="253.5" customHeight="1">
      <c r="A6" s="1157"/>
      <c r="B6" s="1157"/>
      <c r="C6" s="1157"/>
      <c r="D6" s="1158"/>
      <c r="E6" s="1163"/>
      <c r="F6" s="1164"/>
      <c r="G6" s="1151"/>
      <c r="H6" s="298" t="s">
        <v>289</v>
      </c>
      <c r="I6" s="298" t="s">
        <v>290</v>
      </c>
      <c r="J6" s="298" t="s">
        <v>291</v>
      </c>
      <c r="K6" s="298" t="s">
        <v>292</v>
      </c>
      <c r="L6" s="301" t="s">
        <v>293</v>
      </c>
      <c r="M6" s="301" t="s">
        <v>294</v>
      </c>
      <c r="N6" s="1151"/>
      <c r="O6" s="1154"/>
      <c r="P6" s="1154"/>
      <c r="Q6" s="1155"/>
      <c r="R6" s="176" t="s">
        <v>295</v>
      </c>
      <c r="S6" s="176" t="s">
        <v>296</v>
      </c>
      <c r="T6" s="1154"/>
      <c r="U6" s="301" t="s">
        <v>295</v>
      </c>
      <c r="V6" s="301" t="s">
        <v>297</v>
      </c>
      <c r="W6" s="1151"/>
      <c r="X6" s="1151"/>
      <c r="Y6" s="1151"/>
      <c r="Z6" s="1151"/>
      <c r="AA6" s="1156"/>
      <c r="AB6" s="1156"/>
      <c r="AC6" s="1151"/>
      <c r="AD6" s="1151"/>
      <c r="AE6" s="1148" t="s">
        <v>298</v>
      </c>
      <c r="AF6" s="1148"/>
      <c r="AG6" s="1148" t="s">
        <v>299</v>
      </c>
      <c r="AH6" s="1148"/>
      <c r="AI6" s="1149" t="s">
        <v>300</v>
      </c>
      <c r="AJ6" s="1149"/>
      <c r="AK6" s="1147"/>
      <c r="AL6" s="1147"/>
      <c r="AM6" s="1147"/>
      <c r="AN6" s="1147"/>
      <c r="AO6" s="1147"/>
      <c r="AP6" s="1148" t="s">
        <v>301</v>
      </c>
      <c r="AQ6" s="1148"/>
      <c r="AR6" s="515" t="s">
        <v>302</v>
      </c>
      <c r="AS6" s="515" t="s">
        <v>303</v>
      </c>
    </row>
    <row r="7" spans="1:45" s="180" customFormat="1" ht="20.100000000000001" customHeight="1">
      <c r="A7" s="296"/>
      <c r="B7" s="296"/>
      <c r="C7" s="1157" t="s">
        <v>304</v>
      </c>
      <c r="D7" s="1158"/>
      <c r="E7" s="297" t="s">
        <v>305</v>
      </c>
      <c r="F7" s="296" t="s">
        <v>306</v>
      </c>
      <c r="G7" s="299">
        <v>5</v>
      </c>
      <c r="H7" s="296" t="s">
        <v>307</v>
      </c>
      <c r="I7" s="296" t="s">
        <v>308</v>
      </c>
      <c r="J7" s="296" t="s">
        <v>309</v>
      </c>
      <c r="K7" s="296" t="s">
        <v>310</v>
      </c>
      <c r="L7" s="299">
        <v>10</v>
      </c>
      <c r="M7" s="299">
        <v>11</v>
      </c>
      <c r="N7" s="299">
        <v>12</v>
      </c>
      <c r="O7" s="299">
        <v>13</v>
      </c>
      <c r="P7" s="299">
        <v>14</v>
      </c>
      <c r="Q7" s="299">
        <v>15</v>
      </c>
      <c r="R7" s="299">
        <v>16</v>
      </c>
      <c r="S7" s="299">
        <v>17</v>
      </c>
      <c r="T7" s="299">
        <v>18</v>
      </c>
      <c r="U7" s="299">
        <v>19</v>
      </c>
      <c r="V7" s="299">
        <v>20</v>
      </c>
      <c r="W7" s="299">
        <v>21</v>
      </c>
      <c r="X7" s="299">
        <v>22</v>
      </c>
      <c r="Y7" s="299"/>
      <c r="Z7" s="299"/>
      <c r="AA7" s="493"/>
      <c r="AB7" s="493"/>
      <c r="AC7" s="177"/>
      <c r="AD7" s="177"/>
      <c r="AE7" s="178"/>
      <c r="AF7" s="178"/>
      <c r="AG7" s="178"/>
      <c r="AH7" s="178"/>
      <c r="AI7" s="179"/>
      <c r="AJ7" s="179"/>
      <c r="AK7" s="179"/>
      <c r="AL7" s="179"/>
      <c r="AM7" s="179"/>
      <c r="AN7" s="179"/>
      <c r="AO7" s="179"/>
      <c r="AP7" s="178"/>
      <c r="AQ7" s="178"/>
      <c r="AR7" s="178"/>
      <c r="AS7" s="178"/>
    </row>
    <row r="8" spans="1:45" s="175" customFormat="1">
      <c r="A8" s="181"/>
      <c r="B8" s="181"/>
      <c r="C8" s="182"/>
      <c r="D8" s="181"/>
      <c r="E8" s="297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3"/>
      <c r="U8" s="183"/>
      <c r="V8" s="183"/>
      <c r="W8" s="183"/>
      <c r="X8" s="183"/>
      <c r="Y8" s="183"/>
      <c r="Z8" s="183"/>
      <c r="AA8" s="497"/>
      <c r="AB8" s="497"/>
      <c r="AC8" s="183"/>
      <c r="AD8" s="183"/>
      <c r="AE8" s="178"/>
      <c r="AF8" s="178"/>
      <c r="AG8" s="178"/>
      <c r="AH8" s="178"/>
      <c r="AI8" s="179"/>
      <c r="AJ8" s="179"/>
      <c r="AK8" s="179"/>
      <c r="AL8" s="179"/>
      <c r="AM8" s="179"/>
      <c r="AN8" s="179"/>
      <c r="AO8" s="179"/>
      <c r="AP8" s="178"/>
      <c r="AQ8" s="178"/>
      <c r="AR8" s="178"/>
      <c r="AS8" s="178"/>
    </row>
    <row r="9" spans="1:45" s="188" customFormat="1" ht="22.5">
      <c r="A9" s="184"/>
      <c r="B9" s="184"/>
      <c r="C9" s="1159" t="s">
        <v>311</v>
      </c>
      <c r="D9" s="1159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498"/>
      <c r="AB9" s="498"/>
      <c r="AC9" s="185"/>
      <c r="AD9" s="185"/>
      <c r="AE9" s="186"/>
      <c r="AF9" s="186"/>
      <c r="AG9" s="186"/>
      <c r="AH9" s="186"/>
      <c r="AI9" s="187"/>
      <c r="AJ9" s="187"/>
      <c r="AK9" s="187"/>
      <c r="AL9" s="187"/>
      <c r="AM9" s="187"/>
      <c r="AN9" s="187"/>
      <c r="AO9" s="187"/>
      <c r="AP9" s="186"/>
      <c r="AQ9" s="186"/>
      <c r="AR9" s="186"/>
      <c r="AS9" s="186"/>
    </row>
    <row r="10" spans="1:45" s="188" customFormat="1" ht="22.5">
      <c r="A10" s="184"/>
      <c r="B10" s="184"/>
      <c r="C10" s="1159" t="s">
        <v>312</v>
      </c>
      <c r="D10" s="1159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498"/>
      <c r="AB10" s="498"/>
      <c r="AC10" s="189"/>
      <c r="AD10" s="185"/>
      <c r="AE10" s="186"/>
      <c r="AF10" s="186"/>
      <c r="AG10" s="186"/>
      <c r="AH10" s="186"/>
      <c r="AI10" s="187"/>
      <c r="AJ10" s="187"/>
      <c r="AK10" s="187"/>
      <c r="AL10" s="187"/>
      <c r="AM10" s="187"/>
      <c r="AN10" s="187"/>
      <c r="AO10" s="187"/>
      <c r="AP10" s="186"/>
      <c r="AQ10" s="186"/>
      <c r="AR10" s="186"/>
      <c r="AS10" s="186"/>
    </row>
    <row r="11" spans="1:45" s="191" customFormat="1" ht="23.85" customHeight="1">
      <c r="A11" s="1129"/>
      <c r="B11" s="1129"/>
      <c r="C11" s="1128"/>
      <c r="D11" s="1129" t="s">
        <v>313</v>
      </c>
      <c r="E11" s="1129" t="s">
        <v>250</v>
      </c>
      <c r="F11" s="1129">
        <v>16</v>
      </c>
      <c r="G11" s="1127">
        <v>8071</v>
      </c>
      <c r="H11" s="1127">
        <f>2893*44.9%</f>
        <v>1298.9570000000001</v>
      </c>
      <c r="I11" s="1127"/>
      <c r="J11" s="1127"/>
      <c r="K11" s="1127"/>
      <c r="L11" s="1129"/>
      <c r="M11" s="1129"/>
      <c r="N11" s="1127">
        <f>G11+H11+I11+J11+K11+L11+M11</f>
        <v>9369.9570000000003</v>
      </c>
      <c r="O11" s="1129" t="s">
        <v>314</v>
      </c>
      <c r="P11" s="1129"/>
      <c r="Q11" s="1129"/>
      <c r="R11" s="1129"/>
      <c r="S11" s="1129"/>
      <c r="T11" s="1129">
        <v>32</v>
      </c>
      <c r="U11" s="1130">
        <v>0.3</v>
      </c>
      <c r="V11" s="1127">
        <f>N11*U11</f>
        <v>2810.9870999999998</v>
      </c>
      <c r="W11" s="1127"/>
      <c r="X11" s="1127">
        <f>N11</f>
        <v>9369.9570000000003</v>
      </c>
      <c r="Y11" s="1127"/>
      <c r="Z11" s="1127">
        <f>P11</f>
        <v>0</v>
      </c>
      <c r="AA11" s="1153"/>
      <c r="AB11" s="1153">
        <f>R11</f>
        <v>0</v>
      </c>
      <c r="AC11" s="1127"/>
      <c r="AD11" s="1127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</row>
    <row r="12" spans="1:45" s="191" customFormat="1" ht="23.85" customHeight="1">
      <c r="A12" s="1129"/>
      <c r="B12" s="1129"/>
      <c r="C12" s="1128"/>
      <c r="D12" s="1129"/>
      <c r="E12" s="1129"/>
      <c r="F12" s="1129"/>
      <c r="G12" s="1127"/>
      <c r="H12" s="1127"/>
      <c r="I12" s="1127"/>
      <c r="J12" s="1127"/>
      <c r="K12" s="1127"/>
      <c r="L12" s="1129"/>
      <c r="M12" s="1129"/>
      <c r="N12" s="1127"/>
      <c r="O12" s="1129"/>
      <c r="P12" s="1129"/>
      <c r="Q12" s="1129"/>
      <c r="R12" s="1129"/>
      <c r="S12" s="1129"/>
      <c r="T12" s="1129"/>
      <c r="U12" s="1130"/>
      <c r="V12" s="1127"/>
      <c r="W12" s="1127"/>
      <c r="X12" s="1127"/>
      <c r="Y12" s="1127"/>
      <c r="Z12" s="1127"/>
      <c r="AA12" s="1153"/>
      <c r="AB12" s="1153"/>
      <c r="AC12" s="1127"/>
      <c r="AD12" s="1127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</row>
    <row r="13" spans="1:45" s="191" customFormat="1" ht="23.85" customHeight="1">
      <c r="A13" s="1129"/>
      <c r="B13" s="1129"/>
      <c r="C13" s="1128"/>
      <c r="D13" s="1129" t="s">
        <v>315</v>
      </c>
      <c r="E13" s="1129" t="s">
        <v>316</v>
      </c>
      <c r="F13" s="1129">
        <v>14</v>
      </c>
      <c r="G13" s="1127">
        <v>7001</v>
      </c>
      <c r="H13" s="302">
        <v>0.25</v>
      </c>
      <c r="I13" s="302">
        <v>0.4</v>
      </c>
      <c r="J13" s="1129"/>
      <c r="K13" s="1129"/>
      <c r="L13" s="1129"/>
      <c r="M13" s="1129"/>
      <c r="N13" s="1127">
        <f>G13+H14+I14+L14</f>
        <v>12251.75</v>
      </c>
      <c r="O13" s="1127">
        <v>1</v>
      </c>
      <c r="P13" s="1127"/>
      <c r="Q13" s="1129"/>
      <c r="R13" s="1129"/>
      <c r="S13" s="1129"/>
      <c r="T13" s="1129">
        <v>29</v>
      </c>
      <c r="U13" s="1130">
        <v>0.3</v>
      </c>
      <c r="V13" s="1127">
        <f>N13*U13</f>
        <v>3675.5250000000001</v>
      </c>
      <c r="W13" s="1127"/>
      <c r="X13" s="1127">
        <f>(N13+V13)*O13</f>
        <v>15927.275</v>
      </c>
      <c r="Y13" s="1127"/>
      <c r="Z13" s="1127">
        <f>(P13+X13)*Q13</f>
        <v>0</v>
      </c>
      <c r="AA13" s="1153"/>
      <c r="AB13" s="1153">
        <f>(R13+Z13)*S13</f>
        <v>0</v>
      </c>
      <c r="AC13" s="1127">
        <f>6500*O13</f>
        <v>6500</v>
      </c>
      <c r="AD13" s="1127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</row>
    <row r="14" spans="1:45" s="191" customFormat="1" ht="23.85" customHeight="1">
      <c r="A14" s="1129"/>
      <c r="B14" s="1129"/>
      <c r="C14" s="1128"/>
      <c r="D14" s="1129"/>
      <c r="E14" s="1129"/>
      <c r="F14" s="1129"/>
      <c r="G14" s="1127"/>
      <c r="H14" s="300">
        <f>G13*H13</f>
        <v>1750.25</v>
      </c>
      <c r="I14" s="303">
        <f>(G13+H14)*I13</f>
        <v>3500.5</v>
      </c>
      <c r="J14" s="1129"/>
      <c r="K14" s="1129"/>
      <c r="L14" s="1129"/>
      <c r="M14" s="1129"/>
      <c r="N14" s="1127"/>
      <c r="O14" s="1127"/>
      <c r="P14" s="1127"/>
      <c r="Q14" s="1129"/>
      <c r="R14" s="1129"/>
      <c r="S14" s="1129"/>
      <c r="T14" s="1129"/>
      <c r="U14" s="1130"/>
      <c r="V14" s="1127"/>
      <c r="W14" s="1127"/>
      <c r="X14" s="1127"/>
      <c r="Y14" s="1127"/>
      <c r="Z14" s="1127"/>
      <c r="AA14" s="1153"/>
      <c r="AB14" s="1153"/>
      <c r="AC14" s="1127"/>
      <c r="AD14" s="1127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</row>
    <row r="15" spans="1:45" s="438" customFormat="1" ht="24.95" customHeight="1">
      <c r="A15" s="1134"/>
      <c r="B15" s="1134"/>
      <c r="C15" s="1139" t="s">
        <v>993</v>
      </c>
      <c r="D15" s="1134" t="s">
        <v>313</v>
      </c>
      <c r="E15" s="1134" t="s">
        <v>250</v>
      </c>
      <c r="F15" s="1134"/>
      <c r="G15" s="1112">
        <f>N13</f>
        <v>12251.75</v>
      </c>
      <c r="H15" s="434">
        <v>0.44900000000000001</v>
      </c>
      <c r="I15" s="1134"/>
      <c r="J15" s="1134"/>
      <c r="K15" s="435">
        <v>0.15</v>
      </c>
      <c r="L15" s="1134"/>
      <c r="M15" s="1134"/>
      <c r="N15" s="1112">
        <f>G15+H16+I15+J15+K16+L15+M15</f>
        <v>15583.313050000001</v>
      </c>
      <c r="O15" s="1112">
        <v>1</v>
      </c>
      <c r="P15" s="1134"/>
      <c r="Q15" s="1134"/>
      <c r="R15" s="1134"/>
      <c r="S15" s="1134"/>
      <c r="T15" s="1134">
        <v>33</v>
      </c>
      <c r="U15" s="1138">
        <v>0.3</v>
      </c>
      <c r="V15" s="1112">
        <f>N15*U15*O15</f>
        <v>4674.993915</v>
      </c>
      <c r="W15" s="1112"/>
      <c r="X15" s="1112">
        <f>(N15+V15)*O15</f>
        <v>20258.306965</v>
      </c>
      <c r="Y15" s="1112"/>
      <c r="Z15" s="1112">
        <f>X15+Y15</f>
        <v>20258.306965</v>
      </c>
      <c r="AA15" s="1109">
        <f>20000*O15</f>
        <v>20000</v>
      </c>
      <c r="AB15" s="1109">
        <f>AA15-X15</f>
        <v>-258.30696499999976</v>
      </c>
      <c r="AC15" s="1112">
        <f>6500*O15</f>
        <v>6500</v>
      </c>
      <c r="AD15" s="1112"/>
      <c r="AE15" s="436">
        <f t="shared" ref="AE15:AE22" si="0">G15*O15</f>
        <v>12251.75</v>
      </c>
      <c r="AF15" s="436">
        <f t="shared" ref="AF15:AF22" si="1">G15*P15</f>
        <v>0</v>
      </c>
      <c r="AG15" s="436">
        <f t="shared" ref="AG15:AG22" si="2">N15*O15</f>
        <v>15583.313050000001</v>
      </c>
      <c r="AH15" s="436">
        <f t="shared" ref="AH15:AH22" si="3">N15*P15</f>
        <v>0</v>
      </c>
      <c r="AI15" s="436">
        <f t="shared" ref="AI15:AJ22" si="4">AG15-AE15</f>
        <v>3331.5630500000007</v>
      </c>
      <c r="AJ15" s="436">
        <f t="shared" si="4"/>
        <v>0</v>
      </c>
      <c r="AK15" s="437">
        <f t="shared" ref="AK15:AK22" si="5">V15*O15</f>
        <v>4674.993915</v>
      </c>
      <c r="AL15" s="437">
        <f t="shared" ref="AL15:AL22" si="6">V15*P15</f>
        <v>0</v>
      </c>
      <c r="AM15" s="437">
        <f>W15</f>
        <v>0</v>
      </c>
      <c r="AN15" s="437">
        <f t="shared" ref="AN15:AN22" si="7">S15*O15</f>
        <v>0</v>
      </c>
      <c r="AO15" s="437">
        <f t="shared" ref="AO15:AO22" si="8">S15*P15</f>
        <v>0</v>
      </c>
      <c r="AP15" s="437">
        <f t="shared" ref="AP15:AQ44" si="9">AG15</f>
        <v>15583.313050000001</v>
      </c>
      <c r="AQ15" s="437">
        <f t="shared" si="9"/>
        <v>0</v>
      </c>
      <c r="AR15" s="436"/>
      <c r="AS15" s="437">
        <f t="shared" ref="AS15:AS78" si="10">AP15+AQ15-AR15</f>
        <v>15583.313050000001</v>
      </c>
    </row>
    <row r="16" spans="1:45" s="438" customFormat="1" ht="24.95" customHeight="1">
      <c r="A16" s="1134"/>
      <c r="B16" s="1134"/>
      <c r="C16" s="1139"/>
      <c r="D16" s="1134"/>
      <c r="E16" s="1134"/>
      <c r="F16" s="1134"/>
      <c r="G16" s="1112"/>
      <c r="H16" s="439">
        <f>2893*H15</f>
        <v>1298.9570000000001</v>
      </c>
      <c r="I16" s="1134"/>
      <c r="J16" s="1134"/>
      <c r="K16" s="439">
        <f>(G15+H16)*K15</f>
        <v>2032.6060499999999</v>
      </c>
      <c r="L16" s="1134"/>
      <c r="M16" s="1134"/>
      <c r="N16" s="1112"/>
      <c r="O16" s="1165"/>
      <c r="P16" s="1134"/>
      <c r="Q16" s="1134"/>
      <c r="R16" s="1134"/>
      <c r="S16" s="1134"/>
      <c r="T16" s="1134"/>
      <c r="U16" s="1138"/>
      <c r="V16" s="1112"/>
      <c r="W16" s="1112"/>
      <c r="X16" s="1112"/>
      <c r="Y16" s="1112"/>
      <c r="Z16" s="1112"/>
      <c r="AA16" s="1109"/>
      <c r="AB16" s="1109"/>
      <c r="AC16" s="1112"/>
      <c r="AD16" s="1112"/>
      <c r="AE16" s="436">
        <f t="shared" si="0"/>
        <v>0</v>
      </c>
      <c r="AF16" s="436">
        <f t="shared" si="1"/>
        <v>0</v>
      </c>
      <c r="AG16" s="436">
        <f t="shared" si="2"/>
        <v>0</v>
      </c>
      <c r="AH16" s="436">
        <f t="shared" si="3"/>
        <v>0</v>
      </c>
      <c r="AI16" s="436">
        <f t="shared" si="4"/>
        <v>0</v>
      </c>
      <c r="AJ16" s="436">
        <f t="shared" si="4"/>
        <v>0</v>
      </c>
      <c r="AK16" s="437">
        <f t="shared" si="5"/>
        <v>0</v>
      </c>
      <c r="AL16" s="437">
        <f t="shared" si="6"/>
        <v>0</v>
      </c>
      <c r="AM16" s="437">
        <f t="shared" ref="AM16:AM22" si="11">W16</f>
        <v>0</v>
      </c>
      <c r="AN16" s="437">
        <f t="shared" si="7"/>
        <v>0</v>
      </c>
      <c r="AO16" s="437">
        <f t="shared" si="8"/>
        <v>0</v>
      </c>
      <c r="AP16" s="437">
        <f t="shared" si="9"/>
        <v>0</v>
      </c>
      <c r="AQ16" s="437">
        <f t="shared" si="9"/>
        <v>0</v>
      </c>
      <c r="AR16" s="436"/>
      <c r="AS16" s="437">
        <f t="shared" si="10"/>
        <v>0</v>
      </c>
    </row>
    <row r="17" spans="1:55" s="438" customFormat="1" ht="24.95" customHeight="1">
      <c r="A17" s="1134"/>
      <c r="B17" s="1134"/>
      <c r="C17" s="1139" t="s">
        <v>994</v>
      </c>
      <c r="D17" s="1134" t="s">
        <v>313</v>
      </c>
      <c r="E17" s="1134" t="s">
        <v>317</v>
      </c>
      <c r="F17" s="1134">
        <v>15</v>
      </c>
      <c r="G17" s="1112">
        <f>(G15*90%)</f>
        <v>11026.575000000001</v>
      </c>
      <c r="H17" s="434">
        <v>0.44900000000000001</v>
      </c>
      <c r="I17" s="1134"/>
      <c r="J17" s="1134"/>
      <c r="K17" s="435">
        <v>0.15</v>
      </c>
      <c r="L17" s="1134"/>
      <c r="M17" s="1134"/>
      <c r="N17" s="1112">
        <f>G17+H18+I17+J17+K18+L17+M17+0.01</f>
        <v>14174.371800000001</v>
      </c>
      <c r="O17" s="1112">
        <v>1</v>
      </c>
      <c r="P17" s="1134"/>
      <c r="Q17" s="1134"/>
      <c r="R17" s="1134"/>
      <c r="S17" s="1134"/>
      <c r="T17" s="1134">
        <v>18</v>
      </c>
      <c r="U17" s="1138">
        <v>0.2</v>
      </c>
      <c r="V17" s="1112">
        <f>N17*U17*O17</f>
        <v>2834.8743600000003</v>
      </c>
      <c r="W17" s="1112"/>
      <c r="X17" s="1112">
        <f>(N17+V17)*O17</f>
        <v>17009.246160000002</v>
      </c>
      <c r="Y17" s="1112">
        <f>AB17</f>
        <v>2990.7538399999976</v>
      </c>
      <c r="Z17" s="1112">
        <f>X17+Y17</f>
        <v>20000</v>
      </c>
      <c r="AA17" s="1109">
        <f>20000*O17</f>
        <v>20000</v>
      </c>
      <c r="AB17" s="1109">
        <f>AA17-X17</f>
        <v>2990.7538399999976</v>
      </c>
      <c r="AC17" s="1112">
        <f>6500*O17</f>
        <v>6500</v>
      </c>
      <c r="AD17" s="1112"/>
      <c r="AE17" s="436">
        <f t="shared" si="0"/>
        <v>11026.575000000001</v>
      </c>
      <c r="AF17" s="436">
        <f t="shared" si="1"/>
        <v>0</v>
      </c>
      <c r="AG17" s="436">
        <f t="shared" si="2"/>
        <v>14174.371800000001</v>
      </c>
      <c r="AH17" s="436">
        <f t="shared" si="3"/>
        <v>0</v>
      </c>
      <c r="AI17" s="436">
        <f t="shared" si="4"/>
        <v>3147.7968000000001</v>
      </c>
      <c r="AJ17" s="436">
        <f t="shared" si="4"/>
        <v>0</v>
      </c>
      <c r="AK17" s="437">
        <f t="shared" si="5"/>
        <v>2834.8743600000003</v>
      </c>
      <c r="AL17" s="437">
        <f t="shared" si="6"/>
        <v>0</v>
      </c>
      <c r="AM17" s="437">
        <f t="shared" si="11"/>
        <v>0</v>
      </c>
      <c r="AN17" s="437">
        <f t="shared" si="7"/>
        <v>0</v>
      </c>
      <c r="AO17" s="437">
        <f t="shared" si="8"/>
        <v>0</v>
      </c>
      <c r="AP17" s="437">
        <f t="shared" si="9"/>
        <v>14174.371800000001</v>
      </c>
      <c r="AQ17" s="437">
        <f t="shared" si="9"/>
        <v>0</v>
      </c>
      <c r="AR17" s="436"/>
      <c r="AS17" s="437">
        <f t="shared" si="10"/>
        <v>14174.371800000001</v>
      </c>
      <c r="BC17" s="440"/>
    </row>
    <row r="18" spans="1:55" s="438" customFormat="1" ht="24.95" customHeight="1">
      <c r="A18" s="1134"/>
      <c r="B18" s="1134"/>
      <c r="C18" s="1139"/>
      <c r="D18" s="1134"/>
      <c r="E18" s="1134"/>
      <c r="F18" s="1134"/>
      <c r="G18" s="1112"/>
      <c r="H18" s="439">
        <f>2893*H17</f>
        <v>1298.9570000000001</v>
      </c>
      <c r="I18" s="1134"/>
      <c r="J18" s="1134"/>
      <c r="K18" s="439">
        <f>(G17+H18)*K17</f>
        <v>1848.8298</v>
      </c>
      <c r="L18" s="1134"/>
      <c r="M18" s="1134"/>
      <c r="N18" s="1112"/>
      <c r="O18" s="1165"/>
      <c r="P18" s="1134"/>
      <c r="Q18" s="1134"/>
      <c r="R18" s="1134"/>
      <c r="S18" s="1134"/>
      <c r="T18" s="1134"/>
      <c r="U18" s="1138"/>
      <c r="V18" s="1112"/>
      <c r="W18" s="1112"/>
      <c r="X18" s="1112"/>
      <c r="Y18" s="1112"/>
      <c r="Z18" s="1112"/>
      <c r="AA18" s="1109"/>
      <c r="AB18" s="1109"/>
      <c r="AC18" s="1112"/>
      <c r="AD18" s="1112"/>
      <c r="AE18" s="436">
        <f t="shared" si="0"/>
        <v>0</v>
      </c>
      <c r="AF18" s="436">
        <f t="shared" si="1"/>
        <v>0</v>
      </c>
      <c r="AG18" s="436">
        <f t="shared" si="2"/>
        <v>0</v>
      </c>
      <c r="AH18" s="436">
        <f t="shared" si="3"/>
        <v>0</v>
      </c>
      <c r="AI18" s="436">
        <f t="shared" si="4"/>
        <v>0</v>
      </c>
      <c r="AJ18" s="436">
        <f t="shared" si="4"/>
        <v>0</v>
      </c>
      <c r="AK18" s="437">
        <f t="shared" si="5"/>
        <v>0</v>
      </c>
      <c r="AL18" s="437">
        <f t="shared" si="6"/>
        <v>0</v>
      </c>
      <c r="AM18" s="437">
        <f t="shared" si="11"/>
        <v>0</v>
      </c>
      <c r="AN18" s="437">
        <f t="shared" si="7"/>
        <v>0</v>
      </c>
      <c r="AO18" s="437">
        <f t="shared" si="8"/>
        <v>0</v>
      </c>
      <c r="AP18" s="437">
        <f t="shared" si="9"/>
        <v>0</v>
      </c>
      <c r="AQ18" s="437">
        <f t="shared" si="9"/>
        <v>0</v>
      </c>
      <c r="AR18" s="436"/>
      <c r="AS18" s="437">
        <f t="shared" si="10"/>
        <v>0</v>
      </c>
      <c r="BC18" s="440"/>
    </row>
    <row r="19" spans="1:55" s="438" customFormat="1" ht="24.95" customHeight="1">
      <c r="A19" s="1134"/>
      <c r="B19" s="1134"/>
      <c r="C19" s="1139" t="s">
        <v>995</v>
      </c>
      <c r="D19" s="1134" t="s">
        <v>327</v>
      </c>
      <c r="E19" s="1134" t="s">
        <v>328</v>
      </c>
      <c r="F19" s="1134"/>
      <c r="G19" s="1112">
        <f>(G17*85%)</f>
        <v>9372.5887500000008</v>
      </c>
      <c r="H19" s="434">
        <v>0.44900000000000001</v>
      </c>
      <c r="I19" s="1134"/>
      <c r="J19" s="1134"/>
      <c r="K19" s="435">
        <v>0.15</v>
      </c>
      <c r="L19" s="1134"/>
      <c r="M19" s="1134"/>
      <c r="N19" s="1112">
        <f>G19+H20+I19+J19+K20+L19+M19-0.01</f>
        <v>12272.267612500002</v>
      </c>
      <c r="O19" s="1112">
        <v>1</v>
      </c>
      <c r="P19" s="1134"/>
      <c r="Q19" s="1134"/>
      <c r="R19" s="1134"/>
      <c r="S19" s="1134"/>
      <c r="T19" s="1166">
        <v>23</v>
      </c>
      <c r="U19" s="1138">
        <v>0.3</v>
      </c>
      <c r="V19" s="1112">
        <f>N19*U19</f>
        <v>3681.6802837500004</v>
      </c>
      <c r="W19" s="1112"/>
      <c r="X19" s="1112">
        <f>(N19+V19)*O19</f>
        <v>15953.947896250002</v>
      </c>
      <c r="Y19" s="1112">
        <f>AB19</f>
        <v>4046.0521037499984</v>
      </c>
      <c r="Z19" s="1112">
        <f>X19+Y19</f>
        <v>20000</v>
      </c>
      <c r="AA19" s="1109">
        <f>20000*O19</f>
        <v>20000</v>
      </c>
      <c r="AB19" s="1109">
        <f>AA19-X19</f>
        <v>4046.0521037499984</v>
      </c>
      <c r="AC19" s="1112">
        <f>6500*O19</f>
        <v>6500</v>
      </c>
      <c r="AD19" s="1112"/>
      <c r="AE19" s="436">
        <f>G19*O19</f>
        <v>9372.5887500000008</v>
      </c>
      <c r="AF19" s="436">
        <f>G19*P19</f>
        <v>0</v>
      </c>
      <c r="AG19" s="436">
        <f>N19*O19</f>
        <v>12272.267612500002</v>
      </c>
      <c r="AH19" s="436">
        <f>N19*P19</f>
        <v>0</v>
      </c>
      <c r="AI19" s="436">
        <f>AG19-AE19</f>
        <v>2899.6788625000008</v>
      </c>
      <c r="AJ19" s="436">
        <f>AH19-AF19</f>
        <v>0</v>
      </c>
      <c r="AK19" s="437">
        <f>V19*O19</f>
        <v>3681.6802837500004</v>
      </c>
      <c r="AL19" s="437">
        <f>V19*P19</f>
        <v>0</v>
      </c>
      <c r="AM19" s="437">
        <f>W19</f>
        <v>0</v>
      </c>
      <c r="AN19" s="437">
        <f>S19*O19</f>
        <v>0</v>
      </c>
      <c r="AO19" s="437">
        <f>S19*P19</f>
        <v>0</v>
      </c>
      <c r="AP19" s="437">
        <f>AG19</f>
        <v>12272.267612500002</v>
      </c>
      <c r="AQ19" s="437">
        <f>AH19</f>
        <v>0</v>
      </c>
      <c r="AR19" s="436"/>
      <c r="AS19" s="437">
        <f>AP19+AQ19-AR19</f>
        <v>12272.267612500002</v>
      </c>
    </row>
    <row r="20" spans="1:55" s="438" customFormat="1" ht="24.95" customHeight="1">
      <c r="A20" s="1134"/>
      <c r="B20" s="1134"/>
      <c r="C20" s="1139"/>
      <c r="D20" s="1134"/>
      <c r="E20" s="1134"/>
      <c r="F20" s="1134"/>
      <c r="G20" s="1112"/>
      <c r="H20" s="439">
        <f>2893*H19</f>
        <v>1298.9570000000001</v>
      </c>
      <c r="I20" s="1134"/>
      <c r="J20" s="1134"/>
      <c r="K20" s="439">
        <f>(G19+H20)*K19</f>
        <v>1600.7318625</v>
      </c>
      <c r="L20" s="1134"/>
      <c r="M20" s="1134"/>
      <c r="N20" s="1112"/>
      <c r="O20" s="1134"/>
      <c r="P20" s="1134"/>
      <c r="Q20" s="1134"/>
      <c r="R20" s="1134"/>
      <c r="S20" s="1134"/>
      <c r="T20" s="1166"/>
      <c r="U20" s="1138"/>
      <c r="V20" s="1112"/>
      <c r="W20" s="1112"/>
      <c r="X20" s="1112"/>
      <c r="Y20" s="1112"/>
      <c r="Z20" s="1112"/>
      <c r="AA20" s="1109"/>
      <c r="AB20" s="1109"/>
      <c r="AC20" s="1112"/>
      <c r="AD20" s="1112"/>
      <c r="AE20" s="436">
        <f>G20*O20</f>
        <v>0</v>
      </c>
      <c r="AF20" s="436">
        <f>G20*P20</f>
        <v>0</v>
      </c>
      <c r="AG20" s="436">
        <f>N20*O20</f>
        <v>0</v>
      </c>
      <c r="AH20" s="436">
        <f>N20*P20</f>
        <v>0</v>
      </c>
      <c r="AI20" s="436">
        <f>AG20-AE20</f>
        <v>0</v>
      </c>
      <c r="AJ20" s="436">
        <f>AH20-AF20</f>
        <v>0</v>
      </c>
      <c r="AK20" s="437">
        <f>V20*O20</f>
        <v>0</v>
      </c>
      <c r="AL20" s="437">
        <f>V20*P20</f>
        <v>0</v>
      </c>
      <c r="AM20" s="437">
        <f>W20</f>
        <v>0</v>
      </c>
      <c r="AN20" s="437">
        <f>S20*O20</f>
        <v>0</v>
      </c>
      <c r="AO20" s="437">
        <f>S20*P20</f>
        <v>0</v>
      </c>
      <c r="AP20" s="437">
        <f>AG20</f>
        <v>0</v>
      </c>
      <c r="AQ20" s="437">
        <f>AH20</f>
        <v>0</v>
      </c>
      <c r="AR20" s="436"/>
      <c r="AS20" s="437">
        <f>AP20+AQ20-AR20</f>
        <v>0</v>
      </c>
    </row>
    <row r="21" spans="1:55" s="438" customFormat="1" ht="24.95" customHeight="1">
      <c r="A21" s="1134"/>
      <c r="B21" s="1134"/>
      <c r="C21" s="1139" t="s">
        <v>996</v>
      </c>
      <c r="D21" s="1134" t="s">
        <v>314</v>
      </c>
      <c r="E21" s="1134" t="s">
        <v>1288</v>
      </c>
      <c r="F21" s="1134"/>
      <c r="G21" s="1112">
        <f>(G15*95%)</f>
        <v>11639.1625</v>
      </c>
      <c r="H21" s="1134"/>
      <c r="I21" s="1134"/>
      <c r="J21" s="1134"/>
      <c r="K21" s="435">
        <v>0.15</v>
      </c>
      <c r="L21" s="1134"/>
      <c r="M21" s="1134"/>
      <c r="N21" s="1112">
        <f>G21+H22+I21+J21+K22+L21+M21</f>
        <v>13385.036875</v>
      </c>
      <c r="O21" s="1112">
        <v>1</v>
      </c>
      <c r="P21" s="1134"/>
      <c r="Q21" s="1134"/>
      <c r="R21" s="1134"/>
      <c r="S21" s="1134"/>
      <c r="T21" s="1134"/>
      <c r="U21" s="1134"/>
      <c r="V21" s="1134"/>
      <c r="W21" s="1112"/>
      <c r="X21" s="1112">
        <f>(N21+V21)*O21</f>
        <v>13385.036875</v>
      </c>
      <c r="Y21" s="1112"/>
      <c r="Z21" s="1112">
        <f>X21+Y21</f>
        <v>13385.036875</v>
      </c>
      <c r="AA21" s="1109">
        <f>20000*O21</f>
        <v>20000</v>
      </c>
      <c r="AB21" s="1109">
        <f>AA21-X21</f>
        <v>6614.9631250000002</v>
      </c>
      <c r="AC21" s="1112">
        <f>6500*O21</f>
        <v>6500</v>
      </c>
      <c r="AD21" s="1112"/>
      <c r="AE21" s="436">
        <f t="shared" si="0"/>
        <v>11639.1625</v>
      </c>
      <c r="AF21" s="436">
        <f t="shared" si="1"/>
        <v>0</v>
      </c>
      <c r="AG21" s="436">
        <f t="shared" si="2"/>
        <v>13385.036875</v>
      </c>
      <c r="AH21" s="436">
        <f t="shared" si="3"/>
        <v>0</v>
      </c>
      <c r="AI21" s="436">
        <f t="shared" si="4"/>
        <v>1745.8743749999994</v>
      </c>
      <c r="AJ21" s="436">
        <f t="shared" si="4"/>
        <v>0</v>
      </c>
      <c r="AK21" s="437">
        <f t="shared" si="5"/>
        <v>0</v>
      </c>
      <c r="AL21" s="437">
        <f t="shared" si="6"/>
        <v>0</v>
      </c>
      <c r="AM21" s="437">
        <f t="shared" si="11"/>
        <v>0</v>
      </c>
      <c r="AN21" s="437">
        <f t="shared" si="7"/>
        <v>0</v>
      </c>
      <c r="AO21" s="437">
        <f t="shared" si="8"/>
        <v>0</v>
      </c>
      <c r="AP21" s="437">
        <f t="shared" si="9"/>
        <v>13385.036875</v>
      </c>
      <c r="AQ21" s="437">
        <f t="shared" si="9"/>
        <v>0</v>
      </c>
      <c r="AR21" s="436"/>
      <c r="AS21" s="437">
        <f t="shared" si="10"/>
        <v>13385.036875</v>
      </c>
    </row>
    <row r="22" spans="1:55" s="438" customFormat="1" ht="24.95" customHeight="1">
      <c r="A22" s="1134"/>
      <c r="B22" s="1134"/>
      <c r="C22" s="1139"/>
      <c r="D22" s="1134"/>
      <c r="E22" s="1134"/>
      <c r="F22" s="1134"/>
      <c r="G22" s="1112"/>
      <c r="H22" s="1134"/>
      <c r="I22" s="1134"/>
      <c r="J22" s="1134"/>
      <c r="K22" s="439">
        <f>G21*K21</f>
        <v>1745.8743750000001</v>
      </c>
      <c r="L22" s="1134"/>
      <c r="M22" s="1134"/>
      <c r="N22" s="1112"/>
      <c r="O22" s="1134"/>
      <c r="P22" s="1134"/>
      <c r="Q22" s="1134"/>
      <c r="R22" s="1134"/>
      <c r="S22" s="1134"/>
      <c r="T22" s="1134"/>
      <c r="U22" s="1134"/>
      <c r="V22" s="1134"/>
      <c r="W22" s="1112"/>
      <c r="X22" s="1112"/>
      <c r="Y22" s="1112"/>
      <c r="Z22" s="1112"/>
      <c r="AA22" s="1109"/>
      <c r="AB22" s="1109"/>
      <c r="AC22" s="1112"/>
      <c r="AD22" s="1112"/>
      <c r="AE22" s="436">
        <f t="shared" si="0"/>
        <v>0</v>
      </c>
      <c r="AF22" s="436">
        <f t="shared" si="1"/>
        <v>0</v>
      </c>
      <c r="AG22" s="436">
        <f t="shared" si="2"/>
        <v>0</v>
      </c>
      <c r="AH22" s="436">
        <f t="shared" si="3"/>
        <v>0</v>
      </c>
      <c r="AI22" s="436">
        <f t="shared" si="4"/>
        <v>0</v>
      </c>
      <c r="AJ22" s="436">
        <f t="shared" si="4"/>
        <v>0</v>
      </c>
      <c r="AK22" s="437">
        <f t="shared" si="5"/>
        <v>0</v>
      </c>
      <c r="AL22" s="437">
        <f t="shared" si="6"/>
        <v>0</v>
      </c>
      <c r="AM22" s="437">
        <f t="shared" si="11"/>
        <v>0</v>
      </c>
      <c r="AN22" s="437">
        <f t="shared" si="7"/>
        <v>0</v>
      </c>
      <c r="AO22" s="437">
        <f t="shared" si="8"/>
        <v>0</v>
      </c>
      <c r="AP22" s="437">
        <f t="shared" si="9"/>
        <v>0</v>
      </c>
      <c r="AQ22" s="437">
        <f t="shared" si="9"/>
        <v>0</v>
      </c>
      <c r="AR22" s="436"/>
      <c r="AS22" s="437">
        <f t="shared" si="10"/>
        <v>0</v>
      </c>
    </row>
    <row r="23" spans="1:55" s="446" customFormat="1" ht="24.95" customHeight="1">
      <c r="A23" s="441"/>
      <c r="B23" s="441"/>
      <c r="C23" s="442" t="s">
        <v>318</v>
      </c>
      <c r="D23" s="443"/>
      <c r="E23" s="441"/>
      <c r="F23" s="441"/>
      <c r="G23" s="444">
        <f>SUM(G15:G22)</f>
        <v>44290.076249999998</v>
      </c>
      <c r="H23" s="444">
        <f t="shared" ref="H23:X23" si="12">SUM(H15:H22)</f>
        <v>3898.2180000000008</v>
      </c>
      <c r="I23" s="445">
        <f>I14</f>
        <v>3500.5</v>
      </c>
      <c r="J23" s="444"/>
      <c r="K23" s="444">
        <f t="shared" si="12"/>
        <v>7228.6420875000003</v>
      </c>
      <c r="L23" s="444">
        <f t="shared" si="12"/>
        <v>0</v>
      </c>
      <c r="M23" s="444">
        <f t="shared" si="12"/>
        <v>0</v>
      </c>
      <c r="N23" s="444">
        <f t="shared" si="12"/>
        <v>55414.989337500003</v>
      </c>
      <c r="O23" s="444">
        <f>SUM(O15:O22)</f>
        <v>4</v>
      </c>
      <c r="P23" s="444">
        <f t="shared" si="12"/>
        <v>0</v>
      </c>
      <c r="Q23" s="444">
        <f t="shared" si="12"/>
        <v>0</v>
      </c>
      <c r="R23" s="444">
        <f t="shared" si="12"/>
        <v>0</v>
      </c>
      <c r="S23" s="444">
        <f t="shared" si="12"/>
        <v>0</v>
      </c>
      <c r="T23" s="444"/>
      <c r="U23" s="444"/>
      <c r="V23" s="444">
        <f t="shared" si="12"/>
        <v>11191.548558750001</v>
      </c>
      <c r="W23" s="444">
        <f t="shared" si="12"/>
        <v>0</v>
      </c>
      <c r="X23" s="444">
        <f t="shared" si="12"/>
        <v>66606.537896250011</v>
      </c>
      <c r="Y23" s="444">
        <f>SUM(Y15:Y22)</f>
        <v>7036.805943749996</v>
      </c>
      <c r="Z23" s="444">
        <f>SUM(Z15:Z22)</f>
        <v>73643.343840000001</v>
      </c>
      <c r="AA23" s="499">
        <f>SUM(AA15:AA22)</f>
        <v>80000</v>
      </c>
      <c r="AB23" s="499">
        <f>SUM(AB15:AB22)</f>
        <v>13393.462103749996</v>
      </c>
      <c r="AC23" s="444">
        <f>SUM(AC15:AC18)</f>
        <v>13000</v>
      </c>
      <c r="AD23" s="444">
        <f>SUM(AD15:AD18)</f>
        <v>0</v>
      </c>
      <c r="AE23" s="436"/>
      <c r="AF23" s="436"/>
      <c r="AG23" s="436"/>
      <c r="AH23" s="436"/>
      <c r="AI23" s="436"/>
      <c r="AJ23" s="436"/>
      <c r="AK23" s="437"/>
      <c r="AL23" s="437"/>
      <c r="AM23" s="437"/>
      <c r="AN23" s="437"/>
      <c r="AO23" s="437"/>
      <c r="AP23" s="437">
        <f t="shared" si="9"/>
        <v>0</v>
      </c>
      <c r="AQ23" s="437">
        <f t="shared" si="9"/>
        <v>0</v>
      </c>
      <c r="AR23" s="436"/>
      <c r="AS23" s="437">
        <f t="shared" si="10"/>
        <v>0</v>
      </c>
    </row>
    <row r="24" spans="1:55" s="446" customFormat="1" ht="24.95" customHeight="1">
      <c r="A24" s="441"/>
      <c r="B24" s="441"/>
      <c r="C24" s="1146" t="s">
        <v>319</v>
      </c>
      <c r="D24" s="1146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500"/>
      <c r="AB24" s="500"/>
      <c r="AC24" s="447"/>
      <c r="AD24" s="447"/>
      <c r="AE24" s="436">
        <f t="shared" ref="AE24:AE66" si="13">G24*O24</f>
        <v>0</v>
      </c>
      <c r="AF24" s="436">
        <f t="shared" ref="AF24:AF66" si="14">G24*P24</f>
        <v>0</v>
      </c>
      <c r="AG24" s="436">
        <f t="shared" ref="AG24:AG66" si="15">N24*O24</f>
        <v>0</v>
      </c>
      <c r="AH24" s="436">
        <f t="shared" ref="AH24:AH66" si="16">N24*P24</f>
        <v>0</v>
      </c>
      <c r="AI24" s="436">
        <f t="shared" ref="AI24:AJ66" si="17">AG24-AE24</f>
        <v>0</v>
      </c>
      <c r="AJ24" s="436">
        <f t="shared" si="17"/>
        <v>0</v>
      </c>
      <c r="AK24" s="437">
        <f t="shared" ref="AK24:AK66" si="18">V24*O24</f>
        <v>0</v>
      </c>
      <c r="AL24" s="437">
        <f t="shared" ref="AL24:AL66" si="19">V24*P24</f>
        <v>0</v>
      </c>
      <c r="AM24" s="437">
        <f t="shared" ref="AM24:AM66" si="20">W24</f>
        <v>0</v>
      </c>
      <c r="AN24" s="437">
        <f t="shared" ref="AN24:AN66" si="21">S24*O24</f>
        <v>0</v>
      </c>
      <c r="AO24" s="437">
        <f t="shared" ref="AO24:AO66" si="22">S24*P24</f>
        <v>0</v>
      </c>
      <c r="AP24" s="437">
        <f t="shared" si="9"/>
        <v>0</v>
      </c>
      <c r="AQ24" s="437">
        <f t="shared" si="9"/>
        <v>0</v>
      </c>
      <c r="AR24" s="436"/>
      <c r="AS24" s="437">
        <f t="shared" si="10"/>
        <v>0</v>
      </c>
    </row>
    <row r="25" spans="1:55" s="438" customFormat="1" ht="24.95" customHeight="1">
      <c r="A25" s="1134"/>
      <c r="B25" s="1134"/>
      <c r="C25" s="1139" t="s">
        <v>322</v>
      </c>
      <c r="D25" s="1134" t="s">
        <v>323</v>
      </c>
      <c r="E25" s="1134" t="s">
        <v>324</v>
      </c>
      <c r="F25" s="1134">
        <v>12</v>
      </c>
      <c r="G25" s="1112">
        <v>6133</v>
      </c>
      <c r="H25" s="1112"/>
      <c r="I25" s="435">
        <v>0.1</v>
      </c>
      <c r="J25" s="1112"/>
      <c r="K25" s="1112"/>
      <c r="L25" s="1112"/>
      <c r="M25" s="1112"/>
      <c r="N25" s="1112">
        <f>G25+I26+L26</f>
        <v>6746.3</v>
      </c>
      <c r="O25" s="1112">
        <v>0.25</v>
      </c>
      <c r="P25" s="1112"/>
      <c r="Q25" s="1112"/>
      <c r="R25" s="1112"/>
      <c r="S25" s="1112"/>
      <c r="T25" s="1145">
        <v>16</v>
      </c>
      <c r="U25" s="1138">
        <v>0.2</v>
      </c>
      <c r="V25" s="1140">
        <f>N25*U25</f>
        <v>1349.2600000000002</v>
      </c>
      <c r="W25" s="1112"/>
      <c r="X25" s="1112">
        <f>(N25+V25)*O25</f>
        <v>2023.89</v>
      </c>
      <c r="Y25" s="1112">
        <f>AB25</f>
        <v>2976.1099999999997</v>
      </c>
      <c r="Z25" s="1112">
        <f>X25+Y25</f>
        <v>5000</v>
      </c>
      <c r="AA25" s="1109">
        <f>20000*O25</f>
        <v>5000</v>
      </c>
      <c r="AB25" s="1109">
        <f>AA25-X25</f>
        <v>2976.1099999999997</v>
      </c>
      <c r="AC25" s="1112">
        <f>6500*O25</f>
        <v>1625</v>
      </c>
      <c r="AD25" s="1112">
        <f>X25-AC25</f>
        <v>398.8900000000001</v>
      </c>
      <c r="AE25" s="436">
        <f t="shared" si="13"/>
        <v>1533.25</v>
      </c>
      <c r="AF25" s="436">
        <f t="shared" si="14"/>
        <v>0</v>
      </c>
      <c r="AG25" s="436">
        <f t="shared" si="15"/>
        <v>1686.575</v>
      </c>
      <c r="AH25" s="436">
        <f t="shared" si="16"/>
        <v>0</v>
      </c>
      <c r="AI25" s="436">
        <f t="shared" si="17"/>
        <v>153.32500000000005</v>
      </c>
      <c r="AJ25" s="436">
        <f t="shared" si="17"/>
        <v>0</v>
      </c>
      <c r="AK25" s="437">
        <f t="shared" si="18"/>
        <v>337.31500000000005</v>
      </c>
      <c r="AL25" s="437">
        <f t="shared" si="19"/>
        <v>0</v>
      </c>
      <c r="AM25" s="437">
        <f t="shared" si="20"/>
        <v>0</v>
      </c>
      <c r="AN25" s="437">
        <f t="shared" si="21"/>
        <v>0</v>
      </c>
      <c r="AO25" s="437">
        <f t="shared" si="22"/>
        <v>0</v>
      </c>
      <c r="AP25" s="437">
        <f t="shared" si="9"/>
        <v>1686.575</v>
      </c>
      <c r="AQ25" s="437">
        <f t="shared" si="9"/>
        <v>0</v>
      </c>
      <c r="AR25" s="436"/>
      <c r="AS25" s="437">
        <f t="shared" si="10"/>
        <v>1686.575</v>
      </c>
    </row>
    <row r="26" spans="1:55" s="438" customFormat="1" ht="24.95" customHeight="1">
      <c r="A26" s="1134"/>
      <c r="B26" s="1134"/>
      <c r="C26" s="1139"/>
      <c r="D26" s="1134"/>
      <c r="E26" s="1134"/>
      <c r="F26" s="1134"/>
      <c r="G26" s="1112"/>
      <c r="H26" s="1112"/>
      <c r="I26" s="448">
        <f>G25*I25</f>
        <v>613.30000000000007</v>
      </c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38"/>
      <c r="V26" s="1140"/>
      <c r="W26" s="1112"/>
      <c r="X26" s="1112"/>
      <c r="Y26" s="1112"/>
      <c r="Z26" s="1112"/>
      <c r="AA26" s="1109"/>
      <c r="AB26" s="1109"/>
      <c r="AC26" s="1112"/>
      <c r="AD26" s="1112"/>
      <c r="AE26" s="436">
        <f t="shared" si="13"/>
        <v>0</v>
      </c>
      <c r="AF26" s="436">
        <f t="shared" si="14"/>
        <v>0</v>
      </c>
      <c r="AG26" s="436">
        <f t="shared" si="15"/>
        <v>0</v>
      </c>
      <c r="AH26" s="436">
        <f t="shared" si="16"/>
        <v>0</v>
      </c>
      <c r="AI26" s="436">
        <f t="shared" si="17"/>
        <v>0</v>
      </c>
      <c r="AJ26" s="436">
        <f t="shared" si="17"/>
        <v>0</v>
      </c>
      <c r="AK26" s="437">
        <f t="shared" si="18"/>
        <v>0</v>
      </c>
      <c r="AL26" s="437">
        <f t="shared" si="19"/>
        <v>0</v>
      </c>
      <c r="AM26" s="437">
        <f t="shared" si="20"/>
        <v>0</v>
      </c>
      <c r="AN26" s="437">
        <f t="shared" si="21"/>
        <v>0</v>
      </c>
      <c r="AO26" s="437">
        <f t="shared" si="22"/>
        <v>0</v>
      </c>
      <c r="AP26" s="437">
        <f t="shared" si="9"/>
        <v>0</v>
      </c>
      <c r="AQ26" s="437">
        <f t="shared" si="9"/>
        <v>0</v>
      </c>
      <c r="AR26" s="436"/>
      <c r="AS26" s="437">
        <f t="shared" si="10"/>
        <v>0</v>
      </c>
    </row>
    <row r="27" spans="1:55" s="438" customFormat="1" ht="24.95" customHeight="1">
      <c r="A27" s="1134"/>
      <c r="B27" s="1134"/>
      <c r="C27" s="1139" t="s">
        <v>322</v>
      </c>
      <c r="D27" s="1134" t="s">
        <v>323</v>
      </c>
      <c r="E27" s="1134" t="s">
        <v>324</v>
      </c>
      <c r="F27" s="1134">
        <v>12</v>
      </c>
      <c r="G27" s="1112">
        <v>6133</v>
      </c>
      <c r="H27" s="1112"/>
      <c r="I27" s="435">
        <v>0.1</v>
      </c>
      <c r="J27" s="1112"/>
      <c r="K27" s="1112"/>
      <c r="L27" s="1112"/>
      <c r="M27" s="1112"/>
      <c r="N27" s="1112">
        <f>G27+I28+L28</f>
        <v>6746.3</v>
      </c>
      <c r="O27" s="1112"/>
      <c r="P27" s="1112">
        <v>0.5</v>
      </c>
      <c r="Q27" s="1112"/>
      <c r="R27" s="1112"/>
      <c r="S27" s="1112"/>
      <c r="T27" s="1145">
        <v>16</v>
      </c>
      <c r="U27" s="1138">
        <v>0.2</v>
      </c>
      <c r="V27" s="1140">
        <f>N27*U27</f>
        <v>1349.2600000000002</v>
      </c>
      <c r="W27" s="1112"/>
      <c r="X27" s="1112">
        <f>(N27+V27)*P27</f>
        <v>4047.78</v>
      </c>
      <c r="Y27" s="1112">
        <f>AB27</f>
        <v>5952.2199999999993</v>
      </c>
      <c r="Z27" s="1112">
        <f>X27+Y27</f>
        <v>10000</v>
      </c>
      <c r="AA27" s="1109">
        <f>20000*P27</f>
        <v>10000</v>
      </c>
      <c r="AB27" s="1109">
        <f>AA27-X27</f>
        <v>5952.2199999999993</v>
      </c>
      <c r="AC27" s="1112">
        <f>6500*P27</f>
        <v>3250</v>
      </c>
      <c r="AD27" s="1112">
        <f>X27-AC27</f>
        <v>797.7800000000002</v>
      </c>
      <c r="AE27" s="436">
        <f t="shared" si="13"/>
        <v>0</v>
      </c>
      <c r="AF27" s="436">
        <f t="shared" si="14"/>
        <v>3066.5</v>
      </c>
      <c r="AG27" s="436">
        <f t="shared" si="15"/>
        <v>0</v>
      </c>
      <c r="AH27" s="436">
        <f t="shared" si="16"/>
        <v>3373.15</v>
      </c>
      <c r="AI27" s="436">
        <f t="shared" si="17"/>
        <v>0</v>
      </c>
      <c r="AJ27" s="436">
        <f t="shared" si="17"/>
        <v>306.65000000000009</v>
      </c>
      <c r="AK27" s="437">
        <f t="shared" si="18"/>
        <v>0</v>
      </c>
      <c r="AL27" s="437">
        <f t="shared" si="19"/>
        <v>674.63000000000011</v>
      </c>
      <c r="AM27" s="437">
        <f t="shared" si="20"/>
        <v>0</v>
      </c>
      <c r="AN27" s="437">
        <f t="shared" si="21"/>
        <v>0</v>
      </c>
      <c r="AO27" s="437">
        <f t="shared" si="22"/>
        <v>0</v>
      </c>
      <c r="AP27" s="437">
        <f t="shared" si="9"/>
        <v>0</v>
      </c>
      <c r="AQ27" s="437">
        <f t="shared" si="9"/>
        <v>3373.15</v>
      </c>
      <c r="AR27" s="436"/>
      <c r="AS27" s="437">
        <f t="shared" si="10"/>
        <v>3373.15</v>
      </c>
    </row>
    <row r="28" spans="1:55" s="438" customFormat="1" ht="24.95" customHeight="1">
      <c r="A28" s="1134"/>
      <c r="B28" s="1134"/>
      <c r="C28" s="1139"/>
      <c r="D28" s="1134"/>
      <c r="E28" s="1134"/>
      <c r="F28" s="1134"/>
      <c r="G28" s="1112"/>
      <c r="H28" s="1112"/>
      <c r="I28" s="448">
        <f>G27*I27</f>
        <v>613.30000000000007</v>
      </c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38"/>
      <c r="V28" s="1140"/>
      <c r="W28" s="1112"/>
      <c r="X28" s="1112"/>
      <c r="Y28" s="1112"/>
      <c r="Z28" s="1112"/>
      <c r="AA28" s="1109"/>
      <c r="AB28" s="1109"/>
      <c r="AC28" s="1112"/>
      <c r="AD28" s="1112"/>
      <c r="AE28" s="436">
        <f t="shared" si="13"/>
        <v>0</v>
      </c>
      <c r="AF28" s="436">
        <f t="shared" si="14"/>
        <v>0</v>
      </c>
      <c r="AG28" s="436">
        <f t="shared" si="15"/>
        <v>0</v>
      </c>
      <c r="AH28" s="436">
        <f t="shared" si="16"/>
        <v>0</v>
      </c>
      <c r="AI28" s="436">
        <f t="shared" si="17"/>
        <v>0</v>
      </c>
      <c r="AJ28" s="436">
        <f t="shared" si="17"/>
        <v>0</v>
      </c>
      <c r="AK28" s="437">
        <f t="shared" si="18"/>
        <v>0</v>
      </c>
      <c r="AL28" s="437">
        <f t="shared" si="19"/>
        <v>0</v>
      </c>
      <c r="AM28" s="437">
        <f t="shared" si="20"/>
        <v>0</v>
      </c>
      <c r="AN28" s="437">
        <f t="shared" si="21"/>
        <v>0</v>
      </c>
      <c r="AO28" s="437">
        <f t="shared" si="22"/>
        <v>0</v>
      </c>
      <c r="AP28" s="437">
        <f t="shared" si="9"/>
        <v>0</v>
      </c>
      <c r="AQ28" s="437">
        <f t="shared" si="9"/>
        <v>0</v>
      </c>
      <c r="AR28" s="436"/>
      <c r="AS28" s="437">
        <f t="shared" si="10"/>
        <v>0</v>
      </c>
    </row>
    <row r="29" spans="1:55" s="438" customFormat="1" ht="24.95" customHeight="1">
      <c r="A29" s="1134"/>
      <c r="B29" s="1134"/>
      <c r="C29" s="1139" t="s">
        <v>322</v>
      </c>
      <c r="D29" s="1134" t="s">
        <v>997</v>
      </c>
      <c r="E29" s="1134" t="s">
        <v>998</v>
      </c>
      <c r="F29" s="1134">
        <v>14</v>
      </c>
      <c r="G29" s="1112">
        <v>7001</v>
      </c>
      <c r="H29" s="1112"/>
      <c r="I29" s="435">
        <v>0.1</v>
      </c>
      <c r="J29" s="1112"/>
      <c r="K29" s="1112"/>
      <c r="L29" s="1112"/>
      <c r="M29" s="1112"/>
      <c r="N29" s="1112">
        <f>G29+I30+L30</f>
        <v>7701.1</v>
      </c>
      <c r="O29" s="1112">
        <v>1</v>
      </c>
      <c r="P29" s="1112"/>
      <c r="Q29" s="1112"/>
      <c r="R29" s="1112"/>
      <c r="S29" s="1112"/>
      <c r="T29" s="1145">
        <v>13</v>
      </c>
      <c r="U29" s="1138">
        <v>0.2</v>
      </c>
      <c r="V29" s="1112">
        <f>N29*U29</f>
        <v>1540.2200000000003</v>
      </c>
      <c r="W29" s="1112"/>
      <c r="X29" s="1112">
        <f>(N29+V29)*O29</f>
        <v>9241.32</v>
      </c>
      <c r="Y29" s="1112">
        <f>AB29</f>
        <v>10758.68</v>
      </c>
      <c r="Z29" s="1112">
        <f>X29+Y29</f>
        <v>20000</v>
      </c>
      <c r="AA29" s="1109">
        <f>20000*O29</f>
        <v>20000</v>
      </c>
      <c r="AB29" s="1109">
        <f>AA29-X29</f>
        <v>10758.68</v>
      </c>
      <c r="AC29" s="1112">
        <f>6500*O29</f>
        <v>6500</v>
      </c>
      <c r="AD29" s="1112">
        <f>X29-AC29</f>
        <v>2741.3199999999997</v>
      </c>
      <c r="AE29" s="436">
        <f t="shared" si="13"/>
        <v>7001</v>
      </c>
      <c r="AF29" s="436">
        <f t="shared" si="14"/>
        <v>0</v>
      </c>
      <c r="AG29" s="436">
        <f t="shared" si="15"/>
        <v>7701.1</v>
      </c>
      <c r="AH29" s="436">
        <f t="shared" si="16"/>
        <v>0</v>
      </c>
      <c r="AI29" s="436">
        <f t="shared" si="17"/>
        <v>700.10000000000036</v>
      </c>
      <c r="AJ29" s="436">
        <f t="shared" si="17"/>
        <v>0</v>
      </c>
      <c r="AK29" s="437">
        <f t="shared" si="18"/>
        <v>1540.2200000000003</v>
      </c>
      <c r="AL29" s="437">
        <f t="shared" si="19"/>
        <v>0</v>
      </c>
      <c r="AM29" s="437">
        <f t="shared" si="20"/>
        <v>0</v>
      </c>
      <c r="AN29" s="437">
        <f t="shared" si="21"/>
        <v>0</v>
      </c>
      <c r="AO29" s="437">
        <f t="shared" si="22"/>
        <v>0</v>
      </c>
      <c r="AP29" s="437">
        <f t="shared" si="9"/>
        <v>7701.1</v>
      </c>
      <c r="AQ29" s="437">
        <f t="shared" si="9"/>
        <v>0</v>
      </c>
      <c r="AR29" s="436"/>
      <c r="AS29" s="437">
        <f t="shared" si="10"/>
        <v>7701.1</v>
      </c>
    </row>
    <row r="30" spans="1:55" s="438" customFormat="1" ht="24.95" customHeight="1">
      <c r="A30" s="1134"/>
      <c r="B30" s="1134"/>
      <c r="C30" s="1139"/>
      <c r="D30" s="1134"/>
      <c r="E30" s="1134"/>
      <c r="F30" s="1134"/>
      <c r="G30" s="1112"/>
      <c r="H30" s="1112"/>
      <c r="I30" s="448">
        <f>G29*I29</f>
        <v>700.1</v>
      </c>
      <c r="J30" s="1112"/>
      <c r="K30" s="1112"/>
      <c r="L30" s="1112"/>
      <c r="M30" s="1112"/>
      <c r="N30" s="1112"/>
      <c r="O30" s="1112"/>
      <c r="P30" s="1112"/>
      <c r="Q30" s="1112"/>
      <c r="R30" s="1112"/>
      <c r="S30" s="1112"/>
      <c r="T30" s="1112"/>
      <c r="U30" s="1138"/>
      <c r="V30" s="1140"/>
      <c r="W30" s="1112"/>
      <c r="X30" s="1112"/>
      <c r="Y30" s="1112"/>
      <c r="Z30" s="1112"/>
      <c r="AA30" s="1109"/>
      <c r="AB30" s="1109"/>
      <c r="AC30" s="1112"/>
      <c r="AD30" s="1112"/>
      <c r="AE30" s="436">
        <f t="shared" si="13"/>
        <v>0</v>
      </c>
      <c r="AF30" s="436">
        <f t="shared" si="14"/>
        <v>0</v>
      </c>
      <c r="AG30" s="436">
        <f t="shared" si="15"/>
        <v>0</v>
      </c>
      <c r="AH30" s="436">
        <f t="shared" si="16"/>
        <v>0</v>
      </c>
      <c r="AI30" s="436">
        <f t="shared" si="17"/>
        <v>0</v>
      </c>
      <c r="AJ30" s="436">
        <f t="shared" si="17"/>
        <v>0</v>
      </c>
      <c r="AK30" s="437">
        <f t="shared" si="18"/>
        <v>0</v>
      </c>
      <c r="AL30" s="437">
        <f t="shared" si="19"/>
        <v>0</v>
      </c>
      <c r="AM30" s="437">
        <f t="shared" si="20"/>
        <v>0</v>
      </c>
      <c r="AN30" s="437">
        <f t="shared" si="21"/>
        <v>0</v>
      </c>
      <c r="AO30" s="437">
        <f t="shared" si="22"/>
        <v>0</v>
      </c>
      <c r="AP30" s="437">
        <f t="shared" si="9"/>
        <v>0</v>
      </c>
      <c r="AQ30" s="437">
        <f t="shared" si="9"/>
        <v>0</v>
      </c>
      <c r="AR30" s="436"/>
      <c r="AS30" s="437">
        <f t="shared" si="10"/>
        <v>0</v>
      </c>
    </row>
    <row r="31" spans="1:55" s="438" customFormat="1" ht="24.95" customHeight="1">
      <c r="A31" s="1134"/>
      <c r="B31" s="1134"/>
      <c r="C31" s="1139" t="s">
        <v>326</v>
      </c>
      <c r="D31" s="1134" t="s">
        <v>327</v>
      </c>
      <c r="E31" s="1134" t="s">
        <v>328</v>
      </c>
      <c r="F31" s="1134">
        <v>13</v>
      </c>
      <c r="G31" s="1112">
        <v>6567</v>
      </c>
      <c r="H31" s="1134"/>
      <c r="I31" s="1134"/>
      <c r="J31" s="1134"/>
      <c r="K31" s="1134"/>
      <c r="L31" s="435">
        <v>0.15</v>
      </c>
      <c r="M31" s="1138"/>
      <c r="N31" s="1112">
        <f>G31+I32+L32</f>
        <v>7552.05</v>
      </c>
      <c r="O31" s="1112"/>
      <c r="P31" s="1112">
        <v>0.25</v>
      </c>
      <c r="Q31" s="1166"/>
      <c r="R31" s="1138"/>
      <c r="S31" s="1166"/>
      <c r="T31" s="1166">
        <v>23</v>
      </c>
      <c r="U31" s="1138">
        <v>0.3</v>
      </c>
      <c r="V31" s="1112">
        <f>N31*U31</f>
        <v>2265.6149999999998</v>
      </c>
      <c r="W31" s="1112"/>
      <c r="X31" s="1112">
        <f>(N31+V31)*P31</f>
        <v>2454.4162500000002</v>
      </c>
      <c r="Y31" s="1112">
        <f>AB31</f>
        <v>2545.5837499999998</v>
      </c>
      <c r="Z31" s="1112">
        <f>X31+Y31</f>
        <v>5000</v>
      </c>
      <c r="AA31" s="1109">
        <f>20000*P31</f>
        <v>5000</v>
      </c>
      <c r="AB31" s="1109">
        <f>AA31-X31</f>
        <v>2545.5837499999998</v>
      </c>
      <c r="AC31" s="1112">
        <f>6500*P31</f>
        <v>1625</v>
      </c>
      <c r="AD31" s="1112">
        <f>X31-AC31</f>
        <v>829.41625000000022</v>
      </c>
      <c r="AE31" s="436">
        <f t="shared" si="13"/>
        <v>0</v>
      </c>
      <c r="AF31" s="436">
        <f t="shared" si="14"/>
        <v>1641.75</v>
      </c>
      <c r="AG31" s="436">
        <f t="shared" si="15"/>
        <v>0</v>
      </c>
      <c r="AH31" s="436">
        <f t="shared" si="16"/>
        <v>1888.0125</v>
      </c>
      <c r="AI31" s="436">
        <f t="shared" si="17"/>
        <v>0</v>
      </c>
      <c r="AJ31" s="436">
        <f t="shared" si="17"/>
        <v>246.26250000000005</v>
      </c>
      <c r="AK31" s="437">
        <f t="shared" si="18"/>
        <v>0</v>
      </c>
      <c r="AL31" s="437">
        <f t="shared" si="19"/>
        <v>566.40374999999995</v>
      </c>
      <c r="AM31" s="437">
        <f t="shared" si="20"/>
        <v>0</v>
      </c>
      <c r="AN31" s="437">
        <f t="shared" si="21"/>
        <v>0</v>
      </c>
      <c r="AO31" s="437">
        <f t="shared" si="22"/>
        <v>0</v>
      </c>
      <c r="AP31" s="437">
        <f t="shared" si="9"/>
        <v>0</v>
      </c>
      <c r="AQ31" s="437">
        <f t="shared" si="9"/>
        <v>1888.0125</v>
      </c>
      <c r="AR31" s="436"/>
      <c r="AS31" s="437">
        <f t="shared" si="10"/>
        <v>1888.0125</v>
      </c>
    </row>
    <row r="32" spans="1:55" s="438" customFormat="1" ht="24.95" customHeight="1">
      <c r="A32" s="1134"/>
      <c r="B32" s="1134"/>
      <c r="C32" s="1139"/>
      <c r="D32" s="1134"/>
      <c r="E32" s="1134"/>
      <c r="F32" s="1134"/>
      <c r="G32" s="1112"/>
      <c r="H32" s="1134"/>
      <c r="I32" s="1134"/>
      <c r="J32" s="1134"/>
      <c r="K32" s="1134"/>
      <c r="L32" s="449">
        <f>G31*L31</f>
        <v>985.05</v>
      </c>
      <c r="M32" s="1134"/>
      <c r="N32" s="1112"/>
      <c r="O32" s="1112"/>
      <c r="P32" s="1112"/>
      <c r="Q32" s="1166"/>
      <c r="R32" s="1134"/>
      <c r="S32" s="1166"/>
      <c r="T32" s="1166"/>
      <c r="U32" s="1138"/>
      <c r="V32" s="1112"/>
      <c r="W32" s="1112"/>
      <c r="X32" s="1112"/>
      <c r="Y32" s="1112"/>
      <c r="Z32" s="1112"/>
      <c r="AA32" s="1109"/>
      <c r="AB32" s="1109"/>
      <c r="AC32" s="1112"/>
      <c r="AD32" s="1112"/>
      <c r="AE32" s="436">
        <f t="shared" si="13"/>
        <v>0</v>
      </c>
      <c r="AF32" s="436">
        <f t="shared" si="14"/>
        <v>0</v>
      </c>
      <c r="AG32" s="436">
        <f t="shared" si="15"/>
        <v>0</v>
      </c>
      <c r="AH32" s="436">
        <f t="shared" si="16"/>
        <v>0</v>
      </c>
      <c r="AI32" s="436">
        <f t="shared" si="17"/>
        <v>0</v>
      </c>
      <c r="AJ32" s="436">
        <f t="shared" si="17"/>
        <v>0</v>
      </c>
      <c r="AK32" s="437">
        <f t="shared" si="18"/>
        <v>0</v>
      </c>
      <c r="AL32" s="437">
        <f t="shared" si="19"/>
        <v>0</v>
      </c>
      <c r="AM32" s="437">
        <f t="shared" si="20"/>
        <v>0</v>
      </c>
      <c r="AN32" s="437">
        <f t="shared" si="21"/>
        <v>0</v>
      </c>
      <c r="AO32" s="437">
        <f t="shared" si="22"/>
        <v>0</v>
      </c>
      <c r="AP32" s="437">
        <f t="shared" si="9"/>
        <v>0</v>
      </c>
      <c r="AQ32" s="437">
        <f t="shared" si="9"/>
        <v>0</v>
      </c>
      <c r="AR32" s="436"/>
      <c r="AS32" s="437">
        <f t="shared" si="10"/>
        <v>0</v>
      </c>
    </row>
    <row r="33" spans="1:45" s="438" customFormat="1" ht="24.95" customHeight="1">
      <c r="A33" s="1134"/>
      <c r="B33" s="1134"/>
      <c r="C33" s="1139" t="s">
        <v>999</v>
      </c>
      <c r="D33" s="1134" t="s">
        <v>1000</v>
      </c>
      <c r="E33" s="1134" t="s">
        <v>1001</v>
      </c>
      <c r="F33" s="1134">
        <v>13</v>
      </c>
      <c r="G33" s="1112">
        <v>6567</v>
      </c>
      <c r="H33" s="1134"/>
      <c r="I33" s="1134"/>
      <c r="J33" s="1134"/>
      <c r="K33" s="1134"/>
      <c r="L33" s="435">
        <v>0.15</v>
      </c>
      <c r="M33" s="1138"/>
      <c r="N33" s="1112">
        <f>G33+I34+L34</f>
        <v>7552.05</v>
      </c>
      <c r="O33" s="1112"/>
      <c r="P33" s="1112">
        <v>0.25</v>
      </c>
      <c r="Q33" s="1166"/>
      <c r="R33" s="1138"/>
      <c r="S33" s="1166"/>
      <c r="T33" s="1166">
        <v>38</v>
      </c>
      <c r="U33" s="1138">
        <v>0.3</v>
      </c>
      <c r="V33" s="1112">
        <f>N33*U33</f>
        <v>2265.6149999999998</v>
      </c>
      <c r="W33" s="1112"/>
      <c r="X33" s="1112">
        <f>(N33+V33)*P33</f>
        <v>2454.4162500000002</v>
      </c>
      <c r="Y33" s="1112">
        <f>AB33</f>
        <v>2545.5837499999998</v>
      </c>
      <c r="Z33" s="1112">
        <f>X33+Y33</f>
        <v>5000</v>
      </c>
      <c r="AA33" s="1109">
        <f>20000*P33</f>
        <v>5000</v>
      </c>
      <c r="AB33" s="1109">
        <f>AA33-X33</f>
        <v>2545.5837499999998</v>
      </c>
      <c r="AC33" s="1112">
        <f>6500*P33</f>
        <v>1625</v>
      </c>
      <c r="AD33" s="1112">
        <f>X33-AC33</f>
        <v>829.41625000000022</v>
      </c>
      <c r="AE33" s="436">
        <f t="shared" si="13"/>
        <v>0</v>
      </c>
      <c r="AF33" s="436">
        <f t="shared" si="14"/>
        <v>1641.75</v>
      </c>
      <c r="AG33" s="436">
        <f t="shared" si="15"/>
        <v>0</v>
      </c>
      <c r="AH33" s="436">
        <f t="shared" si="16"/>
        <v>1888.0125</v>
      </c>
      <c r="AI33" s="436">
        <f t="shared" si="17"/>
        <v>0</v>
      </c>
      <c r="AJ33" s="436">
        <f t="shared" si="17"/>
        <v>246.26250000000005</v>
      </c>
      <c r="AK33" s="437">
        <f t="shared" si="18"/>
        <v>0</v>
      </c>
      <c r="AL33" s="437">
        <f t="shared" si="19"/>
        <v>566.40374999999995</v>
      </c>
      <c r="AM33" s="437">
        <f t="shared" si="20"/>
        <v>0</v>
      </c>
      <c r="AN33" s="437">
        <f t="shared" si="21"/>
        <v>0</v>
      </c>
      <c r="AO33" s="437">
        <f t="shared" si="22"/>
        <v>0</v>
      </c>
      <c r="AP33" s="437">
        <f t="shared" si="9"/>
        <v>0</v>
      </c>
      <c r="AQ33" s="437">
        <f t="shared" si="9"/>
        <v>1888.0125</v>
      </c>
      <c r="AR33" s="436"/>
      <c r="AS33" s="437">
        <f t="shared" si="10"/>
        <v>1888.0125</v>
      </c>
    </row>
    <row r="34" spans="1:45" s="438" customFormat="1" ht="24.95" customHeight="1">
      <c r="A34" s="1134"/>
      <c r="B34" s="1134"/>
      <c r="C34" s="1139"/>
      <c r="D34" s="1134"/>
      <c r="E34" s="1134"/>
      <c r="F34" s="1134"/>
      <c r="G34" s="1112"/>
      <c r="H34" s="1134"/>
      <c r="I34" s="1134"/>
      <c r="J34" s="1134"/>
      <c r="K34" s="1134"/>
      <c r="L34" s="449">
        <f>G33*L33</f>
        <v>985.05</v>
      </c>
      <c r="M34" s="1134"/>
      <c r="N34" s="1112"/>
      <c r="O34" s="1112"/>
      <c r="P34" s="1112"/>
      <c r="Q34" s="1166"/>
      <c r="R34" s="1134"/>
      <c r="S34" s="1166"/>
      <c r="T34" s="1166"/>
      <c r="U34" s="1138"/>
      <c r="V34" s="1112"/>
      <c r="W34" s="1112"/>
      <c r="X34" s="1112"/>
      <c r="Y34" s="1112"/>
      <c r="Z34" s="1112"/>
      <c r="AA34" s="1109"/>
      <c r="AB34" s="1109"/>
      <c r="AC34" s="1112"/>
      <c r="AD34" s="1112"/>
      <c r="AE34" s="436">
        <f t="shared" si="13"/>
        <v>0</v>
      </c>
      <c r="AF34" s="436">
        <f t="shared" si="14"/>
        <v>0</v>
      </c>
      <c r="AG34" s="436">
        <f t="shared" si="15"/>
        <v>0</v>
      </c>
      <c r="AH34" s="436">
        <f t="shared" si="16"/>
        <v>0</v>
      </c>
      <c r="AI34" s="436">
        <f t="shared" si="17"/>
        <v>0</v>
      </c>
      <c r="AJ34" s="436">
        <f t="shared" si="17"/>
        <v>0</v>
      </c>
      <c r="AK34" s="437">
        <f t="shared" si="18"/>
        <v>0</v>
      </c>
      <c r="AL34" s="437">
        <f t="shared" si="19"/>
        <v>0</v>
      </c>
      <c r="AM34" s="437">
        <f t="shared" si="20"/>
        <v>0</v>
      </c>
      <c r="AN34" s="437">
        <f t="shared" si="21"/>
        <v>0</v>
      </c>
      <c r="AO34" s="437">
        <f t="shared" si="22"/>
        <v>0</v>
      </c>
      <c r="AP34" s="437">
        <f t="shared" si="9"/>
        <v>0</v>
      </c>
      <c r="AQ34" s="437">
        <f t="shared" si="9"/>
        <v>0</v>
      </c>
      <c r="AR34" s="436"/>
      <c r="AS34" s="437">
        <f t="shared" si="10"/>
        <v>0</v>
      </c>
    </row>
    <row r="35" spans="1:45" s="438" customFormat="1" ht="24.95" customHeight="1">
      <c r="A35" s="1134"/>
      <c r="B35" s="1134"/>
      <c r="C35" s="1139" t="s">
        <v>329</v>
      </c>
      <c r="D35" s="1134" t="s">
        <v>330</v>
      </c>
      <c r="E35" s="1134" t="s">
        <v>331</v>
      </c>
      <c r="F35" s="1134">
        <v>12</v>
      </c>
      <c r="G35" s="1112">
        <v>6133</v>
      </c>
      <c r="H35" s="1112"/>
      <c r="I35" s="1112"/>
      <c r="J35" s="1112"/>
      <c r="K35" s="1112"/>
      <c r="L35" s="1112"/>
      <c r="M35" s="1112"/>
      <c r="N35" s="1112">
        <f>G35+H36</f>
        <v>6133</v>
      </c>
      <c r="O35" s="1112"/>
      <c r="P35" s="1112">
        <v>0.5</v>
      </c>
      <c r="Q35" s="1112"/>
      <c r="R35" s="1112"/>
      <c r="S35" s="1112"/>
      <c r="T35" s="1140">
        <v>23</v>
      </c>
      <c r="U35" s="1138">
        <v>0.3</v>
      </c>
      <c r="V35" s="1112">
        <f>N35*U35</f>
        <v>1839.8999999999999</v>
      </c>
      <c r="W35" s="1112"/>
      <c r="X35" s="1112">
        <f>(N35+V35)*P35</f>
        <v>3986.45</v>
      </c>
      <c r="Y35" s="1112">
        <f>AB35</f>
        <v>6013.55</v>
      </c>
      <c r="Z35" s="1112">
        <f>X35+Y35</f>
        <v>10000</v>
      </c>
      <c r="AA35" s="1109">
        <f>20000*P35</f>
        <v>10000</v>
      </c>
      <c r="AB35" s="1109">
        <f>AA35-X35</f>
        <v>6013.55</v>
      </c>
      <c r="AC35" s="1112">
        <f>6500*P35</f>
        <v>3250</v>
      </c>
      <c r="AD35" s="1112">
        <f>X35-AC35</f>
        <v>736.44999999999982</v>
      </c>
      <c r="AE35" s="436">
        <f>G35*O35</f>
        <v>0</v>
      </c>
      <c r="AF35" s="436">
        <f>G35*P35</f>
        <v>3066.5</v>
      </c>
      <c r="AG35" s="436">
        <f>N35*O35</f>
        <v>0</v>
      </c>
      <c r="AH35" s="436">
        <f>N35*P35</f>
        <v>3066.5</v>
      </c>
      <c r="AI35" s="436">
        <f>AG35-AE35</f>
        <v>0</v>
      </c>
      <c r="AJ35" s="436">
        <f>AH35-AF35</f>
        <v>0</v>
      </c>
      <c r="AK35" s="437">
        <f>V35*O35</f>
        <v>0</v>
      </c>
      <c r="AL35" s="437">
        <f>V35*P35</f>
        <v>919.94999999999993</v>
      </c>
      <c r="AM35" s="437">
        <f>W35</f>
        <v>0</v>
      </c>
      <c r="AN35" s="437">
        <f>S35*O35</f>
        <v>0</v>
      </c>
      <c r="AO35" s="437">
        <f>S35*P35</f>
        <v>0</v>
      </c>
      <c r="AP35" s="437">
        <f>AG35</f>
        <v>0</v>
      </c>
      <c r="AQ35" s="437">
        <f>AH35</f>
        <v>3066.5</v>
      </c>
      <c r="AR35" s="436"/>
      <c r="AS35" s="437">
        <f>AP35+AQ35-AR35</f>
        <v>3066.5</v>
      </c>
    </row>
    <row r="36" spans="1:45" s="438" customFormat="1" ht="24.95" customHeight="1">
      <c r="A36" s="1134"/>
      <c r="B36" s="1134"/>
      <c r="C36" s="1139"/>
      <c r="D36" s="1134"/>
      <c r="E36" s="1134"/>
      <c r="F36" s="1134"/>
      <c r="G36" s="1112"/>
      <c r="H36" s="1112"/>
      <c r="I36" s="1112"/>
      <c r="J36" s="1112"/>
      <c r="K36" s="1112"/>
      <c r="L36" s="1112"/>
      <c r="M36" s="1112"/>
      <c r="N36" s="1112"/>
      <c r="O36" s="1112"/>
      <c r="P36" s="1112"/>
      <c r="Q36" s="1112"/>
      <c r="R36" s="1112"/>
      <c r="S36" s="1112"/>
      <c r="T36" s="1140"/>
      <c r="U36" s="1138"/>
      <c r="V36" s="1112"/>
      <c r="W36" s="1112"/>
      <c r="X36" s="1112"/>
      <c r="Y36" s="1112"/>
      <c r="Z36" s="1112"/>
      <c r="AA36" s="1109"/>
      <c r="AB36" s="1109"/>
      <c r="AC36" s="1112"/>
      <c r="AD36" s="1112"/>
      <c r="AE36" s="436">
        <f>G36*O36</f>
        <v>0</v>
      </c>
      <c r="AF36" s="436">
        <f>G36*P36</f>
        <v>0</v>
      </c>
      <c r="AG36" s="436">
        <f>N36*O36</f>
        <v>0</v>
      </c>
      <c r="AH36" s="436">
        <f>N36*P36</f>
        <v>0</v>
      </c>
      <c r="AI36" s="436">
        <f>AG36-AE36</f>
        <v>0</v>
      </c>
      <c r="AJ36" s="436">
        <f>AH36-AF36</f>
        <v>0</v>
      </c>
      <c r="AK36" s="437">
        <f>V36*O36</f>
        <v>0</v>
      </c>
      <c r="AL36" s="437">
        <f>V36*P36</f>
        <v>0</v>
      </c>
      <c r="AM36" s="437">
        <f>W36</f>
        <v>0</v>
      </c>
      <c r="AN36" s="437">
        <f>S36*O36</f>
        <v>0</v>
      </c>
      <c r="AO36" s="437">
        <f>S36*P36</f>
        <v>0</v>
      </c>
      <c r="AP36" s="437">
        <f>AG36</f>
        <v>0</v>
      </c>
      <c r="AQ36" s="437">
        <f>AH36</f>
        <v>0</v>
      </c>
      <c r="AR36" s="436"/>
      <c r="AS36" s="437">
        <f>AP36+AQ36-AR36</f>
        <v>0</v>
      </c>
    </row>
    <row r="37" spans="1:45" s="438" customFormat="1" ht="24.95" customHeight="1">
      <c r="A37" s="1134"/>
      <c r="B37" s="1134"/>
      <c r="C37" s="1139" t="s">
        <v>329</v>
      </c>
      <c r="D37" s="1134"/>
      <c r="E37" s="1134" t="s">
        <v>325</v>
      </c>
      <c r="F37" s="1134">
        <v>13</v>
      </c>
      <c r="G37" s="1112">
        <v>6567</v>
      </c>
      <c r="H37" s="1112"/>
      <c r="I37" s="1112"/>
      <c r="J37" s="1112"/>
      <c r="K37" s="1112"/>
      <c r="L37" s="1112"/>
      <c r="M37" s="1112"/>
      <c r="N37" s="1112">
        <f>G37+H38</f>
        <v>6567</v>
      </c>
      <c r="O37" s="1112">
        <v>0.5</v>
      </c>
      <c r="P37" s="1112"/>
      <c r="Q37" s="1112"/>
      <c r="R37" s="1112"/>
      <c r="S37" s="1112"/>
      <c r="T37" s="1140"/>
      <c r="U37" s="1138">
        <v>0</v>
      </c>
      <c r="V37" s="1112">
        <f>N37*U37</f>
        <v>0</v>
      </c>
      <c r="W37" s="1112"/>
      <c r="X37" s="1112">
        <f>(N37+V37)*O37+W37</f>
        <v>3283.5</v>
      </c>
      <c r="Y37" s="1112">
        <f>AB37</f>
        <v>6716.5</v>
      </c>
      <c r="Z37" s="1112">
        <f>X37+Y37</f>
        <v>10000</v>
      </c>
      <c r="AA37" s="1109">
        <f>20000*O37</f>
        <v>10000</v>
      </c>
      <c r="AB37" s="1109">
        <f>AA37-X37</f>
        <v>6716.5</v>
      </c>
      <c r="AC37" s="1112">
        <f>6500*O37</f>
        <v>3250</v>
      </c>
      <c r="AD37" s="1112">
        <f>X37-AC37</f>
        <v>33.5</v>
      </c>
      <c r="AE37" s="436">
        <f t="shared" si="13"/>
        <v>3283.5</v>
      </c>
      <c r="AF37" s="436">
        <f t="shared" si="14"/>
        <v>0</v>
      </c>
      <c r="AG37" s="436">
        <f t="shared" si="15"/>
        <v>3283.5</v>
      </c>
      <c r="AH37" s="436">
        <f t="shared" si="16"/>
        <v>0</v>
      </c>
      <c r="AI37" s="436">
        <f t="shared" si="17"/>
        <v>0</v>
      </c>
      <c r="AJ37" s="436">
        <f t="shared" si="17"/>
        <v>0</v>
      </c>
      <c r="AK37" s="437">
        <f t="shared" si="18"/>
        <v>0</v>
      </c>
      <c r="AL37" s="437">
        <f t="shared" si="19"/>
        <v>0</v>
      </c>
      <c r="AM37" s="437">
        <f t="shared" si="20"/>
        <v>0</v>
      </c>
      <c r="AN37" s="437">
        <f t="shared" si="21"/>
        <v>0</v>
      </c>
      <c r="AO37" s="437">
        <f t="shared" si="22"/>
        <v>0</v>
      </c>
      <c r="AP37" s="437">
        <f t="shared" si="9"/>
        <v>3283.5</v>
      </c>
      <c r="AQ37" s="437">
        <f t="shared" si="9"/>
        <v>0</v>
      </c>
      <c r="AR37" s="436"/>
      <c r="AS37" s="437">
        <f t="shared" si="10"/>
        <v>3283.5</v>
      </c>
    </row>
    <row r="38" spans="1:45" s="438" customFormat="1" ht="24.95" customHeight="1">
      <c r="A38" s="1134"/>
      <c r="B38" s="1134"/>
      <c r="C38" s="1139"/>
      <c r="D38" s="1134"/>
      <c r="E38" s="1134"/>
      <c r="F38" s="1134"/>
      <c r="G38" s="1112"/>
      <c r="H38" s="1112"/>
      <c r="I38" s="1112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40"/>
      <c r="U38" s="1138"/>
      <c r="V38" s="1112"/>
      <c r="W38" s="1112"/>
      <c r="X38" s="1112"/>
      <c r="Y38" s="1112"/>
      <c r="Z38" s="1112"/>
      <c r="AA38" s="1109"/>
      <c r="AB38" s="1109"/>
      <c r="AC38" s="1112"/>
      <c r="AD38" s="1112"/>
      <c r="AE38" s="436">
        <f t="shared" si="13"/>
        <v>0</v>
      </c>
      <c r="AF38" s="436">
        <f t="shared" si="14"/>
        <v>0</v>
      </c>
      <c r="AG38" s="436">
        <f t="shared" si="15"/>
        <v>0</v>
      </c>
      <c r="AH38" s="436">
        <f t="shared" si="16"/>
        <v>0</v>
      </c>
      <c r="AI38" s="436">
        <f t="shared" si="17"/>
        <v>0</v>
      </c>
      <c r="AJ38" s="436">
        <f t="shared" si="17"/>
        <v>0</v>
      </c>
      <c r="AK38" s="437">
        <f t="shared" si="18"/>
        <v>0</v>
      </c>
      <c r="AL38" s="437">
        <f t="shared" si="19"/>
        <v>0</v>
      </c>
      <c r="AM38" s="437">
        <f t="shared" si="20"/>
        <v>0</v>
      </c>
      <c r="AN38" s="437">
        <f t="shared" si="21"/>
        <v>0</v>
      </c>
      <c r="AO38" s="437">
        <f t="shared" si="22"/>
        <v>0</v>
      </c>
      <c r="AP38" s="437">
        <f t="shared" si="9"/>
        <v>0</v>
      </c>
      <c r="AQ38" s="437">
        <f t="shared" si="9"/>
        <v>0</v>
      </c>
      <c r="AR38" s="436"/>
      <c r="AS38" s="437">
        <f t="shared" si="10"/>
        <v>0</v>
      </c>
    </row>
    <row r="39" spans="1:45" s="438" customFormat="1" ht="24.95" customHeight="1">
      <c r="A39" s="1134"/>
      <c r="B39" s="1134"/>
      <c r="C39" s="1139" t="s">
        <v>332</v>
      </c>
      <c r="D39" s="1134" t="s">
        <v>333</v>
      </c>
      <c r="E39" s="1134" t="s">
        <v>334</v>
      </c>
      <c r="F39" s="1134">
        <v>13</v>
      </c>
      <c r="G39" s="1112">
        <v>6567</v>
      </c>
      <c r="H39" s="1112"/>
      <c r="I39" s="1112"/>
      <c r="J39" s="1112"/>
      <c r="K39" s="1112"/>
      <c r="L39" s="435">
        <v>0.15</v>
      </c>
      <c r="M39" s="1138"/>
      <c r="N39" s="1112">
        <f>G39+I40+L40</f>
        <v>7552.05</v>
      </c>
      <c r="O39" s="1112">
        <v>1</v>
      </c>
      <c r="P39" s="1112"/>
      <c r="Q39" s="1112"/>
      <c r="R39" s="1138"/>
      <c r="S39" s="1112"/>
      <c r="T39" s="1145">
        <v>23</v>
      </c>
      <c r="U39" s="1138">
        <v>0.3</v>
      </c>
      <c r="V39" s="1112">
        <f>N39*U39</f>
        <v>2265.6149999999998</v>
      </c>
      <c r="W39" s="1112"/>
      <c r="X39" s="1112">
        <f>(N39+V39)*O39</f>
        <v>9817.6650000000009</v>
      </c>
      <c r="Y39" s="1112">
        <f>AB39</f>
        <v>10182.334999999999</v>
      </c>
      <c r="Z39" s="1112">
        <f>X39+Y39</f>
        <v>20000</v>
      </c>
      <c r="AA39" s="1109">
        <f>20000*O39</f>
        <v>20000</v>
      </c>
      <c r="AB39" s="1109">
        <f>AA39-X39</f>
        <v>10182.334999999999</v>
      </c>
      <c r="AC39" s="1112">
        <f>6500*O39</f>
        <v>6500</v>
      </c>
      <c r="AD39" s="1112">
        <f>X39-AC39</f>
        <v>3317.6650000000009</v>
      </c>
      <c r="AE39" s="436">
        <f t="shared" si="13"/>
        <v>6567</v>
      </c>
      <c r="AF39" s="436">
        <f t="shared" si="14"/>
        <v>0</v>
      </c>
      <c r="AG39" s="436">
        <f t="shared" si="15"/>
        <v>7552.05</v>
      </c>
      <c r="AH39" s="436">
        <f t="shared" si="16"/>
        <v>0</v>
      </c>
      <c r="AI39" s="436">
        <f t="shared" si="17"/>
        <v>985.05000000000018</v>
      </c>
      <c r="AJ39" s="436">
        <f t="shared" si="17"/>
        <v>0</v>
      </c>
      <c r="AK39" s="437">
        <f t="shared" si="18"/>
        <v>2265.6149999999998</v>
      </c>
      <c r="AL39" s="437">
        <f t="shared" si="19"/>
        <v>0</v>
      </c>
      <c r="AM39" s="437">
        <f t="shared" si="20"/>
        <v>0</v>
      </c>
      <c r="AN39" s="437">
        <f t="shared" si="21"/>
        <v>0</v>
      </c>
      <c r="AO39" s="437">
        <f t="shared" si="22"/>
        <v>0</v>
      </c>
      <c r="AP39" s="437">
        <f t="shared" si="9"/>
        <v>7552.05</v>
      </c>
      <c r="AQ39" s="437">
        <f t="shared" si="9"/>
        <v>0</v>
      </c>
      <c r="AR39" s="436"/>
      <c r="AS39" s="437">
        <f t="shared" si="10"/>
        <v>7552.05</v>
      </c>
    </row>
    <row r="40" spans="1:45" s="438" customFormat="1" ht="24.95" customHeight="1">
      <c r="A40" s="1134"/>
      <c r="B40" s="1134"/>
      <c r="C40" s="1139"/>
      <c r="D40" s="1134"/>
      <c r="E40" s="1134"/>
      <c r="F40" s="1134"/>
      <c r="G40" s="1112"/>
      <c r="H40" s="1112"/>
      <c r="I40" s="1112"/>
      <c r="J40" s="1112"/>
      <c r="K40" s="1112"/>
      <c r="L40" s="448">
        <f>G39*L39</f>
        <v>985.05</v>
      </c>
      <c r="M40" s="1134"/>
      <c r="N40" s="1112"/>
      <c r="O40" s="1112"/>
      <c r="P40" s="1112"/>
      <c r="Q40" s="1112"/>
      <c r="R40" s="1134"/>
      <c r="S40" s="1112"/>
      <c r="T40" s="1112"/>
      <c r="U40" s="1138"/>
      <c r="V40" s="1112"/>
      <c r="W40" s="1112"/>
      <c r="X40" s="1112"/>
      <c r="Y40" s="1112"/>
      <c r="Z40" s="1112"/>
      <c r="AA40" s="1109"/>
      <c r="AB40" s="1109"/>
      <c r="AC40" s="1112"/>
      <c r="AD40" s="1112"/>
      <c r="AE40" s="436">
        <f t="shared" si="13"/>
        <v>0</v>
      </c>
      <c r="AF40" s="436">
        <f t="shared" si="14"/>
        <v>0</v>
      </c>
      <c r="AG40" s="436">
        <f t="shared" si="15"/>
        <v>0</v>
      </c>
      <c r="AH40" s="436">
        <f t="shared" si="16"/>
        <v>0</v>
      </c>
      <c r="AI40" s="436">
        <f t="shared" si="17"/>
        <v>0</v>
      </c>
      <c r="AJ40" s="436">
        <f t="shared" si="17"/>
        <v>0</v>
      </c>
      <c r="AK40" s="437">
        <f t="shared" si="18"/>
        <v>0</v>
      </c>
      <c r="AL40" s="437">
        <f t="shared" si="19"/>
        <v>0</v>
      </c>
      <c r="AM40" s="437">
        <f t="shared" si="20"/>
        <v>0</v>
      </c>
      <c r="AN40" s="437">
        <f t="shared" si="21"/>
        <v>0</v>
      </c>
      <c r="AO40" s="437">
        <f t="shared" si="22"/>
        <v>0</v>
      </c>
      <c r="AP40" s="437">
        <f t="shared" si="9"/>
        <v>0</v>
      </c>
      <c r="AQ40" s="437">
        <f t="shared" si="9"/>
        <v>0</v>
      </c>
      <c r="AR40" s="436"/>
      <c r="AS40" s="437">
        <f t="shared" si="10"/>
        <v>0</v>
      </c>
    </row>
    <row r="41" spans="1:45" s="438" customFormat="1" ht="24.95" customHeight="1">
      <c r="A41" s="1134"/>
      <c r="B41" s="1134"/>
      <c r="C41" s="1167" t="s">
        <v>335</v>
      </c>
      <c r="D41" s="1134"/>
      <c r="E41" s="1134" t="s">
        <v>325</v>
      </c>
      <c r="F41" s="1134">
        <v>11</v>
      </c>
      <c r="G41" s="1112">
        <v>5699</v>
      </c>
      <c r="H41" s="1112"/>
      <c r="I41" s="1140"/>
      <c r="J41" s="1140"/>
      <c r="K41" s="1140"/>
      <c r="L41" s="435">
        <v>0.15</v>
      </c>
      <c r="M41" s="435">
        <v>0.6</v>
      </c>
      <c r="N41" s="1112">
        <f>G41+I42+L42+M42</f>
        <v>9973.25</v>
      </c>
      <c r="O41" s="1112"/>
      <c r="P41" s="1112">
        <v>0.5</v>
      </c>
      <c r="Q41" s="1140"/>
      <c r="R41" s="1140"/>
      <c r="S41" s="1140"/>
      <c r="T41" s="1140"/>
      <c r="U41" s="1138">
        <v>0</v>
      </c>
      <c r="V41" s="1112">
        <f>N41*U41</f>
        <v>0</v>
      </c>
      <c r="W41" s="1112"/>
      <c r="X41" s="1112">
        <f>(N41+V41)*P41+W41</f>
        <v>4986.625</v>
      </c>
      <c r="Y41" s="1112">
        <f>AB41</f>
        <v>5013.375</v>
      </c>
      <c r="Z41" s="1112">
        <f>X41+Y41</f>
        <v>10000</v>
      </c>
      <c r="AA41" s="1109">
        <f>20000*P41</f>
        <v>10000</v>
      </c>
      <c r="AB41" s="1109">
        <f>AA41-X41</f>
        <v>5013.375</v>
      </c>
      <c r="AC41" s="1112">
        <f>6500*P41</f>
        <v>3250</v>
      </c>
      <c r="AD41" s="1112">
        <f>X41-AC41</f>
        <v>1736.625</v>
      </c>
      <c r="AE41" s="436">
        <f t="shared" si="13"/>
        <v>0</v>
      </c>
      <c r="AF41" s="436">
        <f t="shared" si="14"/>
        <v>2849.5</v>
      </c>
      <c r="AG41" s="436">
        <f t="shared" si="15"/>
        <v>0</v>
      </c>
      <c r="AH41" s="436">
        <f t="shared" si="16"/>
        <v>4986.625</v>
      </c>
      <c r="AI41" s="436">
        <f t="shared" si="17"/>
        <v>0</v>
      </c>
      <c r="AJ41" s="436">
        <f t="shared" si="17"/>
        <v>2137.125</v>
      </c>
      <c r="AK41" s="437">
        <f t="shared" si="18"/>
        <v>0</v>
      </c>
      <c r="AL41" s="437">
        <f t="shared" si="19"/>
        <v>0</v>
      </c>
      <c r="AM41" s="437">
        <f t="shared" si="20"/>
        <v>0</v>
      </c>
      <c r="AN41" s="437">
        <f t="shared" si="21"/>
        <v>0</v>
      </c>
      <c r="AO41" s="437">
        <f t="shared" si="22"/>
        <v>0</v>
      </c>
      <c r="AP41" s="437">
        <f t="shared" si="9"/>
        <v>0</v>
      </c>
      <c r="AQ41" s="437">
        <f t="shared" si="9"/>
        <v>4986.625</v>
      </c>
      <c r="AR41" s="436"/>
      <c r="AS41" s="437">
        <f t="shared" si="10"/>
        <v>4986.625</v>
      </c>
    </row>
    <row r="42" spans="1:45" s="438" customFormat="1" ht="24.95" customHeight="1">
      <c r="A42" s="1134"/>
      <c r="B42" s="1134"/>
      <c r="C42" s="1167"/>
      <c r="D42" s="1134"/>
      <c r="E42" s="1134"/>
      <c r="F42" s="1134"/>
      <c r="G42" s="1112"/>
      <c r="H42" s="1112"/>
      <c r="I42" s="1140"/>
      <c r="J42" s="1140"/>
      <c r="K42" s="1140"/>
      <c r="L42" s="449">
        <f>G41*L41</f>
        <v>854.85</v>
      </c>
      <c r="M42" s="449">
        <f>G41*M41</f>
        <v>3419.4</v>
      </c>
      <c r="N42" s="1112"/>
      <c r="O42" s="1165"/>
      <c r="P42" s="1112"/>
      <c r="Q42" s="1140"/>
      <c r="R42" s="1140"/>
      <c r="S42" s="1140"/>
      <c r="T42" s="1140"/>
      <c r="U42" s="1138"/>
      <c r="V42" s="1112"/>
      <c r="W42" s="1112"/>
      <c r="X42" s="1112"/>
      <c r="Y42" s="1112"/>
      <c r="Z42" s="1112"/>
      <c r="AA42" s="1109"/>
      <c r="AB42" s="1109"/>
      <c r="AC42" s="1112"/>
      <c r="AD42" s="1112"/>
      <c r="AE42" s="436">
        <f t="shared" si="13"/>
        <v>0</v>
      </c>
      <c r="AF42" s="436">
        <f t="shared" si="14"/>
        <v>0</v>
      </c>
      <c r="AG42" s="436">
        <f t="shared" si="15"/>
        <v>0</v>
      </c>
      <c r="AH42" s="436">
        <f t="shared" si="16"/>
        <v>0</v>
      </c>
      <c r="AI42" s="436">
        <f t="shared" si="17"/>
        <v>0</v>
      </c>
      <c r="AJ42" s="436">
        <f t="shared" si="17"/>
        <v>0</v>
      </c>
      <c r="AK42" s="437">
        <f t="shared" si="18"/>
        <v>0</v>
      </c>
      <c r="AL42" s="437">
        <f t="shared" si="19"/>
        <v>0</v>
      </c>
      <c r="AM42" s="437">
        <f t="shared" si="20"/>
        <v>0</v>
      </c>
      <c r="AN42" s="437">
        <f t="shared" si="21"/>
        <v>0</v>
      </c>
      <c r="AO42" s="437">
        <f t="shared" si="22"/>
        <v>0</v>
      </c>
      <c r="AP42" s="437">
        <f t="shared" si="9"/>
        <v>0</v>
      </c>
      <c r="AQ42" s="437">
        <f t="shared" si="9"/>
        <v>0</v>
      </c>
      <c r="AR42" s="436"/>
      <c r="AS42" s="437">
        <f t="shared" si="10"/>
        <v>0</v>
      </c>
    </row>
    <row r="43" spans="1:45" s="438" customFormat="1" ht="24.95" customHeight="1">
      <c r="A43" s="1134"/>
      <c r="B43" s="1134"/>
      <c r="C43" s="1139" t="s">
        <v>336</v>
      </c>
      <c r="D43" s="1168" t="s">
        <v>337</v>
      </c>
      <c r="E43" s="1134" t="s">
        <v>338</v>
      </c>
      <c r="F43" s="1134">
        <v>10</v>
      </c>
      <c r="G43" s="1112">
        <v>5265</v>
      </c>
      <c r="H43" s="1134"/>
      <c r="I43" s="1134"/>
      <c r="J43" s="1134"/>
      <c r="K43" s="1134"/>
      <c r="L43" s="435">
        <v>0.25</v>
      </c>
      <c r="M43" s="1138"/>
      <c r="N43" s="1112">
        <f>G43+I44+L44</f>
        <v>6581.25</v>
      </c>
      <c r="O43" s="1112"/>
      <c r="P43" s="1112">
        <f>0.5-0.25</f>
        <v>0.25</v>
      </c>
      <c r="Q43" s="1166"/>
      <c r="R43" s="1138"/>
      <c r="S43" s="1166"/>
      <c r="T43" s="1166">
        <v>27</v>
      </c>
      <c r="U43" s="1138">
        <v>0.3</v>
      </c>
      <c r="V43" s="1112">
        <f>N43*U43</f>
        <v>1974.375</v>
      </c>
      <c r="W43" s="1112"/>
      <c r="X43" s="1112">
        <f>(N43+V43)*P43</f>
        <v>2138.90625</v>
      </c>
      <c r="Y43" s="1112">
        <f>AB43</f>
        <v>2861.09375</v>
      </c>
      <c r="Z43" s="1112">
        <f>X43+Y43</f>
        <v>5000</v>
      </c>
      <c r="AA43" s="1109">
        <f>20000*P43</f>
        <v>5000</v>
      </c>
      <c r="AB43" s="1109">
        <f>AA43-X43</f>
        <v>2861.09375</v>
      </c>
      <c r="AC43" s="1112">
        <f>6500*P43</f>
        <v>1625</v>
      </c>
      <c r="AD43" s="1112">
        <f>X43-AC43</f>
        <v>513.90625</v>
      </c>
      <c r="AE43" s="436">
        <f t="shared" si="13"/>
        <v>0</v>
      </c>
      <c r="AF43" s="436">
        <f t="shared" si="14"/>
        <v>1316.25</v>
      </c>
      <c r="AG43" s="436">
        <f t="shared" si="15"/>
        <v>0</v>
      </c>
      <c r="AH43" s="436">
        <f t="shared" si="16"/>
        <v>1645.3125</v>
      </c>
      <c r="AI43" s="436">
        <f t="shared" si="17"/>
        <v>0</v>
      </c>
      <c r="AJ43" s="436">
        <f t="shared" si="17"/>
        <v>329.0625</v>
      </c>
      <c r="AK43" s="437">
        <f t="shared" si="18"/>
        <v>0</v>
      </c>
      <c r="AL43" s="437">
        <f t="shared" si="19"/>
        <v>493.59375</v>
      </c>
      <c r="AM43" s="437">
        <f t="shared" si="20"/>
        <v>0</v>
      </c>
      <c r="AN43" s="437">
        <f t="shared" si="21"/>
        <v>0</v>
      </c>
      <c r="AO43" s="437">
        <f t="shared" si="22"/>
        <v>0</v>
      </c>
      <c r="AP43" s="437">
        <f t="shared" si="9"/>
        <v>0</v>
      </c>
      <c r="AQ43" s="437">
        <f t="shared" si="9"/>
        <v>1645.3125</v>
      </c>
      <c r="AR43" s="436"/>
      <c r="AS43" s="437">
        <f t="shared" si="10"/>
        <v>1645.3125</v>
      </c>
    </row>
    <row r="44" spans="1:45" s="438" customFormat="1" ht="24.95" customHeight="1">
      <c r="A44" s="1134"/>
      <c r="B44" s="1134"/>
      <c r="C44" s="1139"/>
      <c r="D44" s="1168"/>
      <c r="E44" s="1134"/>
      <c r="F44" s="1134"/>
      <c r="G44" s="1112"/>
      <c r="H44" s="1134"/>
      <c r="I44" s="1134"/>
      <c r="J44" s="1134"/>
      <c r="K44" s="1134"/>
      <c r="L44" s="439">
        <f>G43*L43</f>
        <v>1316.25</v>
      </c>
      <c r="M44" s="1134"/>
      <c r="N44" s="1112"/>
      <c r="O44" s="1112"/>
      <c r="P44" s="1112"/>
      <c r="Q44" s="1166"/>
      <c r="R44" s="1134"/>
      <c r="S44" s="1166"/>
      <c r="T44" s="1166"/>
      <c r="U44" s="1138"/>
      <c r="V44" s="1112"/>
      <c r="W44" s="1112"/>
      <c r="X44" s="1112"/>
      <c r="Y44" s="1112"/>
      <c r="Z44" s="1112"/>
      <c r="AA44" s="1109"/>
      <c r="AB44" s="1109"/>
      <c r="AC44" s="1112"/>
      <c r="AD44" s="1112"/>
      <c r="AE44" s="436">
        <f t="shared" si="13"/>
        <v>0</v>
      </c>
      <c r="AF44" s="436">
        <f t="shared" si="14"/>
        <v>0</v>
      </c>
      <c r="AG44" s="436">
        <f t="shared" si="15"/>
        <v>0</v>
      </c>
      <c r="AH44" s="436">
        <f t="shared" si="16"/>
        <v>0</v>
      </c>
      <c r="AI44" s="436">
        <f t="shared" si="17"/>
        <v>0</v>
      </c>
      <c r="AJ44" s="436">
        <f t="shared" si="17"/>
        <v>0</v>
      </c>
      <c r="AK44" s="437">
        <f t="shared" si="18"/>
        <v>0</v>
      </c>
      <c r="AL44" s="437">
        <f t="shared" si="19"/>
        <v>0</v>
      </c>
      <c r="AM44" s="437">
        <f t="shared" si="20"/>
        <v>0</v>
      </c>
      <c r="AN44" s="437">
        <f t="shared" si="21"/>
        <v>0</v>
      </c>
      <c r="AO44" s="437">
        <f t="shared" si="22"/>
        <v>0</v>
      </c>
      <c r="AP44" s="437">
        <f t="shared" si="9"/>
        <v>0</v>
      </c>
      <c r="AQ44" s="437">
        <f t="shared" si="9"/>
        <v>0</v>
      </c>
      <c r="AR44" s="436"/>
      <c r="AS44" s="437">
        <f t="shared" si="10"/>
        <v>0</v>
      </c>
    </row>
    <row r="45" spans="1:45" s="438" customFormat="1" ht="24.95" customHeight="1">
      <c r="A45" s="1134"/>
      <c r="B45" s="1134"/>
      <c r="C45" s="1139" t="s">
        <v>472</v>
      </c>
      <c r="D45" s="1134" t="s">
        <v>1002</v>
      </c>
      <c r="E45" s="1134" t="s">
        <v>473</v>
      </c>
      <c r="F45" s="1134">
        <v>13</v>
      </c>
      <c r="G45" s="1112">
        <v>6567</v>
      </c>
      <c r="H45" s="1112"/>
      <c r="I45" s="435">
        <v>0.15</v>
      </c>
      <c r="J45" s="1112"/>
      <c r="K45" s="1112"/>
      <c r="L45" s="1112"/>
      <c r="M45" s="1112"/>
      <c r="N45" s="1112">
        <f>G45+I46+L46</f>
        <v>7552.05</v>
      </c>
      <c r="O45" s="1112">
        <v>1</v>
      </c>
      <c r="P45" s="1112"/>
      <c r="Q45" s="1112"/>
      <c r="R45" s="1112"/>
      <c r="S45" s="1112"/>
      <c r="T45" s="1145">
        <v>20</v>
      </c>
      <c r="U45" s="1138">
        <v>0.3</v>
      </c>
      <c r="V45" s="1112">
        <f>N45*U45</f>
        <v>2265.6149999999998</v>
      </c>
      <c r="W45" s="1112"/>
      <c r="X45" s="1112">
        <f>(N45+V45)*O45</f>
        <v>9817.6650000000009</v>
      </c>
      <c r="Y45" s="1112">
        <f>AB45</f>
        <v>10182.334999999999</v>
      </c>
      <c r="Z45" s="1112">
        <f>X45+Y45</f>
        <v>20000</v>
      </c>
      <c r="AA45" s="1109">
        <f>20000*O45</f>
        <v>20000</v>
      </c>
      <c r="AB45" s="1109">
        <f>AA45-X45</f>
        <v>10182.334999999999</v>
      </c>
      <c r="AC45" s="1112">
        <f>6500*O45</f>
        <v>6500</v>
      </c>
      <c r="AD45" s="1112">
        <f>X45-AC45</f>
        <v>3317.6650000000009</v>
      </c>
      <c r="AE45" s="436">
        <f t="shared" si="13"/>
        <v>6567</v>
      </c>
      <c r="AF45" s="436">
        <f t="shared" si="14"/>
        <v>0</v>
      </c>
      <c r="AG45" s="436">
        <f t="shared" si="15"/>
        <v>7552.05</v>
      </c>
      <c r="AH45" s="436">
        <f t="shared" si="16"/>
        <v>0</v>
      </c>
      <c r="AI45" s="436">
        <f t="shared" si="17"/>
        <v>985.05000000000018</v>
      </c>
      <c r="AJ45" s="436">
        <f t="shared" si="17"/>
        <v>0</v>
      </c>
      <c r="AK45" s="437">
        <f t="shared" si="18"/>
        <v>2265.6149999999998</v>
      </c>
      <c r="AL45" s="437">
        <f t="shared" si="19"/>
        <v>0</v>
      </c>
      <c r="AM45" s="437">
        <f t="shared" si="20"/>
        <v>0</v>
      </c>
      <c r="AN45" s="437">
        <f t="shared" si="21"/>
        <v>0</v>
      </c>
      <c r="AO45" s="437">
        <f t="shared" si="22"/>
        <v>0</v>
      </c>
      <c r="AP45" s="437">
        <f t="shared" ref="AP45:AQ68" si="23">AG45</f>
        <v>7552.05</v>
      </c>
      <c r="AQ45" s="437">
        <f t="shared" si="23"/>
        <v>0</v>
      </c>
      <c r="AR45" s="436"/>
      <c r="AS45" s="437">
        <f t="shared" si="10"/>
        <v>7552.05</v>
      </c>
    </row>
    <row r="46" spans="1:45" s="438" customFormat="1" ht="24.95" customHeight="1">
      <c r="A46" s="1134"/>
      <c r="B46" s="1134"/>
      <c r="C46" s="1139"/>
      <c r="D46" s="1134"/>
      <c r="E46" s="1134"/>
      <c r="F46" s="1134"/>
      <c r="G46" s="1112"/>
      <c r="H46" s="1112"/>
      <c r="I46" s="448">
        <f>G45*I45</f>
        <v>985.05</v>
      </c>
      <c r="J46" s="1112"/>
      <c r="K46" s="1112"/>
      <c r="L46" s="1112"/>
      <c r="M46" s="1112"/>
      <c r="N46" s="1112"/>
      <c r="O46" s="1112"/>
      <c r="P46" s="1112"/>
      <c r="Q46" s="1112"/>
      <c r="R46" s="1112"/>
      <c r="S46" s="1112"/>
      <c r="T46" s="1145"/>
      <c r="U46" s="1138"/>
      <c r="V46" s="1112"/>
      <c r="W46" s="1112"/>
      <c r="X46" s="1112"/>
      <c r="Y46" s="1112"/>
      <c r="Z46" s="1112"/>
      <c r="AA46" s="1109"/>
      <c r="AB46" s="1109"/>
      <c r="AC46" s="1112"/>
      <c r="AD46" s="1112"/>
      <c r="AE46" s="436">
        <f t="shared" si="13"/>
        <v>0</v>
      </c>
      <c r="AF46" s="436">
        <f t="shared" si="14"/>
        <v>0</v>
      </c>
      <c r="AG46" s="436">
        <f t="shared" si="15"/>
        <v>0</v>
      </c>
      <c r="AH46" s="436">
        <f t="shared" si="16"/>
        <v>0</v>
      </c>
      <c r="AI46" s="436">
        <f t="shared" si="17"/>
        <v>0</v>
      </c>
      <c r="AJ46" s="436">
        <f t="shared" si="17"/>
        <v>0</v>
      </c>
      <c r="AK46" s="437">
        <f t="shared" si="18"/>
        <v>0</v>
      </c>
      <c r="AL46" s="437">
        <f t="shared" si="19"/>
        <v>0</v>
      </c>
      <c r="AM46" s="437">
        <f t="shared" si="20"/>
        <v>0</v>
      </c>
      <c r="AN46" s="437">
        <f t="shared" si="21"/>
        <v>0</v>
      </c>
      <c r="AO46" s="437">
        <f t="shared" si="22"/>
        <v>0</v>
      </c>
      <c r="AP46" s="437">
        <f t="shared" si="23"/>
        <v>0</v>
      </c>
      <c r="AQ46" s="437">
        <f t="shared" si="23"/>
        <v>0</v>
      </c>
      <c r="AR46" s="436"/>
      <c r="AS46" s="437">
        <f t="shared" si="10"/>
        <v>0</v>
      </c>
    </row>
    <row r="47" spans="1:45" s="438" customFormat="1" ht="24.95" customHeight="1">
      <c r="A47" s="1134"/>
      <c r="B47" s="1134"/>
      <c r="C47" s="1139" t="s">
        <v>474</v>
      </c>
      <c r="D47" s="1134" t="s">
        <v>475</v>
      </c>
      <c r="E47" s="1134" t="s">
        <v>476</v>
      </c>
      <c r="F47" s="1134">
        <v>13</v>
      </c>
      <c r="G47" s="1112">
        <v>6567</v>
      </c>
      <c r="H47" s="1134"/>
      <c r="I47" s="435">
        <v>0.15</v>
      </c>
      <c r="J47" s="1134"/>
      <c r="K47" s="1134"/>
      <c r="L47" s="1134"/>
      <c r="M47" s="1134"/>
      <c r="N47" s="1112">
        <f>G47+I48+L48</f>
        <v>7552.05</v>
      </c>
      <c r="O47" s="1112">
        <v>1</v>
      </c>
      <c r="P47" s="1112"/>
      <c r="Q47" s="1134"/>
      <c r="R47" s="1134"/>
      <c r="S47" s="1134"/>
      <c r="T47" s="1134">
        <v>24</v>
      </c>
      <c r="U47" s="1138">
        <v>0.3</v>
      </c>
      <c r="V47" s="1112">
        <f>N47*U47</f>
        <v>2265.6149999999998</v>
      </c>
      <c r="W47" s="1112"/>
      <c r="X47" s="1112">
        <f>(N47+V47)*O47</f>
        <v>9817.6650000000009</v>
      </c>
      <c r="Y47" s="1112">
        <f>AB47</f>
        <v>10182.334999999999</v>
      </c>
      <c r="Z47" s="1112">
        <f>X47+Y47</f>
        <v>20000</v>
      </c>
      <c r="AA47" s="1109">
        <f>20000*O47</f>
        <v>20000</v>
      </c>
      <c r="AB47" s="1109">
        <f>AA47-X47</f>
        <v>10182.334999999999</v>
      </c>
      <c r="AC47" s="1112">
        <f>6500*O47</f>
        <v>6500</v>
      </c>
      <c r="AD47" s="1112">
        <f>X47-AC47</f>
        <v>3317.6650000000009</v>
      </c>
      <c r="AE47" s="436">
        <f t="shared" si="13"/>
        <v>6567</v>
      </c>
      <c r="AF47" s="436">
        <f t="shared" si="14"/>
        <v>0</v>
      </c>
      <c r="AG47" s="436">
        <f t="shared" si="15"/>
        <v>7552.05</v>
      </c>
      <c r="AH47" s="436">
        <f t="shared" si="16"/>
        <v>0</v>
      </c>
      <c r="AI47" s="436">
        <f t="shared" si="17"/>
        <v>985.05000000000018</v>
      </c>
      <c r="AJ47" s="436">
        <f t="shared" si="17"/>
        <v>0</v>
      </c>
      <c r="AK47" s="437">
        <f t="shared" si="18"/>
        <v>2265.6149999999998</v>
      </c>
      <c r="AL47" s="437">
        <f t="shared" si="19"/>
        <v>0</v>
      </c>
      <c r="AM47" s="437">
        <f t="shared" si="20"/>
        <v>0</v>
      </c>
      <c r="AN47" s="437">
        <f t="shared" si="21"/>
        <v>0</v>
      </c>
      <c r="AO47" s="437">
        <f t="shared" si="22"/>
        <v>0</v>
      </c>
      <c r="AP47" s="437">
        <f t="shared" si="23"/>
        <v>7552.05</v>
      </c>
      <c r="AQ47" s="437">
        <f t="shared" si="23"/>
        <v>0</v>
      </c>
      <c r="AR47" s="436"/>
      <c r="AS47" s="437">
        <f t="shared" si="10"/>
        <v>7552.05</v>
      </c>
    </row>
    <row r="48" spans="1:45" s="438" customFormat="1" ht="24.95" customHeight="1">
      <c r="A48" s="1134"/>
      <c r="B48" s="1134"/>
      <c r="C48" s="1139"/>
      <c r="D48" s="1134"/>
      <c r="E48" s="1134"/>
      <c r="F48" s="1134"/>
      <c r="G48" s="1112"/>
      <c r="H48" s="1134"/>
      <c r="I48" s="448">
        <f>G47*I47</f>
        <v>985.05</v>
      </c>
      <c r="J48" s="1134"/>
      <c r="K48" s="1134"/>
      <c r="L48" s="1134"/>
      <c r="M48" s="1134"/>
      <c r="N48" s="1112"/>
      <c r="O48" s="1112"/>
      <c r="P48" s="1112"/>
      <c r="Q48" s="1134"/>
      <c r="R48" s="1134"/>
      <c r="S48" s="1134"/>
      <c r="T48" s="1134"/>
      <c r="U48" s="1138"/>
      <c r="V48" s="1112"/>
      <c r="W48" s="1112"/>
      <c r="X48" s="1112"/>
      <c r="Y48" s="1112"/>
      <c r="Z48" s="1112"/>
      <c r="AA48" s="1109"/>
      <c r="AB48" s="1109"/>
      <c r="AC48" s="1112"/>
      <c r="AD48" s="1112"/>
      <c r="AE48" s="436">
        <f t="shared" si="13"/>
        <v>0</v>
      </c>
      <c r="AF48" s="436">
        <f t="shared" si="14"/>
        <v>0</v>
      </c>
      <c r="AG48" s="436">
        <f t="shared" si="15"/>
        <v>0</v>
      </c>
      <c r="AH48" s="436">
        <f t="shared" si="16"/>
        <v>0</v>
      </c>
      <c r="AI48" s="436">
        <f t="shared" si="17"/>
        <v>0</v>
      </c>
      <c r="AJ48" s="436">
        <f t="shared" si="17"/>
        <v>0</v>
      </c>
      <c r="AK48" s="437">
        <f t="shared" si="18"/>
        <v>0</v>
      </c>
      <c r="AL48" s="437">
        <f t="shared" si="19"/>
        <v>0</v>
      </c>
      <c r="AM48" s="437">
        <f t="shared" si="20"/>
        <v>0</v>
      </c>
      <c r="AN48" s="437">
        <f t="shared" si="21"/>
        <v>0</v>
      </c>
      <c r="AO48" s="437">
        <f t="shared" si="22"/>
        <v>0</v>
      </c>
      <c r="AP48" s="437">
        <f t="shared" si="23"/>
        <v>0</v>
      </c>
      <c r="AQ48" s="437">
        <f t="shared" si="23"/>
        <v>0</v>
      </c>
      <c r="AR48" s="436"/>
      <c r="AS48" s="437">
        <f t="shared" si="10"/>
        <v>0</v>
      </c>
    </row>
    <row r="49" spans="1:45" s="438" customFormat="1" ht="24.95" customHeight="1">
      <c r="A49" s="1134"/>
      <c r="B49" s="1134"/>
      <c r="C49" s="1139" t="s">
        <v>477</v>
      </c>
      <c r="D49" s="1134" t="s">
        <v>478</v>
      </c>
      <c r="E49" s="1134" t="s">
        <v>479</v>
      </c>
      <c r="F49" s="1134">
        <v>14</v>
      </c>
      <c r="G49" s="1112">
        <v>7001</v>
      </c>
      <c r="H49" s="1112"/>
      <c r="I49" s="1112"/>
      <c r="J49" s="1112"/>
      <c r="K49" s="1112"/>
      <c r="L49" s="1112"/>
      <c r="M49" s="1112"/>
      <c r="N49" s="1112">
        <f>G49+I50+L50</f>
        <v>7001</v>
      </c>
      <c r="O49" s="1112"/>
      <c r="P49" s="1112">
        <v>0.5</v>
      </c>
      <c r="Q49" s="1112"/>
      <c r="R49" s="1112"/>
      <c r="S49" s="1112"/>
      <c r="T49" s="1134">
        <v>23</v>
      </c>
      <c r="U49" s="1138">
        <v>0.3</v>
      </c>
      <c r="V49" s="1112">
        <f>N49*U49</f>
        <v>2100.2999999999997</v>
      </c>
      <c r="W49" s="1112"/>
      <c r="X49" s="1112">
        <f>(N49+V49)*P49</f>
        <v>4550.6499999999996</v>
      </c>
      <c r="Y49" s="1112">
        <f>AB49</f>
        <v>5449.35</v>
      </c>
      <c r="Z49" s="1112">
        <f>X49+Y49</f>
        <v>10000</v>
      </c>
      <c r="AA49" s="1109">
        <f>20000*P49</f>
        <v>10000</v>
      </c>
      <c r="AB49" s="1109">
        <f>AA49-X49</f>
        <v>5449.35</v>
      </c>
      <c r="AC49" s="1112">
        <f>6500*P49</f>
        <v>3250</v>
      </c>
      <c r="AD49" s="1112">
        <f>X49-AC49</f>
        <v>1300.6499999999996</v>
      </c>
      <c r="AE49" s="436">
        <f t="shared" si="13"/>
        <v>0</v>
      </c>
      <c r="AF49" s="436">
        <f t="shared" si="14"/>
        <v>3500.5</v>
      </c>
      <c r="AG49" s="436">
        <f t="shared" si="15"/>
        <v>0</v>
      </c>
      <c r="AH49" s="436">
        <f t="shared" si="16"/>
        <v>3500.5</v>
      </c>
      <c r="AI49" s="436">
        <f t="shared" si="17"/>
        <v>0</v>
      </c>
      <c r="AJ49" s="436">
        <f t="shared" si="17"/>
        <v>0</v>
      </c>
      <c r="AK49" s="437">
        <f t="shared" si="18"/>
        <v>0</v>
      </c>
      <c r="AL49" s="437">
        <f t="shared" si="19"/>
        <v>1050.1499999999999</v>
      </c>
      <c r="AM49" s="437">
        <f t="shared" si="20"/>
        <v>0</v>
      </c>
      <c r="AN49" s="437">
        <f t="shared" si="21"/>
        <v>0</v>
      </c>
      <c r="AO49" s="437">
        <f t="shared" si="22"/>
        <v>0</v>
      </c>
      <c r="AP49" s="437">
        <f t="shared" si="23"/>
        <v>0</v>
      </c>
      <c r="AQ49" s="437">
        <f t="shared" si="23"/>
        <v>3500.5</v>
      </c>
      <c r="AR49" s="436"/>
      <c r="AS49" s="437">
        <f t="shared" si="10"/>
        <v>3500.5</v>
      </c>
    </row>
    <row r="50" spans="1:45" s="438" customFormat="1" ht="24.95" customHeight="1">
      <c r="A50" s="1134"/>
      <c r="B50" s="1134"/>
      <c r="C50" s="1139"/>
      <c r="D50" s="1134"/>
      <c r="E50" s="1134"/>
      <c r="F50" s="1134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34"/>
      <c r="U50" s="1138"/>
      <c r="V50" s="1112"/>
      <c r="W50" s="1112"/>
      <c r="X50" s="1112"/>
      <c r="Y50" s="1112"/>
      <c r="Z50" s="1112"/>
      <c r="AA50" s="1109"/>
      <c r="AB50" s="1109"/>
      <c r="AC50" s="1112"/>
      <c r="AD50" s="1112"/>
      <c r="AE50" s="436">
        <f t="shared" si="13"/>
        <v>0</v>
      </c>
      <c r="AF50" s="436">
        <f t="shared" si="14"/>
        <v>0</v>
      </c>
      <c r="AG50" s="436">
        <f t="shared" si="15"/>
        <v>0</v>
      </c>
      <c r="AH50" s="436">
        <f t="shared" si="16"/>
        <v>0</v>
      </c>
      <c r="AI50" s="436">
        <f t="shared" si="17"/>
        <v>0</v>
      </c>
      <c r="AJ50" s="436">
        <f t="shared" si="17"/>
        <v>0</v>
      </c>
      <c r="AK50" s="437">
        <f t="shared" si="18"/>
        <v>0</v>
      </c>
      <c r="AL50" s="437">
        <f t="shared" si="19"/>
        <v>0</v>
      </c>
      <c r="AM50" s="437">
        <f t="shared" si="20"/>
        <v>0</v>
      </c>
      <c r="AN50" s="437">
        <f t="shared" si="21"/>
        <v>0</v>
      </c>
      <c r="AO50" s="437">
        <f t="shared" si="22"/>
        <v>0</v>
      </c>
      <c r="AP50" s="437">
        <f t="shared" si="23"/>
        <v>0</v>
      </c>
      <c r="AQ50" s="437">
        <f t="shared" si="23"/>
        <v>0</v>
      </c>
      <c r="AR50" s="436"/>
      <c r="AS50" s="437">
        <f t="shared" si="10"/>
        <v>0</v>
      </c>
    </row>
    <row r="51" spans="1:45" s="438" customFormat="1" ht="24.95" customHeight="1">
      <c r="A51" s="1134"/>
      <c r="B51" s="1134"/>
      <c r="C51" s="1139" t="s">
        <v>477</v>
      </c>
      <c r="D51" s="1134"/>
      <c r="E51" s="1134" t="s">
        <v>325</v>
      </c>
      <c r="F51" s="1134">
        <v>13</v>
      </c>
      <c r="G51" s="1112">
        <v>6567</v>
      </c>
      <c r="H51" s="1112"/>
      <c r="I51" s="1112"/>
      <c r="J51" s="1112"/>
      <c r="K51" s="1112"/>
      <c r="L51" s="1112"/>
      <c r="M51" s="1112"/>
      <c r="N51" s="1112">
        <f>G51+I52+L52</f>
        <v>6567</v>
      </c>
      <c r="O51" s="1112">
        <f>1-0.5</f>
        <v>0.5</v>
      </c>
      <c r="P51" s="1112"/>
      <c r="Q51" s="1112"/>
      <c r="R51" s="1112"/>
      <c r="S51" s="1112"/>
      <c r="T51" s="1134"/>
      <c r="U51" s="1138">
        <v>0</v>
      </c>
      <c r="V51" s="1112">
        <f>N51*U51</f>
        <v>0</v>
      </c>
      <c r="W51" s="1112"/>
      <c r="X51" s="1112">
        <f>(N51+V51)*O51+W51</f>
        <v>3283.5</v>
      </c>
      <c r="Y51" s="1112">
        <f>AB51</f>
        <v>6716.5</v>
      </c>
      <c r="Z51" s="1112">
        <f>X51+Y51</f>
        <v>10000</v>
      </c>
      <c r="AA51" s="1109">
        <f>20000*O51</f>
        <v>10000</v>
      </c>
      <c r="AB51" s="1109">
        <f>AA51-X51</f>
        <v>6716.5</v>
      </c>
      <c r="AC51" s="1112">
        <f>6500*O51</f>
        <v>3250</v>
      </c>
      <c r="AD51" s="1112">
        <f>X51-AC51</f>
        <v>33.5</v>
      </c>
      <c r="AE51" s="436">
        <f t="shared" si="13"/>
        <v>3283.5</v>
      </c>
      <c r="AF51" s="436">
        <f t="shared" si="14"/>
        <v>0</v>
      </c>
      <c r="AG51" s="436">
        <f t="shared" si="15"/>
        <v>3283.5</v>
      </c>
      <c r="AH51" s="436">
        <f t="shared" si="16"/>
        <v>0</v>
      </c>
      <c r="AI51" s="436">
        <f t="shared" si="17"/>
        <v>0</v>
      </c>
      <c r="AJ51" s="436">
        <f t="shared" si="17"/>
        <v>0</v>
      </c>
      <c r="AK51" s="437">
        <f t="shared" si="18"/>
        <v>0</v>
      </c>
      <c r="AL51" s="437">
        <f t="shared" si="19"/>
        <v>0</v>
      </c>
      <c r="AM51" s="437">
        <f t="shared" si="20"/>
        <v>0</v>
      </c>
      <c r="AN51" s="437">
        <f t="shared" si="21"/>
        <v>0</v>
      </c>
      <c r="AO51" s="437">
        <f t="shared" si="22"/>
        <v>0</v>
      </c>
      <c r="AP51" s="437">
        <f t="shared" si="23"/>
        <v>3283.5</v>
      </c>
      <c r="AQ51" s="437">
        <f t="shared" si="23"/>
        <v>0</v>
      </c>
      <c r="AR51" s="436"/>
      <c r="AS51" s="437">
        <f t="shared" si="10"/>
        <v>3283.5</v>
      </c>
    </row>
    <row r="52" spans="1:45" s="438" customFormat="1" ht="24.95" customHeight="1">
      <c r="A52" s="1134"/>
      <c r="B52" s="1134"/>
      <c r="C52" s="1139"/>
      <c r="D52" s="1134"/>
      <c r="E52" s="1134"/>
      <c r="F52" s="1134"/>
      <c r="G52" s="1112"/>
      <c r="H52" s="1112"/>
      <c r="I52" s="1112"/>
      <c r="J52" s="1112"/>
      <c r="K52" s="1112"/>
      <c r="L52" s="1112"/>
      <c r="M52" s="1112"/>
      <c r="N52" s="1112"/>
      <c r="O52" s="1112"/>
      <c r="P52" s="1112"/>
      <c r="Q52" s="1112"/>
      <c r="R52" s="1112"/>
      <c r="S52" s="1112"/>
      <c r="T52" s="1134"/>
      <c r="U52" s="1138"/>
      <c r="V52" s="1112"/>
      <c r="W52" s="1112"/>
      <c r="X52" s="1112"/>
      <c r="Y52" s="1112"/>
      <c r="Z52" s="1112"/>
      <c r="AA52" s="1109"/>
      <c r="AB52" s="1109"/>
      <c r="AC52" s="1112"/>
      <c r="AD52" s="1112"/>
      <c r="AE52" s="436">
        <f t="shared" si="13"/>
        <v>0</v>
      </c>
      <c r="AF52" s="436">
        <f t="shared" si="14"/>
        <v>0</v>
      </c>
      <c r="AG52" s="436">
        <f t="shared" si="15"/>
        <v>0</v>
      </c>
      <c r="AH52" s="436">
        <f t="shared" si="16"/>
        <v>0</v>
      </c>
      <c r="AI52" s="436">
        <f t="shared" si="17"/>
        <v>0</v>
      </c>
      <c r="AJ52" s="436">
        <f t="shared" si="17"/>
        <v>0</v>
      </c>
      <c r="AK52" s="437">
        <f t="shared" si="18"/>
        <v>0</v>
      </c>
      <c r="AL52" s="437">
        <f t="shared" si="19"/>
        <v>0</v>
      </c>
      <c r="AM52" s="437">
        <f t="shared" si="20"/>
        <v>0</v>
      </c>
      <c r="AN52" s="437">
        <f t="shared" si="21"/>
        <v>0</v>
      </c>
      <c r="AO52" s="437">
        <f t="shared" si="22"/>
        <v>0</v>
      </c>
      <c r="AP52" s="437">
        <f t="shared" si="23"/>
        <v>0</v>
      </c>
      <c r="AQ52" s="437">
        <f t="shared" si="23"/>
        <v>0</v>
      </c>
      <c r="AR52" s="436"/>
      <c r="AS52" s="437">
        <f t="shared" si="10"/>
        <v>0</v>
      </c>
    </row>
    <row r="53" spans="1:45" s="438" customFormat="1" ht="24.95" customHeight="1">
      <c r="A53" s="1134"/>
      <c r="B53" s="1134"/>
      <c r="C53" s="1139" t="s">
        <v>480</v>
      </c>
      <c r="D53" s="1134" t="s">
        <v>481</v>
      </c>
      <c r="E53" s="1134" t="s">
        <v>482</v>
      </c>
      <c r="F53" s="1134">
        <v>13</v>
      </c>
      <c r="G53" s="1112">
        <v>6567</v>
      </c>
      <c r="H53" s="1134"/>
      <c r="I53" s="1134"/>
      <c r="J53" s="1134"/>
      <c r="K53" s="1134"/>
      <c r="L53" s="435">
        <v>0.25</v>
      </c>
      <c r="M53" s="1138"/>
      <c r="N53" s="1112">
        <f>G53+I54+L54</f>
        <v>8208.75</v>
      </c>
      <c r="O53" s="1112">
        <v>1</v>
      </c>
      <c r="P53" s="1112"/>
      <c r="Q53" s="1166"/>
      <c r="R53" s="1138"/>
      <c r="S53" s="1166"/>
      <c r="T53" s="1166">
        <v>31</v>
      </c>
      <c r="U53" s="1138">
        <v>0.3</v>
      </c>
      <c r="V53" s="1112">
        <f>N53*U53</f>
        <v>2462.625</v>
      </c>
      <c r="W53" s="1112"/>
      <c r="X53" s="1112">
        <f>(N53+V53)*O53</f>
        <v>10671.375</v>
      </c>
      <c r="Y53" s="1112">
        <f>AB53</f>
        <v>9328.625</v>
      </c>
      <c r="Z53" s="1112">
        <f>X53+Y53</f>
        <v>20000</v>
      </c>
      <c r="AA53" s="1109">
        <f>20000*O53</f>
        <v>20000</v>
      </c>
      <c r="AB53" s="1109">
        <f>AA53-X53</f>
        <v>9328.625</v>
      </c>
      <c r="AC53" s="1112">
        <f>6500*O53</f>
        <v>6500</v>
      </c>
      <c r="AD53" s="1112">
        <f>X53-AC53</f>
        <v>4171.375</v>
      </c>
      <c r="AE53" s="436">
        <f t="shared" si="13"/>
        <v>6567</v>
      </c>
      <c r="AF53" s="436">
        <f t="shared" si="14"/>
        <v>0</v>
      </c>
      <c r="AG53" s="436">
        <f t="shared" si="15"/>
        <v>8208.75</v>
      </c>
      <c r="AH53" s="436">
        <f t="shared" si="16"/>
        <v>0</v>
      </c>
      <c r="AI53" s="436">
        <f t="shared" si="17"/>
        <v>1641.75</v>
      </c>
      <c r="AJ53" s="436">
        <f t="shared" si="17"/>
        <v>0</v>
      </c>
      <c r="AK53" s="437">
        <f t="shared" si="18"/>
        <v>2462.625</v>
      </c>
      <c r="AL53" s="437">
        <f t="shared" si="19"/>
        <v>0</v>
      </c>
      <c r="AM53" s="437">
        <f t="shared" si="20"/>
        <v>0</v>
      </c>
      <c r="AN53" s="437">
        <f t="shared" si="21"/>
        <v>0</v>
      </c>
      <c r="AO53" s="437">
        <f t="shared" si="22"/>
        <v>0</v>
      </c>
      <c r="AP53" s="437">
        <f t="shared" si="23"/>
        <v>8208.75</v>
      </c>
      <c r="AQ53" s="437">
        <f t="shared" si="23"/>
        <v>0</v>
      </c>
      <c r="AR53" s="436"/>
      <c r="AS53" s="437">
        <f t="shared" si="10"/>
        <v>8208.75</v>
      </c>
    </row>
    <row r="54" spans="1:45" s="438" customFormat="1" ht="24.95" customHeight="1">
      <c r="A54" s="1134"/>
      <c r="B54" s="1134"/>
      <c r="C54" s="1139"/>
      <c r="D54" s="1134"/>
      <c r="E54" s="1134"/>
      <c r="F54" s="1134"/>
      <c r="G54" s="1112"/>
      <c r="H54" s="1134"/>
      <c r="I54" s="1134"/>
      <c r="J54" s="1134"/>
      <c r="K54" s="1134"/>
      <c r="L54" s="449">
        <f>G53*L53</f>
        <v>1641.75</v>
      </c>
      <c r="M54" s="1134"/>
      <c r="N54" s="1112"/>
      <c r="O54" s="1112"/>
      <c r="P54" s="1112"/>
      <c r="Q54" s="1166"/>
      <c r="R54" s="1134"/>
      <c r="S54" s="1166"/>
      <c r="T54" s="1166"/>
      <c r="U54" s="1138"/>
      <c r="V54" s="1112"/>
      <c r="W54" s="1112"/>
      <c r="X54" s="1112"/>
      <c r="Y54" s="1112"/>
      <c r="Z54" s="1112"/>
      <c r="AA54" s="1109"/>
      <c r="AB54" s="1109"/>
      <c r="AC54" s="1112"/>
      <c r="AD54" s="1112"/>
      <c r="AE54" s="436">
        <f t="shared" si="13"/>
        <v>0</v>
      </c>
      <c r="AF54" s="436">
        <f t="shared" si="14"/>
        <v>0</v>
      </c>
      <c r="AG54" s="436">
        <f t="shared" si="15"/>
        <v>0</v>
      </c>
      <c r="AH54" s="436">
        <f t="shared" si="16"/>
        <v>0</v>
      </c>
      <c r="AI54" s="436">
        <f t="shared" si="17"/>
        <v>0</v>
      </c>
      <c r="AJ54" s="436">
        <f t="shared" si="17"/>
        <v>0</v>
      </c>
      <c r="AK54" s="437">
        <f t="shared" si="18"/>
        <v>0</v>
      </c>
      <c r="AL54" s="437">
        <f t="shared" si="19"/>
        <v>0</v>
      </c>
      <c r="AM54" s="437">
        <f t="shared" si="20"/>
        <v>0</v>
      </c>
      <c r="AN54" s="437">
        <f t="shared" si="21"/>
        <v>0</v>
      </c>
      <c r="AO54" s="437">
        <f t="shared" si="22"/>
        <v>0</v>
      </c>
      <c r="AP54" s="437">
        <f t="shared" si="23"/>
        <v>0</v>
      </c>
      <c r="AQ54" s="437">
        <f t="shared" si="23"/>
        <v>0</v>
      </c>
      <c r="AR54" s="436"/>
      <c r="AS54" s="437">
        <f t="shared" si="10"/>
        <v>0</v>
      </c>
    </row>
    <row r="55" spans="1:45" s="438" customFormat="1" ht="24.95" customHeight="1">
      <c r="A55" s="1134"/>
      <c r="B55" s="1134"/>
      <c r="C55" s="1139" t="s">
        <v>483</v>
      </c>
      <c r="D55" s="1134" t="s">
        <v>1003</v>
      </c>
      <c r="E55" s="1169" t="s">
        <v>1004</v>
      </c>
      <c r="F55" s="1134">
        <v>10</v>
      </c>
      <c r="G55" s="1112">
        <v>5265</v>
      </c>
      <c r="H55" s="1112"/>
      <c r="I55" s="1112"/>
      <c r="J55" s="1112"/>
      <c r="K55" s="1112"/>
      <c r="L55" s="1112"/>
      <c r="M55" s="1112"/>
      <c r="N55" s="1112">
        <f>G55+H56+I56+L56</f>
        <v>5265</v>
      </c>
      <c r="O55" s="1112">
        <v>1</v>
      </c>
      <c r="P55" s="1112"/>
      <c r="Q55" s="1112"/>
      <c r="R55" s="1112"/>
      <c r="S55" s="1112"/>
      <c r="T55" s="1134"/>
      <c r="U55" s="1138">
        <v>0</v>
      </c>
      <c r="V55" s="1112">
        <f>N55*U55</f>
        <v>0</v>
      </c>
      <c r="W55" s="1165">
        <v>1235</v>
      </c>
      <c r="X55" s="1112">
        <f>(N55+V55)*O55+W55</f>
        <v>6500</v>
      </c>
      <c r="Y55" s="1112">
        <f>AB55</f>
        <v>13500</v>
      </c>
      <c r="Z55" s="1112">
        <f>X55+Y55</f>
        <v>20000</v>
      </c>
      <c r="AA55" s="1109">
        <f>20000*O55</f>
        <v>20000</v>
      </c>
      <c r="AB55" s="1109">
        <f>AA55-X55</f>
        <v>13500</v>
      </c>
      <c r="AC55" s="1112">
        <f>6500*O55</f>
        <v>6500</v>
      </c>
      <c r="AD55" s="1112">
        <f>X55-AC55</f>
        <v>0</v>
      </c>
      <c r="AE55" s="436">
        <f t="shared" si="13"/>
        <v>5265</v>
      </c>
      <c r="AF55" s="436">
        <f t="shared" si="14"/>
        <v>0</v>
      </c>
      <c r="AG55" s="436">
        <f t="shared" si="15"/>
        <v>5265</v>
      </c>
      <c r="AH55" s="436">
        <f t="shared" si="16"/>
        <v>0</v>
      </c>
      <c r="AI55" s="436">
        <f t="shared" si="17"/>
        <v>0</v>
      </c>
      <c r="AJ55" s="436">
        <f t="shared" si="17"/>
        <v>0</v>
      </c>
      <c r="AK55" s="437">
        <f t="shared" si="18"/>
        <v>0</v>
      </c>
      <c r="AL55" s="437">
        <f t="shared" si="19"/>
        <v>0</v>
      </c>
      <c r="AM55" s="437">
        <f t="shared" si="20"/>
        <v>1235</v>
      </c>
      <c r="AN55" s="437">
        <f t="shared" si="21"/>
        <v>0</v>
      </c>
      <c r="AO55" s="437">
        <f t="shared" si="22"/>
        <v>0</v>
      </c>
      <c r="AP55" s="437">
        <f t="shared" si="23"/>
        <v>5265</v>
      </c>
      <c r="AQ55" s="437">
        <f t="shared" si="23"/>
        <v>0</v>
      </c>
      <c r="AR55" s="436"/>
      <c r="AS55" s="437">
        <f t="shared" si="10"/>
        <v>5265</v>
      </c>
    </row>
    <row r="56" spans="1:45" s="438" customFormat="1" ht="24.75" customHeight="1">
      <c r="A56" s="1134"/>
      <c r="B56" s="1134"/>
      <c r="C56" s="1139"/>
      <c r="D56" s="1134"/>
      <c r="E56" s="1169"/>
      <c r="F56" s="1134"/>
      <c r="G56" s="1112"/>
      <c r="H56" s="1112"/>
      <c r="I56" s="1112"/>
      <c r="J56" s="1112"/>
      <c r="K56" s="1112"/>
      <c r="L56" s="1112"/>
      <c r="M56" s="1112"/>
      <c r="N56" s="1112"/>
      <c r="O56" s="1112"/>
      <c r="P56" s="1112"/>
      <c r="Q56" s="1112"/>
      <c r="R56" s="1112"/>
      <c r="S56" s="1112"/>
      <c r="T56" s="1134"/>
      <c r="U56" s="1138"/>
      <c r="V56" s="1112"/>
      <c r="W56" s="1165"/>
      <c r="X56" s="1112"/>
      <c r="Y56" s="1112"/>
      <c r="Z56" s="1112"/>
      <c r="AA56" s="1109"/>
      <c r="AB56" s="1109"/>
      <c r="AC56" s="1112"/>
      <c r="AD56" s="1112"/>
      <c r="AE56" s="436">
        <f t="shared" si="13"/>
        <v>0</v>
      </c>
      <c r="AF56" s="436">
        <f t="shared" si="14"/>
        <v>0</v>
      </c>
      <c r="AG56" s="436">
        <f t="shared" si="15"/>
        <v>0</v>
      </c>
      <c r="AH56" s="436">
        <f t="shared" si="16"/>
        <v>0</v>
      </c>
      <c r="AI56" s="436">
        <f t="shared" si="17"/>
        <v>0</v>
      </c>
      <c r="AJ56" s="436">
        <f t="shared" si="17"/>
        <v>0</v>
      </c>
      <c r="AK56" s="437">
        <f t="shared" si="18"/>
        <v>0</v>
      </c>
      <c r="AL56" s="437">
        <f t="shared" si="19"/>
        <v>0</v>
      </c>
      <c r="AM56" s="437">
        <f t="shared" si="20"/>
        <v>0</v>
      </c>
      <c r="AN56" s="437">
        <f t="shared" si="21"/>
        <v>0</v>
      </c>
      <c r="AO56" s="437">
        <f t="shared" si="22"/>
        <v>0</v>
      </c>
      <c r="AP56" s="437">
        <f t="shared" si="23"/>
        <v>0</v>
      </c>
      <c r="AQ56" s="437">
        <f t="shared" si="23"/>
        <v>0</v>
      </c>
      <c r="AR56" s="436"/>
      <c r="AS56" s="437">
        <f t="shared" si="10"/>
        <v>0</v>
      </c>
    </row>
    <row r="57" spans="1:45" s="438" customFormat="1" ht="24.95" customHeight="1">
      <c r="A57" s="1134"/>
      <c r="B57" s="1134"/>
      <c r="C57" s="1139" t="s">
        <v>484</v>
      </c>
      <c r="D57" s="1134" t="s">
        <v>320</v>
      </c>
      <c r="E57" s="1134" t="s">
        <v>321</v>
      </c>
      <c r="F57" s="1134">
        <v>13</v>
      </c>
      <c r="G57" s="1112">
        <v>6567</v>
      </c>
      <c r="H57" s="1134"/>
      <c r="I57" s="1112"/>
      <c r="J57" s="1134"/>
      <c r="K57" s="1134"/>
      <c r="L57" s="1134"/>
      <c r="M57" s="1134"/>
      <c r="N57" s="1112">
        <f>G57+I58+L58</f>
        <v>6567</v>
      </c>
      <c r="O57" s="1112">
        <v>1</v>
      </c>
      <c r="P57" s="1112"/>
      <c r="Q57" s="1134"/>
      <c r="R57" s="1134"/>
      <c r="S57" s="1134"/>
      <c r="T57" s="1134">
        <v>36</v>
      </c>
      <c r="U57" s="1138">
        <v>0.3</v>
      </c>
      <c r="V57" s="1112">
        <f>N57*U57</f>
        <v>1970.1</v>
      </c>
      <c r="W57" s="1112"/>
      <c r="X57" s="1112">
        <f>(N57+V57)*O57+W57</f>
        <v>8537.1</v>
      </c>
      <c r="Y57" s="1112">
        <f>AB57</f>
        <v>11462.9</v>
      </c>
      <c r="Z57" s="1112">
        <f>X57+Y57</f>
        <v>20000</v>
      </c>
      <c r="AA57" s="1109">
        <f>20000*O57</f>
        <v>20000</v>
      </c>
      <c r="AB57" s="1109">
        <f>AA57-X57</f>
        <v>11462.9</v>
      </c>
      <c r="AC57" s="1112">
        <f>6500*O57</f>
        <v>6500</v>
      </c>
      <c r="AD57" s="1112">
        <f>X57-AC57</f>
        <v>2037.1000000000004</v>
      </c>
      <c r="AE57" s="436">
        <f t="shared" si="13"/>
        <v>6567</v>
      </c>
      <c r="AF57" s="436">
        <f t="shared" si="14"/>
        <v>0</v>
      </c>
      <c r="AG57" s="436">
        <f t="shared" si="15"/>
        <v>6567</v>
      </c>
      <c r="AH57" s="436">
        <f t="shared" si="16"/>
        <v>0</v>
      </c>
      <c r="AI57" s="436">
        <f t="shared" si="17"/>
        <v>0</v>
      </c>
      <c r="AJ57" s="436">
        <f t="shared" si="17"/>
        <v>0</v>
      </c>
      <c r="AK57" s="437">
        <f t="shared" si="18"/>
        <v>1970.1</v>
      </c>
      <c r="AL57" s="437">
        <f t="shared" si="19"/>
        <v>0</v>
      </c>
      <c r="AM57" s="437">
        <f t="shared" si="20"/>
        <v>0</v>
      </c>
      <c r="AN57" s="437">
        <f t="shared" si="21"/>
        <v>0</v>
      </c>
      <c r="AO57" s="437">
        <f t="shared" si="22"/>
        <v>0</v>
      </c>
      <c r="AP57" s="437">
        <f t="shared" si="23"/>
        <v>6567</v>
      </c>
      <c r="AQ57" s="437">
        <f t="shared" si="23"/>
        <v>0</v>
      </c>
      <c r="AR57" s="436"/>
      <c r="AS57" s="437">
        <f t="shared" si="10"/>
        <v>6567</v>
      </c>
    </row>
    <row r="58" spans="1:45" s="438" customFormat="1" ht="24.95" customHeight="1">
      <c r="A58" s="1134"/>
      <c r="B58" s="1134"/>
      <c r="C58" s="1139"/>
      <c r="D58" s="1134"/>
      <c r="E58" s="1134"/>
      <c r="F58" s="1134"/>
      <c r="G58" s="1112"/>
      <c r="H58" s="1134"/>
      <c r="I58" s="1112"/>
      <c r="J58" s="1134"/>
      <c r="K58" s="1134"/>
      <c r="L58" s="1134"/>
      <c r="M58" s="1134"/>
      <c r="N58" s="1112"/>
      <c r="O58" s="1112"/>
      <c r="P58" s="1112"/>
      <c r="Q58" s="1134"/>
      <c r="R58" s="1134"/>
      <c r="S58" s="1134"/>
      <c r="T58" s="1134"/>
      <c r="U58" s="1138"/>
      <c r="V58" s="1112"/>
      <c r="W58" s="1112"/>
      <c r="X58" s="1112"/>
      <c r="Y58" s="1112"/>
      <c r="Z58" s="1112"/>
      <c r="AA58" s="1109"/>
      <c r="AB58" s="1109"/>
      <c r="AC58" s="1112"/>
      <c r="AD58" s="1112"/>
      <c r="AE58" s="436">
        <f t="shared" si="13"/>
        <v>0</v>
      </c>
      <c r="AF58" s="436">
        <f t="shared" si="14"/>
        <v>0</v>
      </c>
      <c r="AG58" s="436">
        <f t="shared" si="15"/>
        <v>0</v>
      </c>
      <c r="AH58" s="436">
        <f t="shared" si="16"/>
        <v>0</v>
      </c>
      <c r="AI58" s="436">
        <f t="shared" si="17"/>
        <v>0</v>
      </c>
      <c r="AJ58" s="436">
        <f t="shared" si="17"/>
        <v>0</v>
      </c>
      <c r="AK58" s="437">
        <f t="shared" si="18"/>
        <v>0</v>
      </c>
      <c r="AL58" s="437">
        <f t="shared" si="19"/>
        <v>0</v>
      </c>
      <c r="AM58" s="437">
        <f t="shared" si="20"/>
        <v>0</v>
      </c>
      <c r="AN58" s="437">
        <f t="shared" si="21"/>
        <v>0</v>
      </c>
      <c r="AO58" s="437">
        <f t="shared" si="22"/>
        <v>0</v>
      </c>
      <c r="AP58" s="437">
        <f t="shared" si="23"/>
        <v>0</v>
      </c>
      <c r="AQ58" s="437">
        <f t="shared" si="23"/>
        <v>0</v>
      </c>
      <c r="AR58" s="436"/>
      <c r="AS58" s="437">
        <f t="shared" si="10"/>
        <v>0</v>
      </c>
    </row>
    <row r="59" spans="1:45" s="438" customFormat="1" ht="24.95" customHeight="1">
      <c r="A59" s="1134"/>
      <c r="B59" s="1134"/>
      <c r="C59" s="1139" t="s">
        <v>485</v>
      </c>
      <c r="D59" s="1134" t="s">
        <v>486</v>
      </c>
      <c r="E59" s="1134" t="s">
        <v>317</v>
      </c>
      <c r="F59" s="1134">
        <v>13</v>
      </c>
      <c r="G59" s="1112">
        <v>6567</v>
      </c>
      <c r="H59" s="1112"/>
      <c r="I59" s="1112"/>
      <c r="J59" s="1112"/>
      <c r="K59" s="1112"/>
      <c r="L59" s="1112"/>
      <c r="M59" s="1112"/>
      <c r="N59" s="1112">
        <f>G59+I60</f>
        <v>6567</v>
      </c>
      <c r="O59" s="1112"/>
      <c r="P59" s="1112">
        <f>0.5-0.25</f>
        <v>0.25</v>
      </c>
      <c r="Q59" s="1112"/>
      <c r="R59" s="1112"/>
      <c r="S59" s="1112"/>
      <c r="T59" s="1140">
        <v>18</v>
      </c>
      <c r="U59" s="1138">
        <v>0.2</v>
      </c>
      <c r="V59" s="1112">
        <f>N59*U59</f>
        <v>1313.4</v>
      </c>
      <c r="W59" s="1112"/>
      <c r="X59" s="1112">
        <f>(N59+V59)*P59</f>
        <v>1970.1</v>
      </c>
      <c r="Y59" s="1112">
        <f>AB59</f>
        <v>3029.9</v>
      </c>
      <c r="Z59" s="1112">
        <f>X59+Y59</f>
        <v>5000</v>
      </c>
      <c r="AA59" s="1109">
        <f>20000*P59</f>
        <v>5000</v>
      </c>
      <c r="AB59" s="1109">
        <f>AA59-X59</f>
        <v>3029.9</v>
      </c>
      <c r="AC59" s="1112">
        <f>6500*P59</f>
        <v>1625</v>
      </c>
      <c r="AD59" s="1112">
        <f>X59-AC59</f>
        <v>345.09999999999991</v>
      </c>
      <c r="AE59" s="436">
        <f t="shared" si="13"/>
        <v>0</v>
      </c>
      <c r="AF59" s="436">
        <f t="shared" si="14"/>
        <v>1641.75</v>
      </c>
      <c r="AG59" s="436">
        <f t="shared" si="15"/>
        <v>0</v>
      </c>
      <c r="AH59" s="436">
        <f t="shared" si="16"/>
        <v>1641.75</v>
      </c>
      <c r="AI59" s="436">
        <f t="shared" si="17"/>
        <v>0</v>
      </c>
      <c r="AJ59" s="436">
        <f t="shared" si="17"/>
        <v>0</v>
      </c>
      <c r="AK59" s="437">
        <f t="shared" si="18"/>
        <v>0</v>
      </c>
      <c r="AL59" s="437">
        <f t="shared" si="19"/>
        <v>328.35</v>
      </c>
      <c r="AM59" s="437">
        <f t="shared" si="20"/>
        <v>0</v>
      </c>
      <c r="AN59" s="437">
        <f t="shared" si="21"/>
        <v>0</v>
      </c>
      <c r="AO59" s="437">
        <f t="shared" si="22"/>
        <v>0</v>
      </c>
      <c r="AP59" s="437">
        <f t="shared" si="23"/>
        <v>0</v>
      </c>
      <c r="AQ59" s="437">
        <f t="shared" si="23"/>
        <v>1641.75</v>
      </c>
      <c r="AR59" s="436"/>
      <c r="AS59" s="437">
        <f t="shared" si="10"/>
        <v>1641.75</v>
      </c>
    </row>
    <row r="60" spans="1:45" s="438" customFormat="1" ht="24.95" customHeight="1">
      <c r="A60" s="1134"/>
      <c r="B60" s="1134"/>
      <c r="C60" s="1139"/>
      <c r="D60" s="1134"/>
      <c r="E60" s="1134"/>
      <c r="F60" s="1134"/>
      <c r="G60" s="1112"/>
      <c r="H60" s="1112"/>
      <c r="I60" s="1112"/>
      <c r="J60" s="1112"/>
      <c r="K60" s="1112"/>
      <c r="L60" s="1112"/>
      <c r="M60" s="1112"/>
      <c r="N60" s="1112"/>
      <c r="O60" s="1112"/>
      <c r="P60" s="1112"/>
      <c r="Q60" s="1112"/>
      <c r="R60" s="1112"/>
      <c r="S60" s="1112"/>
      <c r="T60" s="1140"/>
      <c r="U60" s="1138"/>
      <c r="V60" s="1112"/>
      <c r="W60" s="1112"/>
      <c r="X60" s="1112"/>
      <c r="Y60" s="1112"/>
      <c r="Z60" s="1112"/>
      <c r="AA60" s="1109"/>
      <c r="AB60" s="1109"/>
      <c r="AC60" s="1112"/>
      <c r="AD60" s="1112"/>
      <c r="AE60" s="436">
        <f t="shared" si="13"/>
        <v>0</v>
      </c>
      <c r="AF60" s="436">
        <f t="shared" si="14"/>
        <v>0</v>
      </c>
      <c r="AG60" s="436">
        <f t="shared" si="15"/>
        <v>0</v>
      </c>
      <c r="AH60" s="436">
        <f t="shared" si="16"/>
        <v>0</v>
      </c>
      <c r="AI60" s="436">
        <f t="shared" si="17"/>
        <v>0</v>
      </c>
      <c r="AJ60" s="436">
        <f t="shared" si="17"/>
        <v>0</v>
      </c>
      <c r="AK60" s="437">
        <f t="shared" si="18"/>
        <v>0</v>
      </c>
      <c r="AL60" s="437">
        <f t="shared" si="19"/>
        <v>0</v>
      </c>
      <c r="AM60" s="437">
        <f t="shared" si="20"/>
        <v>0</v>
      </c>
      <c r="AN60" s="437">
        <f t="shared" si="21"/>
        <v>0</v>
      </c>
      <c r="AO60" s="437">
        <f t="shared" si="22"/>
        <v>0</v>
      </c>
      <c r="AP60" s="437">
        <f t="shared" si="23"/>
        <v>0</v>
      </c>
      <c r="AQ60" s="437">
        <f t="shared" si="23"/>
        <v>0</v>
      </c>
      <c r="AR60" s="436"/>
      <c r="AS60" s="437">
        <f t="shared" si="10"/>
        <v>0</v>
      </c>
    </row>
    <row r="61" spans="1:45" s="438" customFormat="1" ht="24.95" customHeight="1">
      <c r="A61" s="1134"/>
      <c r="B61" s="1134"/>
      <c r="C61" s="1139" t="s">
        <v>487</v>
      </c>
      <c r="D61" s="1134" t="s">
        <v>488</v>
      </c>
      <c r="E61" s="1134" t="s">
        <v>489</v>
      </c>
      <c r="F61" s="1134">
        <v>11</v>
      </c>
      <c r="G61" s="1112">
        <v>5699</v>
      </c>
      <c r="H61" s="1112"/>
      <c r="I61" s="435">
        <v>0.15</v>
      </c>
      <c r="J61" s="1112"/>
      <c r="K61" s="1112"/>
      <c r="L61" s="1140"/>
      <c r="M61" s="1140"/>
      <c r="N61" s="1112">
        <f>G61+I62</f>
        <v>6553.85</v>
      </c>
      <c r="O61" s="1112">
        <v>1</v>
      </c>
      <c r="P61" s="1112"/>
      <c r="Q61" s="1140"/>
      <c r="R61" s="1140"/>
      <c r="S61" s="1140"/>
      <c r="T61" s="1140">
        <v>1</v>
      </c>
      <c r="U61" s="1138">
        <v>0</v>
      </c>
      <c r="V61" s="1112">
        <f>N61*U61</f>
        <v>0</v>
      </c>
      <c r="W61" s="1112"/>
      <c r="X61" s="1112">
        <f>(N61+V61)*O61</f>
        <v>6553.85</v>
      </c>
      <c r="Y61" s="1112">
        <f>AB61</f>
        <v>13446.15</v>
      </c>
      <c r="Z61" s="1112">
        <f>X61+Y61</f>
        <v>20000</v>
      </c>
      <c r="AA61" s="1109">
        <f>20000*O61</f>
        <v>20000</v>
      </c>
      <c r="AB61" s="1109">
        <f>AA61-X61</f>
        <v>13446.15</v>
      </c>
      <c r="AC61" s="1112">
        <f>6500*O61</f>
        <v>6500</v>
      </c>
      <c r="AD61" s="1112">
        <f>X61-AC61</f>
        <v>53.850000000000364</v>
      </c>
      <c r="AE61" s="436">
        <f t="shared" si="13"/>
        <v>5699</v>
      </c>
      <c r="AF61" s="436">
        <f t="shared" si="14"/>
        <v>0</v>
      </c>
      <c r="AG61" s="436">
        <f t="shared" si="15"/>
        <v>6553.85</v>
      </c>
      <c r="AH61" s="436">
        <f t="shared" si="16"/>
        <v>0</v>
      </c>
      <c r="AI61" s="436">
        <f t="shared" si="17"/>
        <v>854.85000000000036</v>
      </c>
      <c r="AJ61" s="436">
        <f t="shared" si="17"/>
        <v>0</v>
      </c>
      <c r="AK61" s="437">
        <f t="shared" si="18"/>
        <v>0</v>
      </c>
      <c r="AL61" s="437">
        <f t="shared" si="19"/>
        <v>0</v>
      </c>
      <c r="AM61" s="437">
        <f t="shared" si="20"/>
        <v>0</v>
      </c>
      <c r="AN61" s="437">
        <f t="shared" si="21"/>
        <v>0</v>
      </c>
      <c r="AO61" s="437">
        <f t="shared" si="22"/>
        <v>0</v>
      </c>
      <c r="AP61" s="437">
        <f t="shared" si="23"/>
        <v>6553.85</v>
      </c>
      <c r="AQ61" s="437">
        <f t="shared" si="23"/>
        <v>0</v>
      </c>
      <c r="AR61" s="436"/>
      <c r="AS61" s="437">
        <f t="shared" si="10"/>
        <v>6553.85</v>
      </c>
    </row>
    <row r="62" spans="1:45" s="438" customFormat="1" ht="24.95" customHeight="1">
      <c r="A62" s="1134"/>
      <c r="B62" s="1134"/>
      <c r="C62" s="1139"/>
      <c r="D62" s="1134"/>
      <c r="E62" s="1134"/>
      <c r="F62" s="1134"/>
      <c r="G62" s="1112"/>
      <c r="H62" s="1112"/>
      <c r="I62" s="450">
        <f>G61*I61</f>
        <v>854.85</v>
      </c>
      <c r="J62" s="1112"/>
      <c r="K62" s="1112"/>
      <c r="L62" s="1140"/>
      <c r="M62" s="1140"/>
      <c r="N62" s="1112"/>
      <c r="O62" s="1112"/>
      <c r="P62" s="1112"/>
      <c r="Q62" s="1140"/>
      <c r="R62" s="1140"/>
      <c r="S62" s="1140"/>
      <c r="T62" s="1140"/>
      <c r="U62" s="1138"/>
      <c r="V62" s="1112"/>
      <c r="W62" s="1112"/>
      <c r="X62" s="1112"/>
      <c r="Y62" s="1112"/>
      <c r="Z62" s="1112"/>
      <c r="AA62" s="1109"/>
      <c r="AB62" s="1109"/>
      <c r="AC62" s="1112"/>
      <c r="AD62" s="1112"/>
      <c r="AE62" s="436">
        <f t="shared" si="13"/>
        <v>0</v>
      </c>
      <c r="AF62" s="436">
        <f t="shared" si="14"/>
        <v>0</v>
      </c>
      <c r="AG62" s="436">
        <f t="shared" si="15"/>
        <v>0</v>
      </c>
      <c r="AH62" s="436">
        <f t="shared" si="16"/>
        <v>0</v>
      </c>
      <c r="AI62" s="436">
        <f t="shared" si="17"/>
        <v>0</v>
      </c>
      <c r="AJ62" s="436">
        <f t="shared" si="17"/>
        <v>0</v>
      </c>
      <c r="AK62" s="437">
        <f t="shared" si="18"/>
        <v>0</v>
      </c>
      <c r="AL62" s="437">
        <f t="shared" si="19"/>
        <v>0</v>
      </c>
      <c r="AM62" s="437">
        <f t="shared" si="20"/>
        <v>0</v>
      </c>
      <c r="AN62" s="437">
        <f t="shared" si="21"/>
        <v>0</v>
      </c>
      <c r="AO62" s="437">
        <f t="shared" si="22"/>
        <v>0</v>
      </c>
      <c r="AP62" s="437">
        <f t="shared" si="23"/>
        <v>0</v>
      </c>
      <c r="AQ62" s="437">
        <f t="shared" si="23"/>
        <v>0</v>
      </c>
      <c r="AR62" s="436"/>
      <c r="AS62" s="437">
        <f t="shared" si="10"/>
        <v>0</v>
      </c>
    </row>
    <row r="63" spans="1:45" s="438" customFormat="1" ht="24.95" customHeight="1">
      <c r="A63" s="1134"/>
      <c r="B63" s="1134"/>
      <c r="C63" s="1139" t="s">
        <v>490</v>
      </c>
      <c r="D63" s="1134" t="s">
        <v>1005</v>
      </c>
      <c r="E63" s="1134" t="s">
        <v>491</v>
      </c>
      <c r="F63" s="1134">
        <v>10</v>
      </c>
      <c r="G63" s="1112">
        <v>5265</v>
      </c>
      <c r="H63" s="1134"/>
      <c r="I63" s="1134"/>
      <c r="J63" s="1134"/>
      <c r="K63" s="1134"/>
      <c r="L63" s="435">
        <v>0.15</v>
      </c>
      <c r="M63" s="1138"/>
      <c r="N63" s="1112">
        <f>G63+I64+L64</f>
        <v>6054.75</v>
      </c>
      <c r="O63" s="1112">
        <v>1</v>
      </c>
      <c r="P63" s="1112"/>
      <c r="Q63" s="1166"/>
      <c r="R63" s="1138"/>
      <c r="S63" s="1166"/>
      <c r="T63" s="1166">
        <v>8</v>
      </c>
      <c r="U63" s="1138">
        <v>0.1</v>
      </c>
      <c r="V63" s="1112">
        <f>N63*U63</f>
        <v>605.47500000000002</v>
      </c>
      <c r="W63" s="1112"/>
      <c r="X63" s="1112">
        <f>(N63+V63)*O63</f>
        <v>6660.2250000000004</v>
      </c>
      <c r="Y63" s="1112">
        <f>AB63</f>
        <v>13339.775</v>
      </c>
      <c r="Z63" s="1112">
        <f>X63+Y63</f>
        <v>20000</v>
      </c>
      <c r="AA63" s="1109">
        <f>20000*O63</f>
        <v>20000</v>
      </c>
      <c r="AB63" s="1109">
        <f>AA63-X63</f>
        <v>13339.775</v>
      </c>
      <c r="AC63" s="1112">
        <f>6500*O63</f>
        <v>6500</v>
      </c>
      <c r="AD63" s="1112">
        <f>X63-AC63</f>
        <v>160.22500000000036</v>
      </c>
      <c r="AE63" s="436">
        <f>G63*O63</f>
        <v>5265</v>
      </c>
      <c r="AF63" s="436">
        <f>G63*P63</f>
        <v>0</v>
      </c>
      <c r="AG63" s="436">
        <f>N63*O63</f>
        <v>6054.75</v>
      </c>
      <c r="AH63" s="436">
        <f>N63*P63</f>
        <v>0</v>
      </c>
      <c r="AI63" s="436">
        <f>AG63-AE63</f>
        <v>789.75</v>
      </c>
      <c r="AJ63" s="436">
        <f>AH63-AF63</f>
        <v>0</v>
      </c>
      <c r="AK63" s="437">
        <f>V63*O63</f>
        <v>605.47500000000002</v>
      </c>
      <c r="AL63" s="437">
        <f>V63*P63</f>
        <v>0</v>
      </c>
      <c r="AM63" s="437">
        <f>W63</f>
        <v>0</v>
      </c>
      <c r="AN63" s="437">
        <f>S63*O63</f>
        <v>0</v>
      </c>
      <c r="AO63" s="437">
        <f>S63*P63</f>
        <v>0</v>
      </c>
      <c r="AP63" s="437">
        <f>AG63</f>
        <v>6054.75</v>
      </c>
      <c r="AQ63" s="437">
        <f>AH63</f>
        <v>0</v>
      </c>
      <c r="AR63" s="436"/>
      <c r="AS63" s="437">
        <f>AP63+AQ63-AR63</f>
        <v>6054.75</v>
      </c>
    </row>
    <row r="64" spans="1:45" s="438" customFormat="1" ht="24.95" customHeight="1">
      <c r="A64" s="1134"/>
      <c r="B64" s="1134"/>
      <c r="C64" s="1139"/>
      <c r="D64" s="1134"/>
      <c r="E64" s="1134"/>
      <c r="F64" s="1134"/>
      <c r="G64" s="1134"/>
      <c r="H64" s="1134"/>
      <c r="I64" s="1134"/>
      <c r="J64" s="1134"/>
      <c r="K64" s="1134"/>
      <c r="L64" s="449">
        <f>G63*L63</f>
        <v>789.75</v>
      </c>
      <c r="M64" s="1134"/>
      <c r="N64" s="1112"/>
      <c r="O64" s="1112"/>
      <c r="P64" s="1112"/>
      <c r="Q64" s="1166"/>
      <c r="R64" s="1134"/>
      <c r="S64" s="1166"/>
      <c r="T64" s="1166"/>
      <c r="U64" s="1138"/>
      <c r="V64" s="1112"/>
      <c r="W64" s="1112"/>
      <c r="X64" s="1112"/>
      <c r="Y64" s="1112"/>
      <c r="Z64" s="1112"/>
      <c r="AA64" s="1109"/>
      <c r="AB64" s="1109"/>
      <c r="AC64" s="1112"/>
      <c r="AD64" s="1112"/>
      <c r="AE64" s="436">
        <f>G64*O64</f>
        <v>0</v>
      </c>
      <c r="AF64" s="436">
        <f>G64*P64</f>
        <v>0</v>
      </c>
      <c r="AG64" s="436">
        <f>N64*O64</f>
        <v>0</v>
      </c>
      <c r="AH64" s="436">
        <f>N64*P64</f>
        <v>0</v>
      </c>
      <c r="AI64" s="436">
        <f>AG64-AE64</f>
        <v>0</v>
      </c>
      <c r="AJ64" s="436">
        <f>AH64-AF64</f>
        <v>0</v>
      </c>
      <c r="AK64" s="437">
        <f>V64*O64</f>
        <v>0</v>
      </c>
      <c r="AL64" s="437">
        <f>V64*P64</f>
        <v>0</v>
      </c>
      <c r="AM64" s="437">
        <f>W64</f>
        <v>0</v>
      </c>
      <c r="AN64" s="437">
        <f>S64*O64</f>
        <v>0</v>
      </c>
      <c r="AO64" s="437">
        <f>S64*P64</f>
        <v>0</v>
      </c>
      <c r="AP64" s="437">
        <f>AG64</f>
        <v>0</v>
      </c>
      <c r="AQ64" s="437">
        <f>AH64</f>
        <v>0</v>
      </c>
      <c r="AR64" s="436"/>
      <c r="AS64" s="437">
        <f>AP64+AQ64-AR64</f>
        <v>0</v>
      </c>
    </row>
    <row r="65" spans="1:45" s="438" customFormat="1" ht="24.95" customHeight="1">
      <c r="A65" s="1134"/>
      <c r="B65" s="1134"/>
      <c r="C65" s="1139" t="s">
        <v>490</v>
      </c>
      <c r="D65" s="1134" t="s">
        <v>492</v>
      </c>
      <c r="E65" s="1134" t="s">
        <v>493</v>
      </c>
      <c r="F65" s="1134">
        <v>12</v>
      </c>
      <c r="G65" s="1112">
        <v>6133</v>
      </c>
      <c r="H65" s="1134"/>
      <c r="I65" s="1134"/>
      <c r="J65" s="1134"/>
      <c r="K65" s="1134"/>
      <c r="L65" s="435">
        <v>0.15</v>
      </c>
      <c r="M65" s="1138"/>
      <c r="N65" s="1112">
        <f>G65+I66+L66</f>
        <v>7052.95</v>
      </c>
      <c r="O65" s="1112"/>
      <c r="P65" s="1112">
        <v>0.5</v>
      </c>
      <c r="Q65" s="1166"/>
      <c r="R65" s="1138"/>
      <c r="S65" s="1166"/>
      <c r="T65" s="1166">
        <v>14</v>
      </c>
      <c r="U65" s="1138">
        <v>0.2</v>
      </c>
      <c r="V65" s="1112">
        <f>N65*U65</f>
        <v>1410.5900000000001</v>
      </c>
      <c r="W65" s="1112"/>
      <c r="X65" s="1112">
        <f>(N65+V65)*P65</f>
        <v>4231.7700000000004</v>
      </c>
      <c r="Y65" s="1113">
        <f>AB65</f>
        <v>5768.23</v>
      </c>
      <c r="Z65" s="1113">
        <f>X65+Y65</f>
        <v>10000</v>
      </c>
      <c r="AA65" s="1110">
        <f>20000*P65</f>
        <v>10000</v>
      </c>
      <c r="AB65" s="1110">
        <f>AA65-X65</f>
        <v>5768.23</v>
      </c>
      <c r="AC65" s="1112">
        <f>6500*P65</f>
        <v>3250</v>
      </c>
      <c r="AD65" s="1112">
        <f>X65-AC65</f>
        <v>981.77000000000044</v>
      </c>
      <c r="AE65" s="436">
        <f t="shared" si="13"/>
        <v>0</v>
      </c>
      <c r="AF65" s="436">
        <f t="shared" si="14"/>
        <v>3066.5</v>
      </c>
      <c r="AG65" s="436">
        <f t="shared" si="15"/>
        <v>0</v>
      </c>
      <c r="AH65" s="436">
        <f t="shared" si="16"/>
        <v>3526.4749999999999</v>
      </c>
      <c r="AI65" s="436">
        <f t="shared" si="17"/>
        <v>0</v>
      </c>
      <c r="AJ65" s="436">
        <f t="shared" si="17"/>
        <v>459.97499999999991</v>
      </c>
      <c r="AK65" s="437">
        <f t="shared" si="18"/>
        <v>0</v>
      </c>
      <c r="AL65" s="437">
        <f t="shared" si="19"/>
        <v>705.29500000000007</v>
      </c>
      <c r="AM65" s="437">
        <f t="shared" si="20"/>
        <v>0</v>
      </c>
      <c r="AN65" s="437">
        <f t="shared" si="21"/>
        <v>0</v>
      </c>
      <c r="AO65" s="437">
        <f t="shared" si="22"/>
        <v>0</v>
      </c>
      <c r="AP65" s="437">
        <f t="shared" si="23"/>
        <v>0</v>
      </c>
      <c r="AQ65" s="437">
        <f t="shared" si="23"/>
        <v>3526.4749999999999</v>
      </c>
      <c r="AR65" s="436"/>
      <c r="AS65" s="437">
        <f t="shared" si="10"/>
        <v>3526.4749999999999</v>
      </c>
    </row>
    <row r="66" spans="1:45" s="438" customFormat="1" ht="24.95" customHeight="1">
      <c r="A66" s="1134"/>
      <c r="B66" s="1134"/>
      <c r="C66" s="1139"/>
      <c r="D66" s="1134"/>
      <c r="E66" s="1134"/>
      <c r="F66" s="1134"/>
      <c r="G66" s="1134"/>
      <c r="H66" s="1134"/>
      <c r="I66" s="1134"/>
      <c r="J66" s="1134"/>
      <c r="K66" s="1134"/>
      <c r="L66" s="449">
        <f>G65*L65</f>
        <v>919.94999999999993</v>
      </c>
      <c r="M66" s="1134"/>
      <c r="N66" s="1112"/>
      <c r="O66" s="1112"/>
      <c r="P66" s="1112"/>
      <c r="Q66" s="1166"/>
      <c r="R66" s="1134"/>
      <c r="S66" s="1166"/>
      <c r="T66" s="1166"/>
      <c r="U66" s="1138"/>
      <c r="V66" s="1112"/>
      <c r="W66" s="1112"/>
      <c r="X66" s="1112"/>
      <c r="Y66" s="1114"/>
      <c r="Z66" s="1114"/>
      <c r="AA66" s="1111"/>
      <c r="AB66" s="1111"/>
      <c r="AC66" s="1112"/>
      <c r="AD66" s="1112"/>
      <c r="AE66" s="436">
        <f t="shared" si="13"/>
        <v>0</v>
      </c>
      <c r="AF66" s="436">
        <f t="shared" si="14"/>
        <v>0</v>
      </c>
      <c r="AG66" s="436">
        <f t="shared" si="15"/>
        <v>0</v>
      </c>
      <c r="AH66" s="436">
        <f t="shared" si="16"/>
        <v>0</v>
      </c>
      <c r="AI66" s="436">
        <f t="shared" si="17"/>
        <v>0</v>
      </c>
      <c r="AJ66" s="436">
        <f t="shared" si="17"/>
        <v>0</v>
      </c>
      <c r="AK66" s="437">
        <f t="shared" si="18"/>
        <v>0</v>
      </c>
      <c r="AL66" s="437">
        <f t="shared" si="19"/>
        <v>0</v>
      </c>
      <c r="AM66" s="437">
        <f t="shared" si="20"/>
        <v>0</v>
      </c>
      <c r="AN66" s="437">
        <f t="shared" si="21"/>
        <v>0</v>
      </c>
      <c r="AO66" s="437">
        <f t="shared" si="22"/>
        <v>0</v>
      </c>
      <c r="AP66" s="437">
        <f t="shared" si="23"/>
        <v>0</v>
      </c>
      <c r="AQ66" s="437">
        <f t="shared" si="23"/>
        <v>0</v>
      </c>
      <c r="AR66" s="436"/>
      <c r="AS66" s="437">
        <f t="shared" si="10"/>
        <v>0</v>
      </c>
    </row>
    <row r="67" spans="1:45" s="446" customFormat="1" ht="24.95" customHeight="1">
      <c r="A67" s="441"/>
      <c r="B67" s="441"/>
      <c r="C67" s="442" t="s">
        <v>318</v>
      </c>
      <c r="D67" s="443"/>
      <c r="E67" s="443"/>
      <c r="F67" s="441"/>
      <c r="G67" s="445">
        <f>SUM(G25:G66)</f>
        <v>131397</v>
      </c>
      <c r="H67" s="445"/>
      <c r="I67" s="445"/>
      <c r="J67" s="445"/>
      <c r="K67" s="445"/>
      <c r="L67" s="445"/>
      <c r="M67" s="445"/>
      <c r="N67" s="445">
        <f>SUM(N25:N66)</f>
        <v>148045.75000000003</v>
      </c>
      <c r="O67" s="444">
        <f>SUM(O25:O66)</f>
        <v>10.25</v>
      </c>
      <c r="P67" s="444">
        <f>SUM(P25:P66)</f>
        <v>3.5</v>
      </c>
      <c r="Q67" s="445"/>
      <c r="R67" s="445"/>
      <c r="S67" s="445"/>
      <c r="T67" s="445"/>
      <c r="U67" s="445"/>
      <c r="V67" s="445">
        <f t="shared" ref="V67:AB67" si="24">SUM(V25:V66)</f>
        <v>29243.579999999994</v>
      </c>
      <c r="W67" s="451">
        <f t="shared" si="24"/>
        <v>1235</v>
      </c>
      <c r="X67" s="445">
        <f t="shared" si="24"/>
        <v>117028.86875000002</v>
      </c>
      <c r="Y67" s="451">
        <f t="shared" si="24"/>
        <v>157971.13124999998</v>
      </c>
      <c r="Z67" s="445">
        <f t="shared" si="24"/>
        <v>275000</v>
      </c>
      <c r="AA67" s="501">
        <f t="shared" si="24"/>
        <v>275000</v>
      </c>
      <c r="AB67" s="502">
        <f t="shared" si="24"/>
        <v>157971.13124999998</v>
      </c>
      <c r="AC67" s="444">
        <f>SUM(AC41)</f>
        <v>3250</v>
      </c>
      <c r="AD67" s="444">
        <f>SUM(AD41)</f>
        <v>1736.625</v>
      </c>
      <c r="AE67" s="436"/>
      <c r="AF67" s="436"/>
      <c r="AG67" s="436"/>
      <c r="AH67" s="436"/>
      <c r="AI67" s="436"/>
      <c r="AJ67" s="436"/>
      <c r="AK67" s="437"/>
      <c r="AL67" s="437"/>
      <c r="AM67" s="437"/>
      <c r="AN67" s="437"/>
      <c r="AO67" s="437"/>
      <c r="AP67" s="437">
        <f>SUM(AP25:AP66)</f>
        <v>71260.175000000003</v>
      </c>
      <c r="AQ67" s="437">
        <f>SUM(AQ25:AQ66)</f>
        <v>25516.337499999998</v>
      </c>
      <c r="AR67" s="437">
        <f>SUM(AR25:AR66)</f>
        <v>0</v>
      </c>
      <c r="AS67" s="437">
        <f>SUM(AS25:AS66)</f>
        <v>96776.512500000012</v>
      </c>
    </row>
    <row r="68" spans="1:45" s="446" customFormat="1" ht="54.75" customHeight="1">
      <c r="A68" s="441"/>
      <c r="B68" s="441"/>
      <c r="C68" s="1136" t="s">
        <v>1006</v>
      </c>
      <c r="D68" s="1136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4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503"/>
      <c r="AB68" s="503"/>
      <c r="AC68" s="441"/>
      <c r="AD68" s="441"/>
      <c r="AE68" s="436">
        <f t="shared" ref="AE68:AE141" si="25">G68*O68</f>
        <v>0</v>
      </c>
      <c r="AF68" s="436">
        <f t="shared" ref="AF68:AF141" si="26">G68*P68</f>
        <v>0</v>
      </c>
      <c r="AG68" s="436">
        <f t="shared" ref="AG68:AG141" si="27">N68*O68</f>
        <v>0</v>
      </c>
      <c r="AH68" s="436">
        <f t="shared" ref="AH68:AH141" si="28">N68*P68</f>
        <v>0</v>
      </c>
      <c r="AI68" s="436">
        <f t="shared" ref="AI68:AJ141" si="29">AG68-AE68</f>
        <v>0</v>
      </c>
      <c r="AJ68" s="436">
        <f t="shared" si="29"/>
        <v>0</v>
      </c>
      <c r="AK68" s="437">
        <f t="shared" ref="AK68:AK141" si="30">V68*O68</f>
        <v>0</v>
      </c>
      <c r="AL68" s="437">
        <f t="shared" ref="AL68:AL141" si="31">V68*P68</f>
        <v>0</v>
      </c>
      <c r="AM68" s="437">
        <f t="shared" ref="AM68:AM141" si="32">W68</f>
        <v>0</v>
      </c>
      <c r="AN68" s="437">
        <f t="shared" ref="AN68:AN94" si="33">S68*O68</f>
        <v>0</v>
      </c>
      <c r="AO68" s="437">
        <f t="shared" ref="AO68:AO94" si="34">S68*P68</f>
        <v>0</v>
      </c>
      <c r="AP68" s="437">
        <f t="shared" si="23"/>
        <v>0</v>
      </c>
      <c r="AQ68" s="437">
        <f t="shared" si="23"/>
        <v>0</v>
      </c>
      <c r="AR68" s="436"/>
      <c r="AS68" s="437">
        <f t="shared" si="10"/>
        <v>0</v>
      </c>
    </row>
    <row r="69" spans="1:45" s="438" customFormat="1" ht="24.95" customHeight="1">
      <c r="A69" s="1134"/>
      <c r="B69" s="1134"/>
      <c r="C69" s="1139" t="s">
        <v>494</v>
      </c>
      <c r="D69" s="1134" t="s">
        <v>495</v>
      </c>
      <c r="E69" s="1134" t="s">
        <v>496</v>
      </c>
      <c r="F69" s="1134">
        <v>14</v>
      </c>
      <c r="G69" s="1112">
        <v>7001</v>
      </c>
      <c r="H69" s="435">
        <v>0.25</v>
      </c>
      <c r="I69" s="435">
        <v>0.4</v>
      </c>
      <c r="J69" s="1138"/>
      <c r="K69" s="1134"/>
      <c r="L69" s="1134"/>
      <c r="M69" s="1134"/>
      <c r="N69" s="1112">
        <f>G69+H70+I70</f>
        <v>12251.75</v>
      </c>
      <c r="O69" s="1112">
        <v>1</v>
      </c>
      <c r="P69" s="1140"/>
      <c r="Q69" s="1134"/>
      <c r="R69" s="1134"/>
      <c r="S69" s="1134"/>
      <c r="T69" s="1134">
        <v>28</v>
      </c>
      <c r="U69" s="1138">
        <v>0.3</v>
      </c>
      <c r="V69" s="1112">
        <f>N69*U69</f>
        <v>3675.5250000000001</v>
      </c>
      <c r="W69" s="1112"/>
      <c r="X69" s="1112">
        <f>(N69+V69)*O69</f>
        <v>15927.275</v>
      </c>
      <c r="Y69" s="1112">
        <f>AB69</f>
        <v>4072.7250000000004</v>
      </c>
      <c r="Z69" s="1112">
        <f>X69+Y69</f>
        <v>20000</v>
      </c>
      <c r="AA69" s="1109">
        <f>20000*O69</f>
        <v>20000</v>
      </c>
      <c r="AB69" s="1109">
        <f>AA69-X69</f>
        <v>4072.7250000000004</v>
      </c>
      <c r="AC69" s="1112">
        <f>6500*O69</f>
        <v>6500</v>
      </c>
      <c r="AD69" s="1112">
        <f>X69-AC69</f>
        <v>9427.2749999999996</v>
      </c>
      <c r="AE69" s="436">
        <f t="shared" si="25"/>
        <v>7001</v>
      </c>
      <c r="AF69" s="436">
        <f t="shared" si="26"/>
        <v>0</v>
      </c>
      <c r="AG69" s="436">
        <f t="shared" si="27"/>
        <v>12251.75</v>
      </c>
      <c r="AH69" s="436">
        <f t="shared" si="28"/>
        <v>0</v>
      </c>
      <c r="AI69" s="436">
        <f t="shared" si="29"/>
        <v>5250.75</v>
      </c>
      <c r="AJ69" s="436">
        <f t="shared" si="29"/>
        <v>0</v>
      </c>
      <c r="AK69" s="437">
        <f t="shared" si="30"/>
        <v>3675.5250000000001</v>
      </c>
      <c r="AL69" s="437">
        <f t="shared" si="31"/>
        <v>0</v>
      </c>
      <c r="AM69" s="437">
        <f t="shared" si="32"/>
        <v>0</v>
      </c>
      <c r="AN69" s="437">
        <f t="shared" si="33"/>
        <v>0</v>
      </c>
      <c r="AO69" s="437">
        <f t="shared" si="34"/>
        <v>0</v>
      </c>
      <c r="AP69" s="437">
        <f t="shared" ref="AP69:AQ146" si="35">AG69</f>
        <v>12251.75</v>
      </c>
      <c r="AQ69" s="437">
        <f t="shared" si="35"/>
        <v>0</v>
      </c>
      <c r="AR69" s="436"/>
      <c r="AS69" s="437">
        <f t="shared" si="10"/>
        <v>12251.75</v>
      </c>
    </row>
    <row r="70" spans="1:45" s="438" customFormat="1" ht="24.95" customHeight="1">
      <c r="A70" s="1134"/>
      <c r="B70" s="1134"/>
      <c r="C70" s="1139"/>
      <c r="D70" s="1134"/>
      <c r="E70" s="1134"/>
      <c r="F70" s="1134"/>
      <c r="G70" s="1112"/>
      <c r="H70" s="439">
        <f>G69*H69</f>
        <v>1750.25</v>
      </c>
      <c r="I70" s="448">
        <f>(G69+H70)*I69</f>
        <v>3500.5</v>
      </c>
      <c r="J70" s="1170"/>
      <c r="K70" s="1134"/>
      <c r="L70" s="1134"/>
      <c r="M70" s="1134"/>
      <c r="N70" s="1112"/>
      <c r="O70" s="1112"/>
      <c r="P70" s="1140"/>
      <c r="Q70" s="1134"/>
      <c r="R70" s="1134"/>
      <c r="S70" s="1134"/>
      <c r="T70" s="1134"/>
      <c r="U70" s="1138"/>
      <c r="V70" s="1112"/>
      <c r="W70" s="1112"/>
      <c r="X70" s="1112"/>
      <c r="Y70" s="1112"/>
      <c r="Z70" s="1112"/>
      <c r="AA70" s="1109"/>
      <c r="AB70" s="1109"/>
      <c r="AC70" s="1112"/>
      <c r="AD70" s="1112"/>
      <c r="AE70" s="436">
        <f t="shared" si="25"/>
        <v>0</v>
      </c>
      <c r="AF70" s="436">
        <f t="shared" si="26"/>
        <v>0</v>
      </c>
      <c r="AG70" s="436">
        <f t="shared" si="27"/>
        <v>0</v>
      </c>
      <c r="AH70" s="436">
        <f t="shared" si="28"/>
        <v>0</v>
      </c>
      <c r="AI70" s="436">
        <f t="shared" si="29"/>
        <v>0</v>
      </c>
      <c r="AJ70" s="436">
        <f t="shared" si="29"/>
        <v>0</v>
      </c>
      <c r="AK70" s="437">
        <f t="shared" si="30"/>
        <v>0</v>
      </c>
      <c r="AL70" s="437">
        <f t="shared" si="31"/>
        <v>0</v>
      </c>
      <c r="AM70" s="437">
        <f t="shared" si="32"/>
        <v>0</v>
      </c>
      <c r="AN70" s="437">
        <f t="shared" si="33"/>
        <v>0</v>
      </c>
      <c r="AO70" s="437">
        <f t="shared" si="34"/>
        <v>0</v>
      </c>
      <c r="AP70" s="437">
        <f t="shared" si="35"/>
        <v>0</v>
      </c>
      <c r="AQ70" s="437">
        <f t="shared" si="35"/>
        <v>0</v>
      </c>
      <c r="AR70" s="436"/>
      <c r="AS70" s="437">
        <f t="shared" si="10"/>
        <v>0</v>
      </c>
    </row>
    <row r="71" spans="1:45" s="438" customFormat="1" ht="23.25" customHeight="1">
      <c r="A71" s="1134"/>
      <c r="B71" s="1134"/>
      <c r="C71" s="1139" t="s">
        <v>322</v>
      </c>
      <c r="D71" s="1134" t="s">
        <v>497</v>
      </c>
      <c r="E71" s="1134" t="s">
        <v>498</v>
      </c>
      <c r="F71" s="1134">
        <v>14</v>
      </c>
      <c r="G71" s="1112">
        <v>7001</v>
      </c>
      <c r="H71" s="1134"/>
      <c r="I71" s="435">
        <v>0.2</v>
      </c>
      <c r="J71" s="1138"/>
      <c r="K71" s="1134"/>
      <c r="L71" s="1134"/>
      <c r="M71" s="1134"/>
      <c r="N71" s="1112">
        <f>G71+H72+I72</f>
        <v>8401.2000000000007</v>
      </c>
      <c r="O71" s="1112">
        <v>1</v>
      </c>
      <c r="P71" s="1140"/>
      <c r="Q71" s="1134"/>
      <c r="R71" s="1134"/>
      <c r="S71" s="1134"/>
      <c r="T71" s="1134">
        <v>32</v>
      </c>
      <c r="U71" s="1138">
        <v>0.3</v>
      </c>
      <c r="V71" s="1112">
        <f>N71*U71</f>
        <v>2520.36</v>
      </c>
      <c r="W71" s="1112"/>
      <c r="X71" s="1112">
        <f>(N71+V71)*O71</f>
        <v>10921.560000000001</v>
      </c>
      <c r="Y71" s="1112">
        <f>AB71</f>
        <v>9078.4399999999987</v>
      </c>
      <c r="Z71" s="1112">
        <f>X71+Y71</f>
        <v>20000</v>
      </c>
      <c r="AA71" s="1109">
        <f>20000*O71</f>
        <v>20000</v>
      </c>
      <c r="AB71" s="1109">
        <f>AA71-X71</f>
        <v>9078.4399999999987</v>
      </c>
      <c r="AC71" s="1112">
        <f>6500*O71</f>
        <v>6500</v>
      </c>
      <c r="AD71" s="1112">
        <f>X71-AC71</f>
        <v>4421.5600000000013</v>
      </c>
      <c r="AE71" s="436">
        <f>G71*O71</f>
        <v>7001</v>
      </c>
      <c r="AF71" s="436">
        <f>G71*P71</f>
        <v>0</v>
      </c>
      <c r="AG71" s="436">
        <f>N71*O71</f>
        <v>8401.2000000000007</v>
      </c>
      <c r="AH71" s="436">
        <f>N71*P71</f>
        <v>0</v>
      </c>
      <c r="AI71" s="436">
        <f>AG71-AE71</f>
        <v>1400.2000000000007</v>
      </c>
      <c r="AJ71" s="436">
        <f>AH71-AF71</f>
        <v>0</v>
      </c>
      <c r="AK71" s="437">
        <f>V71*O71</f>
        <v>2520.36</v>
      </c>
      <c r="AL71" s="437">
        <f>V71*P71</f>
        <v>0</v>
      </c>
      <c r="AM71" s="437">
        <f>W71</f>
        <v>0</v>
      </c>
      <c r="AN71" s="437">
        <f t="shared" si="33"/>
        <v>0</v>
      </c>
      <c r="AO71" s="437">
        <f t="shared" si="34"/>
        <v>0</v>
      </c>
      <c r="AP71" s="437">
        <f>AG71</f>
        <v>8401.2000000000007</v>
      </c>
      <c r="AQ71" s="437">
        <f>AH71</f>
        <v>0</v>
      </c>
      <c r="AR71" s="436"/>
      <c r="AS71" s="437">
        <f>AP71+AQ71-AR71</f>
        <v>8401.2000000000007</v>
      </c>
    </row>
    <row r="72" spans="1:45" s="438" customFormat="1">
      <c r="A72" s="1134"/>
      <c r="B72" s="1134"/>
      <c r="C72" s="1139"/>
      <c r="D72" s="1134"/>
      <c r="E72" s="1134"/>
      <c r="F72" s="1134"/>
      <c r="G72" s="1112"/>
      <c r="H72" s="1134"/>
      <c r="I72" s="448">
        <f>G71*I71</f>
        <v>1400.2</v>
      </c>
      <c r="J72" s="1170"/>
      <c r="K72" s="1134"/>
      <c r="L72" s="1134"/>
      <c r="M72" s="1134"/>
      <c r="N72" s="1112"/>
      <c r="O72" s="1112"/>
      <c r="P72" s="1140"/>
      <c r="Q72" s="1134"/>
      <c r="R72" s="1134"/>
      <c r="S72" s="1134"/>
      <c r="T72" s="1134"/>
      <c r="U72" s="1138"/>
      <c r="V72" s="1112"/>
      <c r="W72" s="1112"/>
      <c r="X72" s="1112"/>
      <c r="Y72" s="1112"/>
      <c r="Z72" s="1112"/>
      <c r="AA72" s="1109"/>
      <c r="AB72" s="1109"/>
      <c r="AC72" s="1112"/>
      <c r="AD72" s="1112"/>
      <c r="AE72" s="436">
        <f>G72*O72</f>
        <v>0</v>
      </c>
      <c r="AF72" s="436">
        <f>G72*P72</f>
        <v>0</v>
      </c>
      <c r="AG72" s="436">
        <f>N72*O72</f>
        <v>0</v>
      </c>
      <c r="AH72" s="436">
        <f>N72*P72</f>
        <v>0</v>
      </c>
      <c r="AI72" s="436">
        <f>AG72-AE72</f>
        <v>0</v>
      </c>
      <c r="AJ72" s="436">
        <f>AH72-AF72</f>
        <v>0</v>
      </c>
      <c r="AK72" s="437">
        <f>V72*O72</f>
        <v>0</v>
      </c>
      <c r="AL72" s="437">
        <f>V72*P72</f>
        <v>0</v>
      </c>
      <c r="AM72" s="437">
        <f>W72</f>
        <v>0</v>
      </c>
      <c r="AN72" s="437">
        <f t="shared" si="33"/>
        <v>0</v>
      </c>
      <c r="AO72" s="437">
        <f t="shared" si="34"/>
        <v>0</v>
      </c>
      <c r="AP72" s="437">
        <f>AG72</f>
        <v>0</v>
      </c>
      <c r="AQ72" s="437">
        <f>AH72</f>
        <v>0</v>
      </c>
      <c r="AR72" s="436"/>
      <c r="AS72" s="437">
        <f>AP72+AQ72-AR72</f>
        <v>0</v>
      </c>
    </row>
    <row r="73" spans="1:45" s="438" customFormat="1" ht="23.25" customHeight="1">
      <c r="A73" s="1134"/>
      <c r="B73" s="1134"/>
      <c r="C73" s="1139" t="s">
        <v>499</v>
      </c>
      <c r="D73" s="1134" t="s">
        <v>323</v>
      </c>
      <c r="E73" s="1134" t="s">
        <v>324</v>
      </c>
      <c r="F73" s="1134">
        <v>12</v>
      </c>
      <c r="G73" s="1112">
        <v>6133</v>
      </c>
      <c r="H73" s="1134"/>
      <c r="I73" s="435">
        <v>0.2</v>
      </c>
      <c r="J73" s="1138"/>
      <c r="K73" s="1134"/>
      <c r="L73" s="1134"/>
      <c r="M73" s="1134"/>
      <c r="N73" s="1112">
        <f>G73+H74+I74</f>
        <v>7359.6</v>
      </c>
      <c r="O73" s="1112">
        <v>0.75</v>
      </c>
      <c r="P73" s="1112"/>
      <c r="Q73" s="1134"/>
      <c r="R73" s="1134"/>
      <c r="S73" s="1134"/>
      <c r="T73" s="1134">
        <v>16</v>
      </c>
      <c r="U73" s="1138">
        <v>0.2</v>
      </c>
      <c r="V73" s="1112">
        <f>N73*U73</f>
        <v>1471.92</v>
      </c>
      <c r="W73" s="1112"/>
      <c r="X73" s="1112">
        <f>(N73+V73)*O73</f>
        <v>6623.64</v>
      </c>
      <c r="Y73" s="1112">
        <f>AB73</f>
        <v>8376.36</v>
      </c>
      <c r="Z73" s="1112">
        <f>X73+Y73</f>
        <v>15000</v>
      </c>
      <c r="AA73" s="1109">
        <f>20000*O73</f>
        <v>15000</v>
      </c>
      <c r="AB73" s="1109">
        <f>AA73-X73</f>
        <v>8376.36</v>
      </c>
      <c r="AC73" s="1112">
        <f>6500*O73</f>
        <v>4875</v>
      </c>
      <c r="AD73" s="1112">
        <f>X73-AC73</f>
        <v>1748.6400000000003</v>
      </c>
      <c r="AE73" s="436">
        <f t="shared" si="25"/>
        <v>4599.75</v>
      </c>
      <c r="AF73" s="436">
        <f t="shared" si="26"/>
        <v>0</v>
      </c>
      <c r="AG73" s="436">
        <f t="shared" si="27"/>
        <v>5519.7000000000007</v>
      </c>
      <c r="AH73" s="436">
        <f t="shared" si="28"/>
        <v>0</v>
      </c>
      <c r="AI73" s="436">
        <f t="shared" si="29"/>
        <v>919.95000000000073</v>
      </c>
      <c r="AJ73" s="436">
        <f t="shared" si="29"/>
        <v>0</v>
      </c>
      <c r="AK73" s="437">
        <f t="shared" si="30"/>
        <v>1103.94</v>
      </c>
      <c r="AL73" s="437">
        <f t="shared" si="31"/>
        <v>0</v>
      </c>
      <c r="AM73" s="437">
        <f t="shared" si="32"/>
        <v>0</v>
      </c>
      <c r="AN73" s="437">
        <f t="shared" si="33"/>
        <v>0</v>
      </c>
      <c r="AO73" s="437">
        <f t="shared" si="34"/>
        <v>0</v>
      </c>
      <c r="AP73" s="437">
        <f t="shared" si="35"/>
        <v>5519.7000000000007</v>
      </c>
      <c r="AQ73" s="437">
        <f t="shared" si="35"/>
        <v>0</v>
      </c>
      <c r="AR73" s="436"/>
      <c r="AS73" s="437">
        <f t="shared" si="10"/>
        <v>5519.7000000000007</v>
      </c>
    </row>
    <row r="74" spans="1:45" s="438" customFormat="1">
      <c r="A74" s="1134"/>
      <c r="B74" s="1134"/>
      <c r="C74" s="1139"/>
      <c r="D74" s="1134"/>
      <c r="E74" s="1134"/>
      <c r="F74" s="1134"/>
      <c r="G74" s="1112"/>
      <c r="H74" s="1134"/>
      <c r="I74" s="448">
        <f>G73*I73</f>
        <v>1226.6000000000001</v>
      </c>
      <c r="J74" s="1170"/>
      <c r="K74" s="1134"/>
      <c r="L74" s="1134"/>
      <c r="M74" s="1134"/>
      <c r="N74" s="1112"/>
      <c r="O74" s="1112"/>
      <c r="P74" s="1112"/>
      <c r="Q74" s="1134"/>
      <c r="R74" s="1134"/>
      <c r="S74" s="1134"/>
      <c r="T74" s="1134"/>
      <c r="U74" s="1138"/>
      <c r="V74" s="1112"/>
      <c r="W74" s="1112"/>
      <c r="X74" s="1112"/>
      <c r="Y74" s="1112"/>
      <c r="Z74" s="1112"/>
      <c r="AA74" s="1109"/>
      <c r="AB74" s="1109"/>
      <c r="AC74" s="1112"/>
      <c r="AD74" s="1112"/>
      <c r="AE74" s="436">
        <f t="shared" si="25"/>
        <v>0</v>
      </c>
      <c r="AF74" s="436">
        <f t="shared" si="26"/>
        <v>0</v>
      </c>
      <c r="AG74" s="436">
        <f t="shared" si="27"/>
        <v>0</v>
      </c>
      <c r="AH74" s="436">
        <f t="shared" si="28"/>
        <v>0</v>
      </c>
      <c r="AI74" s="436">
        <f t="shared" si="29"/>
        <v>0</v>
      </c>
      <c r="AJ74" s="436">
        <f t="shared" si="29"/>
        <v>0</v>
      </c>
      <c r="AK74" s="437">
        <f t="shared" si="30"/>
        <v>0</v>
      </c>
      <c r="AL74" s="437">
        <f t="shared" si="31"/>
        <v>0</v>
      </c>
      <c r="AM74" s="437">
        <f t="shared" si="32"/>
        <v>0</v>
      </c>
      <c r="AN74" s="437">
        <f t="shared" si="33"/>
        <v>0</v>
      </c>
      <c r="AO74" s="437">
        <f t="shared" si="34"/>
        <v>0</v>
      </c>
      <c r="AP74" s="437">
        <f t="shared" si="35"/>
        <v>0</v>
      </c>
      <c r="AQ74" s="437">
        <f t="shared" si="35"/>
        <v>0</v>
      </c>
      <c r="AR74" s="436"/>
      <c r="AS74" s="437">
        <f t="shared" si="10"/>
        <v>0</v>
      </c>
    </row>
    <row r="75" spans="1:45" s="438" customFormat="1" ht="23.25" customHeight="1">
      <c r="A75" s="1134"/>
      <c r="B75" s="1134"/>
      <c r="C75" s="1139" t="s">
        <v>499</v>
      </c>
      <c r="D75" s="1134" t="s">
        <v>500</v>
      </c>
      <c r="E75" s="1134" t="s">
        <v>501</v>
      </c>
      <c r="F75" s="1134">
        <v>13</v>
      </c>
      <c r="G75" s="1112">
        <v>6567</v>
      </c>
      <c r="H75" s="1134"/>
      <c r="I75" s="435">
        <v>0.2</v>
      </c>
      <c r="J75" s="1138"/>
      <c r="K75" s="1134"/>
      <c r="L75" s="1134"/>
      <c r="M75" s="1134"/>
      <c r="N75" s="1112">
        <f>G75+H76+I76</f>
        <v>7880.4</v>
      </c>
      <c r="O75" s="1112"/>
      <c r="P75" s="1140">
        <v>0.25</v>
      </c>
      <c r="Q75" s="1134"/>
      <c r="R75" s="1134"/>
      <c r="S75" s="1134"/>
      <c r="T75" s="1134">
        <v>20</v>
      </c>
      <c r="U75" s="1138">
        <v>0.3</v>
      </c>
      <c r="V75" s="1112">
        <f>N75*U75</f>
        <v>2364.12</v>
      </c>
      <c r="W75" s="1112"/>
      <c r="X75" s="1112">
        <f>(N75+V75)*P75</f>
        <v>2561.13</v>
      </c>
      <c r="Y75" s="1113">
        <f>AB75</f>
        <v>2438.87</v>
      </c>
      <c r="Z75" s="1113">
        <f>X75+Y75</f>
        <v>5000</v>
      </c>
      <c r="AA75" s="1110">
        <f>20000*P75</f>
        <v>5000</v>
      </c>
      <c r="AB75" s="1110">
        <f>AA75-X75</f>
        <v>2438.87</v>
      </c>
      <c r="AC75" s="1112">
        <f>6500*P75</f>
        <v>1625</v>
      </c>
      <c r="AD75" s="1112">
        <f>X75-AC75</f>
        <v>936.13000000000011</v>
      </c>
      <c r="AE75" s="436">
        <f t="shared" si="25"/>
        <v>0</v>
      </c>
      <c r="AF75" s="436">
        <f t="shared" si="26"/>
        <v>1641.75</v>
      </c>
      <c r="AG75" s="436">
        <f t="shared" si="27"/>
        <v>0</v>
      </c>
      <c r="AH75" s="436">
        <f t="shared" si="28"/>
        <v>1970.1</v>
      </c>
      <c r="AI75" s="436">
        <f t="shared" si="29"/>
        <v>0</v>
      </c>
      <c r="AJ75" s="436">
        <f t="shared" si="29"/>
        <v>328.34999999999991</v>
      </c>
      <c r="AK75" s="437">
        <f t="shared" si="30"/>
        <v>0</v>
      </c>
      <c r="AL75" s="437">
        <f t="shared" si="31"/>
        <v>591.03</v>
      </c>
      <c r="AM75" s="437">
        <f t="shared" si="32"/>
        <v>0</v>
      </c>
      <c r="AN75" s="437">
        <f t="shared" si="33"/>
        <v>0</v>
      </c>
      <c r="AO75" s="437">
        <f t="shared" si="34"/>
        <v>0</v>
      </c>
      <c r="AP75" s="437">
        <f t="shared" si="35"/>
        <v>0</v>
      </c>
      <c r="AQ75" s="437">
        <f t="shared" si="35"/>
        <v>1970.1</v>
      </c>
      <c r="AR75" s="436"/>
      <c r="AS75" s="437">
        <f t="shared" si="10"/>
        <v>1970.1</v>
      </c>
    </row>
    <row r="76" spans="1:45" s="438" customFormat="1">
      <c r="A76" s="1134"/>
      <c r="B76" s="1134"/>
      <c r="C76" s="1139"/>
      <c r="D76" s="1134"/>
      <c r="E76" s="1134"/>
      <c r="F76" s="1134"/>
      <c r="G76" s="1112"/>
      <c r="H76" s="1134"/>
      <c r="I76" s="448">
        <f>G75*I75</f>
        <v>1313.4</v>
      </c>
      <c r="J76" s="1170"/>
      <c r="K76" s="1134"/>
      <c r="L76" s="1134"/>
      <c r="M76" s="1134"/>
      <c r="N76" s="1112"/>
      <c r="O76" s="1112"/>
      <c r="P76" s="1140"/>
      <c r="Q76" s="1134"/>
      <c r="R76" s="1134"/>
      <c r="S76" s="1134"/>
      <c r="T76" s="1134"/>
      <c r="U76" s="1138"/>
      <c r="V76" s="1112"/>
      <c r="W76" s="1112"/>
      <c r="X76" s="1112"/>
      <c r="Y76" s="1114"/>
      <c r="Z76" s="1114"/>
      <c r="AA76" s="1111"/>
      <c r="AB76" s="1111"/>
      <c r="AC76" s="1112"/>
      <c r="AD76" s="1112"/>
      <c r="AE76" s="436">
        <f t="shared" si="25"/>
        <v>0</v>
      </c>
      <c r="AF76" s="436">
        <f t="shared" si="26"/>
        <v>0</v>
      </c>
      <c r="AG76" s="436">
        <f t="shared" si="27"/>
        <v>0</v>
      </c>
      <c r="AH76" s="436">
        <f t="shared" si="28"/>
        <v>0</v>
      </c>
      <c r="AI76" s="436">
        <f t="shared" si="29"/>
        <v>0</v>
      </c>
      <c r="AJ76" s="436">
        <f t="shared" si="29"/>
        <v>0</v>
      </c>
      <c r="AK76" s="437">
        <f t="shared" si="30"/>
        <v>0</v>
      </c>
      <c r="AL76" s="437">
        <f t="shared" si="31"/>
        <v>0</v>
      </c>
      <c r="AM76" s="437">
        <f t="shared" si="32"/>
        <v>0</v>
      </c>
      <c r="AN76" s="437">
        <f t="shared" si="33"/>
        <v>0</v>
      </c>
      <c r="AO76" s="437">
        <f t="shared" si="34"/>
        <v>0</v>
      </c>
      <c r="AP76" s="437">
        <f t="shared" si="35"/>
        <v>0</v>
      </c>
      <c r="AQ76" s="437">
        <f t="shared" si="35"/>
        <v>0</v>
      </c>
      <c r="AR76" s="436"/>
      <c r="AS76" s="437">
        <f t="shared" si="10"/>
        <v>0</v>
      </c>
    </row>
    <row r="77" spans="1:45" s="438" customFormat="1" ht="23.25" customHeight="1">
      <c r="A77" s="1134"/>
      <c r="B77" s="1134"/>
      <c r="C77" s="1139" t="s">
        <v>499</v>
      </c>
      <c r="D77" s="1134" t="s">
        <v>1007</v>
      </c>
      <c r="E77" s="1134" t="s">
        <v>1008</v>
      </c>
      <c r="F77" s="1134">
        <v>13</v>
      </c>
      <c r="G77" s="1112">
        <v>6567</v>
      </c>
      <c r="H77" s="1134"/>
      <c r="I77" s="435">
        <v>0.2</v>
      </c>
      <c r="J77" s="1138"/>
      <c r="K77" s="1134"/>
      <c r="L77" s="1134"/>
      <c r="M77" s="1134"/>
      <c r="N77" s="1112">
        <f>G77+H78+I78</f>
        <v>7880.4</v>
      </c>
      <c r="O77" s="1112"/>
      <c r="P77" s="1112">
        <v>0.25</v>
      </c>
      <c r="Q77" s="1134"/>
      <c r="R77" s="1134"/>
      <c r="S77" s="1134"/>
      <c r="T77" s="1134">
        <v>10</v>
      </c>
      <c r="U77" s="1138">
        <v>0.2</v>
      </c>
      <c r="V77" s="1112">
        <f>N77*U77</f>
        <v>1576.08</v>
      </c>
      <c r="W77" s="1112"/>
      <c r="X77" s="1112">
        <f>(N77+V77)*P77</f>
        <v>2364.12</v>
      </c>
      <c r="Y77" s="1113">
        <f>AB77</f>
        <v>2635.88</v>
      </c>
      <c r="Z77" s="1113">
        <f>X77+Y77</f>
        <v>5000</v>
      </c>
      <c r="AA77" s="1110">
        <f>20000*P77</f>
        <v>5000</v>
      </c>
      <c r="AB77" s="1110">
        <f>AA77-X77</f>
        <v>2635.88</v>
      </c>
      <c r="AC77" s="1112">
        <f>6500*P77</f>
        <v>1625</v>
      </c>
      <c r="AD77" s="1112">
        <f>X77-AC77</f>
        <v>739.11999999999989</v>
      </c>
      <c r="AE77" s="436">
        <f t="shared" si="25"/>
        <v>0</v>
      </c>
      <c r="AF77" s="436">
        <f t="shared" si="26"/>
        <v>1641.75</v>
      </c>
      <c r="AG77" s="436">
        <f t="shared" si="27"/>
        <v>0</v>
      </c>
      <c r="AH77" s="436">
        <f t="shared" si="28"/>
        <v>1970.1</v>
      </c>
      <c r="AI77" s="436">
        <f t="shared" si="29"/>
        <v>0</v>
      </c>
      <c r="AJ77" s="436">
        <f t="shared" si="29"/>
        <v>328.34999999999991</v>
      </c>
      <c r="AK77" s="437">
        <f t="shared" si="30"/>
        <v>0</v>
      </c>
      <c r="AL77" s="437">
        <f t="shared" si="31"/>
        <v>394.02</v>
      </c>
      <c r="AM77" s="437">
        <f t="shared" si="32"/>
        <v>0</v>
      </c>
      <c r="AN77" s="437">
        <f t="shared" si="33"/>
        <v>0</v>
      </c>
      <c r="AO77" s="437">
        <f t="shared" si="34"/>
        <v>0</v>
      </c>
      <c r="AP77" s="437">
        <f t="shared" si="35"/>
        <v>0</v>
      </c>
      <c r="AQ77" s="437">
        <f t="shared" si="35"/>
        <v>1970.1</v>
      </c>
      <c r="AR77" s="436"/>
      <c r="AS77" s="437">
        <f t="shared" si="10"/>
        <v>1970.1</v>
      </c>
    </row>
    <row r="78" spans="1:45" s="438" customFormat="1">
      <c r="A78" s="1134"/>
      <c r="B78" s="1134"/>
      <c r="C78" s="1139"/>
      <c r="D78" s="1134"/>
      <c r="E78" s="1134"/>
      <c r="F78" s="1134"/>
      <c r="G78" s="1112"/>
      <c r="H78" s="1134"/>
      <c r="I78" s="448">
        <f>G77*I77</f>
        <v>1313.4</v>
      </c>
      <c r="J78" s="1170"/>
      <c r="K78" s="1134"/>
      <c r="L78" s="1134"/>
      <c r="M78" s="1134"/>
      <c r="N78" s="1112"/>
      <c r="O78" s="1112"/>
      <c r="P78" s="1112"/>
      <c r="Q78" s="1134"/>
      <c r="R78" s="1134"/>
      <c r="S78" s="1134"/>
      <c r="T78" s="1134"/>
      <c r="U78" s="1138"/>
      <c r="V78" s="1112"/>
      <c r="W78" s="1112"/>
      <c r="X78" s="1112"/>
      <c r="Y78" s="1114"/>
      <c r="Z78" s="1114"/>
      <c r="AA78" s="1111"/>
      <c r="AB78" s="1111"/>
      <c r="AC78" s="1112"/>
      <c r="AD78" s="1112"/>
      <c r="AE78" s="436">
        <f t="shared" si="25"/>
        <v>0</v>
      </c>
      <c r="AF78" s="436">
        <f t="shared" si="26"/>
        <v>0</v>
      </c>
      <c r="AG78" s="436">
        <f t="shared" si="27"/>
        <v>0</v>
      </c>
      <c r="AH78" s="436">
        <f t="shared" si="28"/>
        <v>0</v>
      </c>
      <c r="AI78" s="436">
        <f t="shared" si="29"/>
        <v>0</v>
      </c>
      <c r="AJ78" s="436">
        <f t="shared" si="29"/>
        <v>0</v>
      </c>
      <c r="AK78" s="437">
        <f t="shared" si="30"/>
        <v>0</v>
      </c>
      <c r="AL78" s="437">
        <f t="shared" si="31"/>
        <v>0</v>
      </c>
      <c r="AM78" s="437">
        <f t="shared" si="32"/>
        <v>0</v>
      </c>
      <c r="AN78" s="437">
        <f t="shared" si="33"/>
        <v>0</v>
      </c>
      <c r="AO78" s="437">
        <f t="shared" si="34"/>
        <v>0</v>
      </c>
      <c r="AP78" s="437">
        <f t="shared" si="35"/>
        <v>0</v>
      </c>
      <c r="AQ78" s="437">
        <f t="shared" si="35"/>
        <v>0</v>
      </c>
      <c r="AR78" s="436"/>
      <c r="AS78" s="437">
        <f t="shared" si="10"/>
        <v>0</v>
      </c>
    </row>
    <row r="79" spans="1:45" s="438" customFormat="1" ht="23.25" customHeight="1">
      <c r="A79" s="1134"/>
      <c r="B79" s="1134"/>
      <c r="C79" s="1139" t="s">
        <v>499</v>
      </c>
      <c r="D79" s="1134" t="s">
        <v>1009</v>
      </c>
      <c r="E79" s="1134" t="s">
        <v>555</v>
      </c>
      <c r="F79" s="1134">
        <v>11</v>
      </c>
      <c r="G79" s="1112">
        <v>5699</v>
      </c>
      <c r="H79" s="1134"/>
      <c r="I79" s="435">
        <v>0.2</v>
      </c>
      <c r="J79" s="1138"/>
      <c r="K79" s="1134"/>
      <c r="L79" s="1134"/>
      <c r="M79" s="1134"/>
      <c r="N79" s="1112">
        <f>G79+H80+I80</f>
        <v>6838.8</v>
      </c>
      <c r="O79" s="1112">
        <v>1</v>
      </c>
      <c r="P79" s="1112"/>
      <c r="Q79" s="1134"/>
      <c r="R79" s="1134"/>
      <c r="S79" s="1134"/>
      <c r="T79" s="1134">
        <v>3</v>
      </c>
      <c r="U79" s="1138">
        <v>0.1</v>
      </c>
      <c r="V79" s="1112">
        <f>N79*U79</f>
        <v>683.88000000000011</v>
      </c>
      <c r="W79" s="1112"/>
      <c r="X79" s="1112">
        <f>(N79+V79)*O79</f>
        <v>7522.68</v>
      </c>
      <c r="Y79" s="1112">
        <f>AB79</f>
        <v>12477.32</v>
      </c>
      <c r="Z79" s="1112">
        <f>X79+Y79</f>
        <v>20000</v>
      </c>
      <c r="AA79" s="1109">
        <f>20000*O79</f>
        <v>20000</v>
      </c>
      <c r="AB79" s="1109">
        <f>AA79-X79</f>
        <v>12477.32</v>
      </c>
      <c r="AC79" s="1112">
        <f>6500*O79</f>
        <v>6500</v>
      </c>
      <c r="AD79" s="1112">
        <f>X79-AC79</f>
        <v>1022.6800000000003</v>
      </c>
      <c r="AE79" s="436">
        <f>G79*O79</f>
        <v>5699</v>
      </c>
      <c r="AF79" s="436">
        <f>G79*P79</f>
        <v>0</v>
      </c>
      <c r="AG79" s="436">
        <f>N79*O79</f>
        <v>6838.8</v>
      </c>
      <c r="AH79" s="436">
        <f>N79*P79</f>
        <v>0</v>
      </c>
      <c r="AI79" s="436">
        <f>AG79-AE79</f>
        <v>1139.8000000000002</v>
      </c>
      <c r="AJ79" s="436">
        <f>AH79-AF79</f>
        <v>0</v>
      </c>
      <c r="AK79" s="437">
        <f>V79*O79</f>
        <v>683.88000000000011</v>
      </c>
      <c r="AL79" s="437">
        <f>V79*P79</f>
        <v>0</v>
      </c>
      <c r="AM79" s="437">
        <f>W79</f>
        <v>0</v>
      </c>
      <c r="AN79" s="437">
        <f t="shared" si="33"/>
        <v>0</v>
      </c>
      <c r="AO79" s="437">
        <f t="shared" si="34"/>
        <v>0</v>
      </c>
      <c r="AP79" s="437">
        <f>AG79</f>
        <v>6838.8</v>
      </c>
      <c r="AQ79" s="437">
        <f>AH79</f>
        <v>0</v>
      </c>
      <c r="AR79" s="436"/>
      <c r="AS79" s="437">
        <f>AP79+AQ79-AR79</f>
        <v>6838.8</v>
      </c>
    </row>
    <row r="80" spans="1:45" s="438" customFormat="1">
      <c r="A80" s="1134"/>
      <c r="B80" s="1134"/>
      <c r="C80" s="1139"/>
      <c r="D80" s="1134"/>
      <c r="E80" s="1134"/>
      <c r="F80" s="1134"/>
      <c r="G80" s="1112"/>
      <c r="H80" s="1134"/>
      <c r="I80" s="448">
        <f>G79*I79</f>
        <v>1139.8</v>
      </c>
      <c r="J80" s="1170"/>
      <c r="K80" s="1134"/>
      <c r="L80" s="1134"/>
      <c r="M80" s="1134"/>
      <c r="N80" s="1112"/>
      <c r="O80" s="1112"/>
      <c r="P80" s="1112"/>
      <c r="Q80" s="1134"/>
      <c r="R80" s="1134"/>
      <c r="S80" s="1134"/>
      <c r="T80" s="1134"/>
      <c r="U80" s="1138"/>
      <c r="V80" s="1112"/>
      <c r="W80" s="1112"/>
      <c r="X80" s="1112"/>
      <c r="Y80" s="1112"/>
      <c r="Z80" s="1112"/>
      <c r="AA80" s="1109"/>
      <c r="AB80" s="1109"/>
      <c r="AC80" s="1112"/>
      <c r="AD80" s="1112"/>
      <c r="AE80" s="436">
        <f>G80*O80</f>
        <v>0</v>
      </c>
      <c r="AF80" s="436">
        <f>G80*P80</f>
        <v>0</v>
      </c>
      <c r="AG80" s="436">
        <f>N80*O80</f>
        <v>0</v>
      </c>
      <c r="AH80" s="436">
        <f>N80*P80</f>
        <v>0</v>
      </c>
      <c r="AI80" s="436">
        <f>AG80-AE80</f>
        <v>0</v>
      </c>
      <c r="AJ80" s="436">
        <f>AH80-AF80</f>
        <v>0</v>
      </c>
      <c r="AK80" s="437">
        <f>V80*O80</f>
        <v>0</v>
      </c>
      <c r="AL80" s="437">
        <f>V80*P80</f>
        <v>0</v>
      </c>
      <c r="AM80" s="437">
        <f>W80</f>
        <v>0</v>
      </c>
      <c r="AN80" s="437">
        <f t="shared" si="33"/>
        <v>0</v>
      </c>
      <c r="AO80" s="437">
        <f t="shared" si="34"/>
        <v>0</v>
      </c>
      <c r="AP80" s="437">
        <f>AG80</f>
        <v>0</v>
      </c>
      <c r="AQ80" s="437">
        <f>AH80</f>
        <v>0</v>
      </c>
      <c r="AR80" s="436"/>
      <c r="AS80" s="437">
        <f>AP80+AQ80-AR80</f>
        <v>0</v>
      </c>
    </row>
    <row r="81" spans="1:45" s="438" customFormat="1" ht="23.25" customHeight="1">
      <c r="A81" s="1134"/>
      <c r="B81" s="1134"/>
      <c r="C81" s="1139" t="s">
        <v>499</v>
      </c>
      <c r="D81" s="1134" t="s">
        <v>1010</v>
      </c>
      <c r="E81" s="1134" t="s">
        <v>555</v>
      </c>
      <c r="F81" s="1134">
        <v>11</v>
      </c>
      <c r="G81" s="1112">
        <v>5699</v>
      </c>
      <c r="H81" s="1134"/>
      <c r="I81" s="435">
        <v>0.2</v>
      </c>
      <c r="J81" s="1138"/>
      <c r="K81" s="1134"/>
      <c r="L81" s="1134"/>
      <c r="M81" s="1134"/>
      <c r="N81" s="1112">
        <f>G81+H82+I82</f>
        <v>6838.8</v>
      </c>
      <c r="O81" s="1112"/>
      <c r="P81" s="1112">
        <v>0.25</v>
      </c>
      <c r="Q81" s="1134"/>
      <c r="R81" s="1134"/>
      <c r="S81" s="1134"/>
      <c r="T81" s="1134">
        <v>3</v>
      </c>
      <c r="U81" s="1138">
        <v>0.1</v>
      </c>
      <c r="V81" s="1112">
        <f>N81*U81</f>
        <v>683.88000000000011</v>
      </c>
      <c r="W81" s="1112"/>
      <c r="X81" s="1112">
        <f>(N81+V81)*P81</f>
        <v>1880.67</v>
      </c>
      <c r="Y81" s="1113">
        <f>AB81</f>
        <v>3119.33</v>
      </c>
      <c r="Z81" s="1113">
        <f>X81+Y81</f>
        <v>5000</v>
      </c>
      <c r="AA81" s="1110">
        <f>20000*P81</f>
        <v>5000</v>
      </c>
      <c r="AB81" s="1110">
        <f>AA81-X81</f>
        <v>3119.33</v>
      </c>
      <c r="AC81" s="1112">
        <f>6500*P81</f>
        <v>1625</v>
      </c>
      <c r="AD81" s="1112">
        <f>X81-AC81</f>
        <v>255.67000000000007</v>
      </c>
      <c r="AE81" s="436">
        <f t="shared" si="25"/>
        <v>0</v>
      </c>
      <c r="AF81" s="436">
        <f t="shared" si="26"/>
        <v>1424.75</v>
      </c>
      <c r="AG81" s="436">
        <f t="shared" si="27"/>
        <v>0</v>
      </c>
      <c r="AH81" s="436">
        <f t="shared" si="28"/>
        <v>1709.7</v>
      </c>
      <c r="AI81" s="436">
        <f t="shared" si="29"/>
        <v>0</v>
      </c>
      <c r="AJ81" s="436">
        <f t="shared" si="29"/>
        <v>284.95000000000005</v>
      </c>
      <c r="AK81" s="437">
        <f t="shared" si="30"/>
        <v>0</v>
      </c>
      <c r="AL81" s="437">
        <f t="shared" si="31"/>
        <v>170.97000000000003</v>
      </c>
      <c r="AM81" s="437">
        <f t="shared" si="32"/>
        <v>0</v>
      </c>
      <c r="AN81" s="437">
        <f t="shared" si="33"/>
        <v>0</v>
      </c>
      <c r="AO81" s="437">
        <f t="shared" si="34"/>
        <v>0</v>
      </c>
      <c r="AP81" s="437">
        <f t="shared" si="35"/>
        <v>0</v>
      </c>
      <c r="AQ81" s="437">
        <f t="shared" si="35"/>
        <v>1709.7</v>
      </c>
      <c r="AR81" s="436"/>
      <c r="AS81" s="437">
        <f t="shared" ref="AS81:AS157" si="36">AP81+AQ81-AR81</f>
        <v>1709.7</v>
      </c>
    </row>
    <row r="82" spans="1:45" s="438" customFormat="1">
      <c r="A82" s="1134"/>
      <c r="B82" s="1134"/>
      <c r="C82" s="1139"/>
      <c r="D82" s="1134"/>
      <c r="E82" s="1134"/>
      <c r="F82" s="1134"/>
      <c r="G82" s="1112"/>
      <c r="H82" s="1134"/>
      <c r="I82" s="448">
        <f>G81*I81</f>
        <v>1139.8</v>
      </c>
      <c r="J82" s="1170"/>
      <c r="K82" s="1134"/>
      <c r="L82" s="1134"/>
      <c r="M82" s="1134"/>
      <c r="N82" s="1112"/>
      <c r="O82" s="1112"/>
      <c r="P82" s="1112"/>
      <c r="Q82" s="1134"/>
      <c r="R82" s="1134"/>
      <c r="S82" s="1134"/>
      <c r="T82" s="1134"/>
      <c r="U82" s="1138"/>
      <c r="V82" s="1112"/>
      <c r="W82" s="1112"/>
      <c r="X82" s="1112"/>
      <c r="Y82" s="1114"/>
      <c r="Z82" s="1114"/>
      <c r="AA82" s="1111"/>
      <c r="AB82" s="1111"/>
      <c r="AC82" s="1112"/>
      <c r="AD82" s="1112"/>
      <c r="AE82" s="436">
        <f t="shared" si="25"/>
        <v>0</v>
      </c>
      <c r="AF82" s="436">
        <f t="shared" si="26"/>
        <v>0</v>
      </c>
      <c r="AG82" s="436">
        <f t="shared" si="27"/>
        <v>0</v>
      </c>
      <c r="AH82" s="436">
        <f t="shared" si="28"/>
        <v>0</v>
      </c>
      <c r="AI82" s="436">
        <f t="shared" si="29"/>
        <v>0</v>
      </c>
      <c r="AJ82" s="436">
        <f t="shared" si="29"/>
        <v>0</v>
      </c>
      <c r="AK82" s="437">
        <f t="shared" si="30"/>
        <v>0</v>
      </c>
      <c r="AL82" s="437">
        <f t="shared" si="31"/>
        <v>0</v>
      </c>
      <c r="AM82" s="437">
        <f t="shared" si="32"/>
        <v>0</v>
      </c>
      <c r="AN82" s="437">
        <f t="shared" si="33"/>
        <v>0</v>
      </c>
      <c r="AO82" s="437">
        <f t="shared" si="34"/>
        <v>0</v>
      </c>
      <c r="AP82" s="437">
        <f t="shared" si="35"/>
        <v>0</v>
      </c>
      <c r="AQ82" s="437">
        <f t="shared" si="35"/>
        <v>0</v>
      </c>
      <c r="AR82" s="436"/>
      <c r="AS82" s="437">
        <f t="shared" si="36"/>
        <v>0</v>
      </c>
    </row>
    <row r="83" spans="1:45" s="438" customFormat="1" ht="23.25" customHeight="1">
      <c r="A83" s="1134"/>
      <c r="B83" s="1134"/>
      <c r="C83" s="1139" t="s">
        <v>499</v>
      </c>
      <c r="D83" s="1134" t="s">
        <v>495</v>
      </c>
      <c r="E83" s="1134" t="s">
        <v>496</v>
      </c>
      <c r="F83" s="1134">
        <v>14</v>
      </c>
      <c r="G83" s="1112">
        <v>7001</v>
      </c>
      <c r="H83" s="1134"/>
      <c r="I83" s="435">
        <v>0.4</v>
      </c>
      <c r="J83" s="1138"/>
      <c r="K83" s="1134"/>
      <c r="L83" s="1134"/>
      <c r="M83" s="1134"/>
      <c r="N83" s="1112">
        <f>G83+H84+I84</f>
        <v>9801.4</v>
      </c>
      <c r="O83" s="1112"/>
      <c r="P83" s="1112">
        <f>0.5</f>
        <v>0.5</v>
      </c>
      <c r="Q83" s="1134"/>
      <c r="R83" s="1134"/>
      <c r="S83" s="1134"/>
      <c r="T83" s="1134">
        <v>28</v>
      </c>
      <c r="U83" s="1138">
        <v>0.3</v>
      </c>
      <c r="V83" s="1112">
        <f>N83*U83</f>
        <v>2940.4199999999996</v>
      </c>
      <c r="W83" s="1112"/>
      <c r="X83" s="1112">
        <f>(N83+V83)*P83</f>
        <v>6370.91</v>
      </c>
      <c r="Y83" s="1113">
        <f>AB83</f>
        <v>3629.09</v>
      </c>
      <c r="Z83" s="1113">
        <f>X83+Y83</f>
        <v>10000</v>
      </c>
      <c r="AA83" s="1110">
        <f>20000*P83</f>
        <v>10000</v>
      </c>
      <c r="AB83" s="1110">
        <f>AA83-X83</f>
        <v>3629.09</v>
      </c>
      <c r="AC83" s="1112">
        <f>6500*P83</f>
        <v>3250</v>
      </c>
      <c r="AD83" s="1112">
        <f>X83-AC83</f>
        <v>3120.91</v>
      </c>
      <c r="AE83" s="436">
        <f t="shared" si="25"/>
        <v>0</v>
      </c>
      <c r="AF83" s="436">
        <f t="shared" si="26"/>
        <v>3500.5</v>
      </c>
      <c r="AG83" s="436">
        <f t="shared" si="27"/>
        <v>0</v>
      </c>
      <c r="AH83" s="436">
        <f t="shared" si="28"/>
        <v>4900.7</v>
      </c>
      <c r="AI83" s="436">
        <f t="shared" si="29"/>
        <v>0</v>
      </c>
      <c r="AJ83" s="436">
        <f t="shared" si="29"/>
        <v>1400.1999999999998</v>
      </c>
      <c r="AK83" s="437">
        <f t="shared" si="30"/>
        <v>0</v>
      </c>
      <c r="AL83" s="437">
        <f t="shared" si="31"/>
        <v>1470.2099999999998</v>
      </c>
      <c r="AM83" s="437">
        <f t="shared" si="32"/>
        <v>0</v>
      </c>
      <c r="AN83" s="437">
        <f t="shared" si="33"/>
        <v>0</v>
      </c>
      <c r="AO83" s="437">
        <f t="shared" si="34"/>
        <v>0</v>
      </c>
      <c r="AP83" s="437">
        <f t="shared" si="35"/>
        <v>0</v>
      </c>
      <c r="AQ83" s="437">
        <f t="shared" si="35"/>
        <v>4900.7</v>
      </c>
      <c r="AR83" s="436"/>
      <c r="AS83" s="437">
        <f t="shared" si="36"/>
        <v>4900.7</v>
      </c>
    </row>
    <row r="84" spans="1:45" s="438" customFormat="1">
      <c r="A84" s="1134"/>
      <c r="B84" s="1134"/>
      <c r="C84" s="1139"/>
      <c r="D84" s="1134"/>
      <c r="E84" s="1134"/>
      <c r="F84" s="1134"/>
      <c r="G84" s="1112"/>
      <c r="H84" s="1134"/>
      <c r="I84" s="448">
        <f>G83*I83</f>
        <v>2800.4</v>
      </c>
      <c r="J84" s="1170"/>
      <c r="K84" s="1134"/>
      <c r="L84" s="1134"/>
      <c r="M84" s="1134"/>
      <c r="N84" s="1112"/>
      <c r="O84" s="1112"/>
      <c r="P84" s="1112"/>
      <c r="Q84" s="1134"/>
      <c r="R84" s="1134"/>
      <c r="S84" s="1134"/>
      <c r="T84" s="1134"/>
      <c r="U84" s="1138"/>
      <c r="V84" s="1112"/>
      <c r="W84" s="1112"/>
      <c r="X84" s="1112"/>
      <c r="Y84" s="1114"/>
      <c r="Z84" s="1114"/>
      <c r="AA84" s="1111"/>
      <c r="AB84" s="1111"/>
      <c r="AC84" s="1112"/>
      <c r="AD84" s="1112"/>
      <c r="AE84" s="436">
        <f t="shared" si="25"/>
        <v>0</v>
      </c>
      <c r="AF84" s="436">
        <f t="shared" si="26"/>
        <v>0</v>
      </c>
      <c r="AG84" s="436">
        <f t="shared" si="27"/>
        <v>0</v>
      </c>
      <c r="AH84" s="436">
        <f t="shared" si="28"/>
        <v>0</v>
      </c>
      <c r="AI84" s="436">
        <f t="shared" si="29"/>
        <v>0</v>
      </c>
      <c r="AJ84" s="436">
        <f t="shared" si="29"/>
        <v>0</v>
      </c>
      <c r="AK84" s="437">
        <f t="shared" si="30"/>
        <v>0</v>
      </c>
      <c r="AL84" s="437">
        <f t="shared" si="31"/>
        <v>0</v>
      </c>
      <c r="AM84" s="437">
        <f t="shared" si="32"/>
        <v>0</v>
      </c>
      <c r="AN84" s="437">
        <f t="shared" si="33"/>
        <v>0</v>
      </c>
      <c r="AO84" s="437">
        <f t="shared" si="34"/>
        <v>0</v>
      </c>
      <c r="AP84" s="437">
        <f t="shared" si="35"/>
        <v>0</v>
      </c>
      <c r="AQ84" s="437">
        <f t="shared" si="35"/>
        <v>0</v>
      </c>
      <c r="AR84" s="436"/>
      <c r="AS84" s="437">
        <f t="shared" si="36"/>
        <v>0</v>
      </c>
    </row>
    <row r="85" spans="1:45" s="438" customFormat="1" ht="23.25" customHeight="1">
      <c r="A85" s="1134"/>
      <c r="B85" s="1134"/>
      <c r="C85" s="1139" t="s">
        <v>499</v>
      </c>
      <c r="D85" s="1134" t="s">
        <v>497</v>
      </c>
      <c r="E85" s="1134" t="s">
        <v>498</v>
      </c>
      <c r="F85" s="1134">
        <v>14</v>
      </c>
      <c r="G85" s="1112">
        <v>7001</v>
      </c>
      <c r="H85" s="1134"/>
      <c r="I85" s="435">
        <v>0.2</v>
      </c>
      <c r="J85" s="1138"/>
      <c r="K85" s="1134"/>
      <c r="L85" s="1134"/>
      <c r="M85" s="1134"/>
      <c r="N85" s="1112">
        <f>G85+H86+I86</f>
        <v>8401.2000000000007</v>
      </c>
      <c r="O85" s="1112"/>
      <c r="P85" s="1112">
        <v>0.5</v>
      </c>
      <c r="Q85" s="1134"/>
      <c r="R85" s="1134"/>
      <c r="S85" s="1134"/>
      <c r="T85" s="1134">
        <v>32</v>
      </c>
      <c r="U85" s="1138">
        <v>0.3</v>
      </c>
      <c r="V85" s="1112">
        <f>N85*U85</f>
        <v>2520.36</v>
      </c>
      <c r="W85" s="1112"/>
      <c r="X85" s="1112">
        <f>(N85+V85)*P85</f>
        <v>5460.7800000000007</v>
      </c>
      <c r="Y85" s="1113">
        <f>AB85</f>
        <v>4539.2199999999993</v>
      </c>
      <c r="Z85" s="1113">
        <f>X85+Y85</f>
        <v>10000</v>
      </c>
      <c r="AA85" s="1110">
        <f>20000*P85</f>
        <v>10000</v>
      </c>
      <c r="AB85" s="1110">
        <f>AA85-X85</f>
        <v>4539.2199999999993</v>
      </c>
      <c r="AC85" s="1112">
        <f>6500*P85</f>
        <v>3250</v>
      </c>
      <c r="AD85" s="1112">
        <f>X85-AC85</f>
        <v>2210.7800000000007</v>
      </c>
      <c r="AE85" s="436">
        <f t="shared" si="25"/>
        <v>0</v>
      </c>
      <c r="AF85" s="436">
        <f t="shared" si="26"/>
        <v>3500.5</v>
      </c>
      <c r="AG85" s="436">
        <f t="shared" si="27"/>
        <v>0</v>
      </c>
      <c r="AH85" s="436">
        <f t="shared" si="28"/>
        <v>4200.6000000000004</v>
      </c>
      <c r="AI85" s="436">
        <f t="shared" si="29"/>
        <v>0</v>
      </c>
      <c r="AJ85" s="436">
        <f t="shared" si="29"/>
        <v>700.10000000000036</v>
      </c>
      <c r="AK85" s="437">
        <f t="shared" si="30"/>
        <v>0</v>
      </c>
      <c r="AL85" s="437">
        <f t="shared" si="31"/>
        <v>1260.18</v>
      </c>
      <c r="AM85" s="437">
        <f t="shared" si="32"/>
        <v>0</v>
      </c>
      <c r="AN85" s="437">
        <f t="shared" si="33"/>
        <v>0</v>
      </c>
      <c r="AO85" s="437">
        <f t="shared" si="34"/>
        <v>0</v>
      </c>
      <c r="AP85" s="437">
        <f t="shared" si="35"/>
        <v>0</v>
      </c>
      <c r="AQ85" s="437">
        <f t="shared" si="35"/>
        <v>4200.6000000000004</v>
      </c>
      <c r="AR85" s="436"/>
      <c r="AS85" s="437">
        <f t="shared" si="36"/>
        <v>4200.6000000000004</v>
      </c>
    </row>
    <row r="86" spans="1:45" s="438" customFormat="1">
      <c r="A86" s="1134"/>
      <c r="B86" s="1134"/>
      <c r="C86" s="1139"/>
      <c r="D86" s="1134"/>
      <c r="E86" s="1134"/>
      <c r="F86" s="1134"/>
      <c r="G86" s="1112"/>
      <c r="H86" s="1134"/>
      <c r="I86" s="448">
        <f>G85*I85</f>
        <v>1400.2</v>
      </c>
      <c r="J86" s="1170"/>
      <c r="K86" s="1134"/>
      <c r="L86" s="1134"/>
      <c r="M86" s="1134"/>
      <c r="N86" s="1112"/>
      <c r="O86" s="1112"/>
      <c r="P86" s="1112"/>
      <c r="Q86" s="1134"/>
      <c r="R86" s="1134"/>
      <c r="S86" s="1134"/>
      <c r="T86" s="1134"/>
      <c r="U86" s="1138"/>
      <c r="V86" s="1112"/>
      <c r="W86" s="1112"/>
      <c r="X86" s="1112"/>
      <c r="Y86" s="1114"/>
      <c r="Z86" s="1114"/>
      <c r="AA86" s="1111"/>
      <c r="AB86" s="1111"/>
      <c r="AC86" s="1112"/>
      <c r="AD86" s="1112"/>
      <c r="AE86" s="436">
        <f t="shared" si="25"/>
        <v>0</v>
      </c>
      <c r="AF86" s="436">
        <f t="shared" si="26"/>
        <v>0</v>
      </c>
      <c r="AG86" s="436">
        <f t="shared" si="27"/>
        <v>0</v>
      </c>
      <c r="AH86" s="436">
        <f t="shared" si="28"/>
        <v>0</v>
      </c>
      <c r="AI86" s="436">
        <f t="shared" si="29"/>
        <v>0</v>
      </c>
      <c r="AJ86" s="436">
        <f t="shared" si="29"/>
        <v>0</v>
      </c>
      <c r="AK86" s="437">
        <f t="shared" si="30"/>
        <v>0</v>
      </c>
      <c r="AL86" s="437">
        <f t="shared" si="31"/>
        <v>0</v>
      </c>
      <c r="AM86" s="437">
        <f t="shared" si="32"/>
        <v>0</v>
      </c>
      <c r="AN86" s="437">
        <f t="shared" si="33"/>
        <v>0</v>
      </c>
      <c r="AO86" s="437">
        <f t="shared" si="34"/>
        <v>0</v>
      </c>
      <c r="AP86" s="437">
        <f t="shared" si="35"/>
        <v>0</v>
      </c>
      <c r="AQ86" s="437">
        <f t="shared" si="35"/>
        <v>0</v>
      </c>
      <c r="AR86" s="436"/>
      <c r="AS86" s="437">
        <f t="shared" si="36"/>
        <v>0</v>
      </c>
    </row>
    <row r="87" spans="1:45" s="438" customFormat="1" ht="23.25" customHeight="1">
      <c r="A87" s="1134"/>
      <c r="B87" s="1134"/>
      <c r="C87" s="1139" t="s">
        <v>499</v>
      </c>
      <c r="D87" s="1134" t="s">
        <v>1011</v>
      </c>
      <c r="E87" s="1134" t="s">
        <v>1012</v>
      </c>
      <c r="F87" s="1134">
        <v>13</v>
      </c>
      <c r="G87" s="1112">
        <v>6567</v>
      </c>
      <c r="H87" s="1134"/>
      <c r="I87" s="435">
        <v>0.2</v>
      </c>
      <c r="J87" s="1138"/>
      <c r="K87" s="1134"/>
      <c r="L87" s="1134"/>
      <c r="M87" s="1134"/>
      <c r="N87" s="1112">
        <f>G87+H88+I88</f>
        <v>7880.4</v>
      </c>
      <c r="O87" s="1112"/>
      <c r="P87" s="1112">
        <v>0.25</v>
      </c>
      <c r="Q87" s="1134"/>
      <c r="R87" s="1134"/>
      <c r="S87" s="1134"/>
      <c r="T87" s="1134">
        <v>10</v>
      </c>
      <c r="U87" s="1138">
        <v>0.2</v>
      </c>
      <c r="V87" s="1112">
        <f>N87*U87</f>
        <v>1576.08</v>
      </c>
      <c r="W87" s="1112"/>
      <c r="X87" s="1112">
        <f>(N87+V87)*P87</f>
        <v>2364.12</v>
      </c>
      <c r="Y87" s="1113">
        <f>AB87</f>
        <v>2635.88</v>
      </c>
      <c r="Z87" s="1113">
        <f>X87+Y87</f>
        <v>5000</v>
      </c>
      <c r="AA87" s="1110">
        <f>20000*P87</f>
        <v>5000</v>
      </c>
      <c r="AB87" s="1110">
        <f>AA87-X87</f>
        <v>2635.88</v>
      </c>
      <c r="AC87" s="1112">
        <f>6500*P87</f>
        <v>1625</v>
      </c>
      <c r="AD87" s="1112">
        <f>X87-AC87</f>
        <v>739.11999999999989</v>
      </c>
      <c r="AE87" s="436">
        <f>G87*O87</f>
        <v>0</v>
      </c>
      <c r="AF87" s="436">
        <f>G87*P87</f>
        <v>1641.75</v>
      </c>
      <c r="AG87" s="436">
        <f>N87*O87</f>
        <v>0</v>
      </c>
      <c r="AH87" s="436">
        <f>N87*P87</f>
        <v>1970.1</v>
      </c>
      <c r="AI87" s="436">
        <f>AG87-AE87</f>
        <v>0</v>
      </c>
      <c r="AJ87" s="436">
        <f>AH87-AF87</f>
        <v>328.34999999999991</v>
      </c>
      <c r="AK87" s="437">
        <f>V87*O87</f>
        <v>0</v>
      </c>
      <c r="AL87" s="437">
        <f>V87*P87</f>
        <v>394.02</v>
      </c>
      <c r="AM87" s="437">
        <f>W87</f>
        <v>0</v>
      </c>
      <c r="AN87" s="437">
        <f t="shared" si="33"/>
        <v>0</v>
      </c>
      <c r="AO87" s="437">
        <f t="shared" si="34"/>
        <v>0</v>
      </c>
      <c r="AP87" s="437">
        <f t="shared" si="35"/>
        <v>0</v>
      </c>
      <c r="AQ87" s="437">
        <f t="shared" si="35"/>
        <v>1970.1</v>
      </c>
      <c r="AR87" s="436"/>
      <c r="AS87" s="437">
        <f t="shared" si="36"/>
        <v>1970.1</v>
      </c>
    </row>
    <row r="88" spans="1:45" s="438" customFormat="1">
      <c r="A88" s="1134"/>
      <c r="B88" s="1134"/>
      <c r="C88" s="1139"/>
      <c r="D88" s="1134"/>
      <c r="E88" s="1134"/>
      <c r="F88" s="1134"/>
      <c r="G88" s="1112"/>
      <c r="H88" s="1134"/>
      <c r="I88" s="448">
        <f>G87*I87</f>
        <v>1313.4</v>
      </c>
      <c r="J88" s="1170"/>
      <c r="K88" s="1134"/>
      <c r="L88" s="1134"/>
      <c r="M88" s="1134"/>
      <c r="N88" s="1112"/>
      <c r="O88" s="1112"/>
      <c r="P88" s="1112"/>
      <c r="Q88" s="1134"/>
      <c r="R88" s="1134"/>
      <c r="S88" s="1134"/>
      <c r="T88" s="1134"/>
      <c r="U88" s="1138"/>
      <c r="V88" s="1112"/>
      <c r="W88" s="1112"/>
      <c r="X88" s="1112"/>
      <c r="Y88" s="1114"/>
      <c r="Z88" s="1114"/>
      <c r="AA88" s="1111"/>
      <c r="AB88" s="1111"/>
      <c r="AC88" s="1112"/>
      <c r="AD88" s="1112"/>
      <c r="AE88" s="436">
        <f>G88*O88</f>
        <v>0</v>
      </c>
      <c r="AF88" s="436">
        <f>G88*P88</f>
        <v>0</v>
      </c>
      <c r="AG88" s="436">
        <f>N88*O88</f>
        <v>0</v>
      </c>
      <c r="AH88" s="436">
        <f>N88*P88</f>
        <v>0</v>
      </c>
      <c r="AI88" s="436">
        <f>AG88-AE88</f>
        <v>0</v>
      </c>
      <c r="AJ88" s="436">
        <f>AH88-AF88</f>
        <v>0</v>
      </c>
      <c r="AK88" s="437">
        <f>V88*O88</f>
        <v>0</v>
      </c>
      <c r="AL88" s="437">
        <f>V88*P88</f>
        <v>0</v>
      </c>
      <c r="AM88" s="437">
        <f>W88</f>
        <v>0</v>
      </c>
      <c r="AN88" s="437">
        <f t="shared" si="33"/>
        <v>0</v>
      </c>
      <c r="AO88" s="437">
        <f t="shared" si="34"/>
        <v>0</v>
      </c>
      <c r="AP88" s="437">
        <f t="shared" si="35"/>
        <v>0</v>
      </c>
      <c r="AQ88" s="437">
        <f t="shared" si="35"/>
        <v>0</v>
      </c>
      <c r="AR88" s="436"/>
      <c r="AS88" s="437">
        <f t="shared" si="36"/>
        <v>0</v>
      </c>
    </row>
    <row r="89" spans="1:45" s="438" customFormat="1" ht="23.25" customHeight="1">
      <c r="A89" s="1134"/>
      <c r="B89" s="1134"/>
      <c r="C89" s="1139" t="s">
        <v>499</v>
      </c>
      <c r="D89" s="1134"/>
      <c r="E89" s="1134" t="s">
        <v>325</v>
      </c>
      <c r="F89" s="1134">
        <v>14</v>
      </c>
      <c r="G89" s="1112">
        <v>7001</v>
      </c>
      <c r="H89" s="1134"/>
      <c r="I89" s="435">
        <v>0.2</v>
      </c>
      <c r="J89" s="1138"/>
      <c r="K89" s="1134"/>
      <c r="L89" s="1134"/>
      <c r="M89" s="1134"/>
      <c r="N89" s="1112">
        <f>G89+H90+I90</f>
        <v>8401.2000000000007</v>
      </c>
      <c r="O89" s="1112">
        <v>0.75</v>
      </c>
      <c r="P89" s="1112"/>
      <c r="Q89" s="1134"/>
      <c r="R89" s="1134"/>
      <c r="S89" s="1134"/>
      <c r="T89" s="1134"/>
      <c r="U89" s="1138">
        <v>0</v>
      </c>
      <c r="V89" s="1112">
        <f>N89*U89</f>
        <v>0</v>
      </c>
      <c r="W89" s="1112"/>
      <c r="X89" s="1112">
        <f>(N89+V89)*O89</f>
        <v>6300.9000000000005</v>
      </c>
      <c r="Y89" s="1112">
        <f>AB89</f>
        <v>8699.0999999999985</v>
      </c>
      <c r="Z89" s="1112">
        <f>X89+Y89</f>
        <v>15000</v>
      </c>
      <c r="AA89" s="1109">
        <f>20000*O89</f>
        <v>15000</v>
      </c>
      <c r="AB89" s="1109">
        <f>AA89-X89</f>
        <v>8699.0999999999985</v>
      </c>
      <c r="AC89" s="1112">
        <f>6500*O89</f>
        <v>4875</v>
      </c>
      <c r="AD89" s="1112">
        <f>X89-AC89</f>
        <v>1425.9000000000005</v>
      </c>
      <c r="AE89" s="436">
        <f t="shared" si="25"/>
        <v>5250.75</v>
      </c>
      <c r="AF89" s="436">
        <f t="shared" si="26"/>
        <v>0</v>
      </c>
      <c r="AG89" s="436">
        <f t="shared" si="27"/>
        <v>6300.9000000000005</v>
      </c>
      <c r="AH89" s="436">
        <f t="shared" si="28"/>
        <v>0</v>
      </c>
      <c r="AI89" s="436">
        <f t="shared" si="29"/>
        <v>1050.1500000000005</v>
      </c>
      <c r="AJ89" s="436">
        <f t="shared" si="29"/>
        <v>0</v>
      </c>
      <c r="AK89" s="437">
        <f t="shared" si="30"/>
        <v>0</v>
      </c>
      <c r="AL89" s="437">
        <f t="shared" si="31"/>
        <v>0</v>
      </c>
      <c r="AM89" s="437">
        <f t="shared" si="32"/>
        <v>0</v>
      </c>
      <c r="AN89" s="437">
        <f t="shared" si="33"/>
        <v>0</v>
      </c>
      <c r="AO89" s="437">
        <f t="shared" si="34"/>
        <v>0</v>
      </c>
      <c r="AP89" s="437">
        <f t="shared" si="35"/>
        <v>6300.9000000000005</v>
      </c>
      <c r="AQ89" s="437">
        <f t="shared" si="35"/>
        <v>0</v>
      </c>
      <c r="AR89" s="436"/>
      <c r="AS89" s="437">
        <f t="shared" si="36"/>
        <v>6300.9000000000005</v>
      </c>
    </row>
    <row r="90" spans="1:45" s="438" customFormat="1">
      <c r="A90" s="1134"/>
      <c r="B90" s="1134"/>
      <c r="C90" s="1139"/>
      <c r="D90" s="1134"/>
      <c r="E90" s="1134"/>
      <c r="F90" s="1134"/>
      <c r="G90" s="1112"/>
      <c r="H90" s="1134"/>
      <c r="I90" s="448">
        <f>G89*I89</f>
        <v>1400.2</v>
      </c>
      <c r="J90" s="1170"/>
      <c r="K90" s="1134"/>
      <c r="L90" s="1134"/>
      <c r="M90" s="1134"/>
      <c r="N90" s="1112"/>
      <c r="O90" s="1112"/>
      <c r="P90" s="1112"/>
      <c r="Q90" s="1134"/>
      <c r="R90" s="1134"/>
      <c r="S90" s="1134"/>
      <c r="T90" s="1134"/>
      <c r="U90" s="1138"/>
      <c r="V90" s="1112"/>
      <c r="W90" s="1112"/>
      <c r="X90" s="1112"/>
      <c r="Y90" s="1112"/>
      <c r="Z90" s="1112"/>
      <c r="AA90" s="1109"/>
      <c r="AB90" s="1109"/>
      <c r="AC90" s="1112"/>
      <c r="AD90" s="1112"/>
      <c r="AE90" s="436">
        <f t="shared" si="25"/>
        <v>0</v>
      </c>
      <c r="AF90" s="436">
        <f t="shared" si="26"/>
        <v>0</v>
      </c>
      <c r="AG90" s="436">
        <f t="shared" si="27"/>
        <v>0</v>
      </c>
      <c r="AH90" s="436">
        <f t="shared" si="28"/>
        <v>0</v>
      </c>
      <c r="AI90" s="436">
        <f t="shared" si="29"/>
        <v>0</v>
      </c>
      <c r="AJ90" s="436">
        <f t="shared" si="29"/>
        <v>0</v>
      </c>
      <c r="AK90" s="437">
        <f t="shared" si="30"/>
        <v>0</v>
      </c>
      <c r="AL90" s="437">
        <f t="shared" si="31"/>
        <v>0</v>
      </c>
      <c r="AM90" s="437">
        <f t="shared" si="32"/>
        <v>0</v>
      </c>
      <c r="AN90" s="437">
        <f t="shared" si="33"/>
        <v>0</v>
      </c>
      <c r="AO90" s="437">
        <f t="shared" si="34"/>
        <v>0</v>
      </c>
      <c r="AP90" s="437">
        <f t="shared" si="35"/>
        <v>0</v>
      </c>
      <c r="AQ90" s="437">
        <f t="shared" si="35"/>
        <v>0</v>
      </c>
      <c r="AR90" s="436"/>
      <c r="AS90" s="437">
        <f t="shared" si="36"/>
        <v>0</v>
      </c>
    </row>
    <row r="91" spans="1:45" s="438" customFormat="1" ht="23.25" customHeight="1">
      <c r="A91" s="1134"/>
      <c r="B91" s="1134"/>
      <c r="C91" s="1139" t="s">
        <v>1013</v>
      </c>
      <c r="D91" s="1134" t="s">
        <v>1014</v>
      </c>
      <c r="E91" s="1134" t="s">
        <v>1015</v>
      </c>
      <c r="F91" s="1134">
        <v>13</v>
      </c>
      <c r="G91" s="1112">
        <v>6567</v>
      </c>
      <c r="H91" s="1134"/>
      <c r="I91" s="1134"/>
      <c r="J91" s="1134"/>
      <c r="K91" s="1134"/>
      <c r="L91" s="435">
        <v>0.15</v>
      </c>
      <c r="M91" s="1138"/>
      <c r="N91" s="1112">
        <f>G91+H92+I92+L92</f>
        <v>7552.05</v>
      </c>
      <c r="O91" s="1112"/>
      <c r="P91" s="1112">
        <v>0.5</v>
      </c>
      <c r="Q91" s="1134"/>
      <c r="R91" s="1134"/>
      <c r="S91" s="1134"/>
      <c r="T91" s="1134">
        <v>0</v>
      </c>
      <c r="U91" s="1138">
        <v>0</v>
      </c>
      <c r="V91" s="1112">
        <f>N91*U91</f>
        <v>0</v>
      </c>
      <c r="W91" s="1112"/>
      <c r="X91" s="1112">
        <f>(N91+V91)*P91</f>
        <v>3776.0250000000001</v>
      </c>
      <c r="Y91" s="1113">
        <f>AB91</f>
        <v>6223.9750000000004</v>
      </c>
      <c r="Z91" s="1113">
        <f>X91+Y91</f>
        <v>10000</v>
      </c>
      <c r="AA91" s="1110">
        <f>20000*P91</f>
        <v>10000</v>
      </c>
      <c r="AB91" s="1110">
        <f>AA91-X91</f>
        <v>6223.9750000000004</v>
      </c>
      <c r="AC91" s="1112">
        <f>6500*P91</f>
        <v>3250</v>
      </c>
      <c r="AD91" s="1112">
        <f>X91-AC91</f>
        <v>526.02500000000009</v>
      </c>
      <c r="AE91" s="436">
        <f>G91*O91</f>
        <v>0</v>
      </c>
      <c r="AF91" s="436">
        <f>G91*P91</f>
        <v>3283.5</v>
      </c>
      <c r="AG91" s="436">
        <f>N91*O91</f>
        <v>0</v>
      </c>
      <c r="AH91" s="436">
        <f>N91*P91</f>
        <v>3776.0250000000001</v>
      </c>
      <c r="AI91" s="436">
        <f>AG91-AE91</f>
        <v>0</v>
      </c>
      <c r="AJ91" s="436">
        <f>AH91-AF91</f>
        <v>492.52500000000009</v>
      </c>
      <c r="AK91" s="437">
        <f>V91*O91</f>
        <v>0</v>
      </c>
      <c r="AL91" s="437">
        <f>V91*P91</f>
        <v>0</v>
      </c>
      <c r="AM91" s="437">
        <f>W91</f>
        <v>0</v>
      </c>
      <c r="AN91" s="437">
        <f t="shared" si="33"/>
        <v>0</v>
      </c>
      <c r="AO91" s="437">
        <f t="shared" si="34"/>
        <v>0</v>
      </c>
      <c r="AP91" s="437">
        <f>AG91</f>
        <v>0</v>
      </c>
      <c r="AQ91" s="437">
        <f>AH91</f>
        <v>3776.0250000000001</v>
      </c>
      <c r="AR91" s="436"/>
      <c r="AS91" s="437">
        <f>AP91+AQ91-AR91</f>
        <v>3776.0250000000001</v>
      </c>
    </row>
    <row r="92" spans="1:45" s="438" customFormat="1">
      <c r="A92" s="1134"/>
      <c r="B92" s="1134"/>
      <c r="C92" s="1139"/>
      <c r="D92" s="1134"/>
      <c r="E92" s="1134"/>
      <c r="F92" s="1134"/>
      <c r="G92" s="1112"/>
      <c r="H92" s="1134"/>
      <c r="I92" s="1134"/>
      <c r="J92" s="1134"/>
      <c r="K92" s="1134"/>
      <c r="L92" s="448">
        <f>G91*L91</f>
        <v>985.05</v>
      </c>
      <c r="M92" s="1134"/>
      <c r="N92" s="1112"/>
      <c r="O92" s="1112"/>
      <c r="P92" s="1112"/>
      <c r="Q92" s="1134"/>
      <c r="R92" s="1134"/>
      <c r="S92" s="1134"/>
      <c r="T92" s="1134"/>
      <c r="U92" s="1138"/>
      <c r="V92" s="1112"/>
      <c r="W92" s="1112"/>
      <c r="X92" s="1112"/>
      <c r="Y92" s="1114"/>
      <c r="Z92" s="1114"/>
      <c r="AA92" s="1111"/>
      <c r="AB92" s="1111"/>
      <c r="AC92" s="1112"/>
      <c r="AD92" s="1112"/>
      <c r="AE92" s="436">
        <f>G92*O92</f>
        <v>0</v>
      </c>
      <c r="AF92" s="436">
        <f>G92*P92</f>
        <v>0</v>
      </c>
      <c r="AG92" s="436">
        <f>N92*O92</f>
        <v>0</v>
      </c>
      <c r="AH92" s="436">
        <f>N92*P92</f>
        <v>0</v>
      </c>
      <c r="AI92" s="436">
        <f>AG92-AE92</f>
        <v>0</v>
      </c>
      <c r="AJ92" s="436">
        <f>AH92-AF92</f>
        <v>0</v>
      </c>
      <c r="AK92" s="437">
        <f>V92*O92</f>
        <v>0</v>
      </c>
      <c r="AL92" s="437">
        <f>V92*P92</f>
        <v>0</v>
      </c>
      <c r="AM92" s="437">
        <f>W92</f>
        <v>0</v>
      </c>
      <c r="AN92" s="437">
        <f t="shared" si="33"/>
        <v>0</v>
      </c>
      <c r="AO92" s="437">
        <f t="shared" si="34"/>
        <v>0</v>
      </c>
      <c r="AP92" s="437">
        <f>AG92</f>
        <v>0</v>
      </c>
      <c r="AQ92" s="437">
        <f>AH92</f>
        <v>0</v>
      </c>
      <c r="AR92" s="436"/>
      <c r="AS92" s="437">
        <f>AP92+AQ92-AR92</f>
        <v>0</v>
      </c>
    </row>
    <row r="93" spans="1:45" s="438" customFormat="1" ht="23.25" customHeight="1">
      <c r="A93" s="1134"/>
      <c r="B93" s="1134"/>
      <c r="C93" s="1139" t="s">
        <v>502</v>
      </c>
      <c r="D93" s="1134" t="s">
        <v>1016</v>
      </c>
      <c r="E93" s="1134" t="s">
        <v>1017</v>
      </c>
      <c r="F93" s="1134">
        <v>13</v>
      </c>
      <c r="G93" s="1112">
        <v>6567</v>
      </c>
      <c r="H93" s="1134"/>
      <c r="I93" s="1134"/>
      <c r="J93" s="1134"/>
      <c r="K93" s="1134"/>
      <c r="L93" s="435">
        <v>0.15</v>
      </c>
      <c r="M93" s="1138"/>
      <c r="N93" s="1112">
        <f>G93+H94+I94+L94</f>
        <v>7552.05</v>
      </c>
      <c r="O93" s="1112"/>
      <c r="P93" s="1112">
        <v>0.5</v>
      </c>
      <c r="Q93" s="1134"/>
      <c r="R93" s="1134"/>
      <c r="S93" s="1134"/>
      <c r="T93" s="1134">
        <v>39</v>
      </c>
      <c r="U93" s="1138">
        <v>0.3</v>
      </c>
      <c r="V93" s="1112">
        <f>N93*U93</f>
        <v>2265.6149999999998</v>
      </c>
      <c r="W93" s="1112"/>
      <c r="X93" s="1112">
        <f>(N93+V93)*P93</f>
        <v>4908.8325000000004</v>
      </c>
      <c r="Y93" s="1113">
        <f>AB93</f>
        <v>5091.1674999999996</v>
      </c>
      <c r="Z93" s="1113">
        <f>X93+Y93</f>
        <v>10000</v>
      </c>
      <c r="AA93" s="1110">
        <f>20000*P93</f>
        <v>10000</v>
      </c>
      <c r="AB93" s="1110">
        <f>AA93-X93</f>
        <v>5091.1674999999996</v>
      </c>
      <c r="AC93" s="1112">
        <f>6500*P93</f>
        <v>3250</v>
      </c>
      <c r="AD93" s="1112">
        <f>X93-AC93</f>
        <v>1658.8325000000004</v>
      </c>
      <c r="AE93" s="436">
        <f t="shared" si="25"/>
        <v>0</v>
      </c>
      <c r="AF93" s="436">
        <f t="shared" si="26"/>
        <v>3283.5</v>
      </c>
      <c r="AG93" s="436">
        <f t="shared" si="27"/>
        <v>0</v>
      </c>
      <c r="AH93" s="436">
        <f t="shared" si="28"/>
        <v>3776.0250000000001</v>
      </c>
      <c r="AI93" s="436">
        <f t="shared" si="29"/>
        <v>0</v>
      </c>
      <c r="AJ93" s="436">
        <f t="shared" si="29"/>
        <v>492.52500000000009</v>
      </c>
      <c r="AK93" s="437">
        <f t="shared" si="30"/>
        <v>0</v>
      </c>
      <c r="AL93" s="437">
        <f t="shared" si="31"/>
        <v>1132.8074999999999</v>
      </c>
      <c r="AM93" s="437">
        <f t="shared" si="32"/>
        <v>0</v>
      </c>
      <c r="AN93" s="437">
        <f t="shared" si="33"/>
        <v>0</v>
      </c>
      <c r="AO93" s="437">
        <f t="shared" si="34"/>
        <v>0</v>
      </c>
      <c r="AP93" s="437">
        <f t="shared" si="35"/>
        <v>0</v>
      </c>
      <c r="AQ93" s="437">
        <f t="shared" si="35"/>
        <v>3776.0250000000001</v>
      </c>
      <c r="AR93" s="436"/>
      <c r="AS93" s="437">
        <f t="shared" si="36"/>
        <v>3776.0250000000001</v>
      </c>
    </row>
    <row r="94" spans="1:45" s="438" customFormat="1">
      <c r="A94" s="1134"/>
      <c r="B94" s="1134"/>
      <c r="C94" s="1139"/>
      <c r="D94" s="1134"/>
      <c r="E94" s="1134"/>
      <c r="F94" s="1134"/>
      <c r="G94" s="1112"/>
      <c r="H94" s="1134"/>
      <c r="I94" s="1134"/>
      <c r="J94" s="1134"/>
      <c r="K94" s="1134"/>
      <c r="L94" s="448">
        <f>G93*L93</f>
        <v>985.05</v>
      </c>
      <c r="M94" s="1134"/>
      <c r="N94" s="1112"/>
      <c r="O94" s="1112"/>
      <c r="P94" s="1112"/>
      <c r="Q94" s="1134"/>
      <c r="R94" s="1134"/>
      <c r="S94" s="1134"/>
      <c r="T94" s="1134"/>
      <c r="U94" s="1138"/>
      <c r="V94" s="1112"/>
      <c r="W94" s="1112"/>
      <c r="X94" s="1112"/>
      <c r="Y94" s="1114"/>
      <c r="Z94" s="1114"/>
      <c r="AA94" s="1111"/>
      <c r="AB94" s="1111"/>
      <c r="AC94" s="1112"/>
      <c r="AD94" s="1112"/>
      <c r="AE94" s="436">
        <f t="shared" si="25"/>
        <v>0</v>
      </c>
      <c r="AF94" s="436">
        <f t="shared" si="26"/>
        <v>0</v>
      </c>
      <c r="AG94" s="436">
        <f t="shared" si="27"/>
        <v>0</v>
      </c>
      <c r="AH94" s="436">
        <f t="shared" si="28"/>
        <v>0</v>
      </c>
      <c r="AI94" s="436">
        <f t="shared" si="29"/>
        <v>0</v>
      </c>
      <c r="AJ94" s="436">
        <f t="shared" si="29"/>
        <v>0</v>
      </c>
      <c r="AK94" s="437">
        <f t="shared" si="30"/>
        <v>0</v>
      </c>
      <c r="AL94" s="437">
        <f t="shared" si="31"/>
        <v>0</v>
      </c>
      <c r="AM94" s="437">
        <f t="shared" si="32"/>
        <v>0</v>
      </c>
      <c r="AN94" s="437">
        <f t="shared" si="33"/>
        <v>0</v>
      </c>
      <c r="AO94" s="437">
        <f t="shared" si="34"/>
        <v>0</v>
      </c>
      <c r="AP94" s="437">
        <f t="shared" si="35"/>
        <v>0</v>
      </c>
      <c r="AQ94" s="437">
        <f t="shared" si="35"/>
        <v>0</v>
      </c>
      <c r="AR94" s="436"/>
      <c r="AS94" s="437">
        <f t="shared" si="36"/>
        <v>0</v>
      </c>
    </row>
    <row r="95" spans="1:45" s="446" customFormat="1" ht="23.25" customHeight="1">
      <c r="A95" s="441"/>
      <c r="B95" s="441"/>
      <c r="C95" s="442" t="s">
        <v>318</v>
      </c>
      <c r="D95" s="443"/>
      <c r="E95" s="441"/>
      <c r="F95" s="441"/>
      <c r="G95" s="444">
        <f>SUM(G69:G94)</f>
        <v>85371</v>
      </c>
      <c r="H95" s="444">
        <f>H70</f>
        <v>1750.25</v>
      </c>
      <c r="I95" s="441">
        <f>I70+I72+I74+I76+I78+I80+I82+I84+I86+I88+I90</f>
        <v>17947.900000000001</v>
      </c>
      <c r="J95" s="441"/>
      <c r="K95" s="441"/>
      <c r="L95" s="441">
        <f>L94</f>
        <v>985.05</v>
      </c>
      <c r="M95" s="441"/>
      <c r="N95" s="444">
        <f>SUM(N69:N94)</f>
        <v>107039.25</v>
      </c>
      <c r="O95" s="444">
        <f>SUM(O69:O94)</f>
        <v>4.5</v>
      </c>
      <c r="P95" s="444">
        <f>SUM(P69:P94)</f>
        <v>3</v>
      </c>
      <c r="Q95" s="444"/>
      <c r="R95" s="444"/>
      <c r="S95" s="444"/>
      <c r="T95" s="444"/>
      <c r="U95" s="444"/>
      <c r="V95" s="444">
        <f t="shared" ref="V95:AD95" si="37">SUM(V69:V94)</f>
        <v>22278.239999999998</v>
      </c>
      <c r="W95" s="444">
        <f t="shared" si="37"/>
        <v>0</v>
      </c>
      <c r="X95" s="444">
        <f t="shared" si="37"/>
        <v>76982.642500000002</v>
      </c>
      <c r="Y95" s="444">
        <f t="shared" si="37"/>
        <v>73017.357499999998</v>
      </c>
      <c r="Z95" s="444">
        <f t="shared" si="37"/>
        <v>150000</v>
      </c>
      <c r="AA95" s="499">
        <f t="shared" si="37"/>
        <v>150000</v>
      </c>
      <c r="AB95" s="499">
        <f t="shared" si="37"/>
        <v>73017.357499999998</v>
      </c>
      <c r="AC95" s="444">
        <f t="shared" si="37"/>
        <v>48750</v>
      </c>
      <c r="AD95" s="444">
        <f t="shared" si="37"/>
        <v>28232.642500000009</v>
      </c>
      <c r="AE95" s="436"/>
      <c r="AF95" s="436"/>
      <c r="AG95" s="436"/>
      <c r="AH95" s="436"/>
      <c r="AI95" s="436"/>
      <c r="AJ95" s="436"/>
      <c r="AK95" s="437"/>
      <c r="AL95" s="437"/>
      <c r="AM95" s="437"/>
      <c r="AN95" s="437"/>
      <c r="AO95" s="437"/>
      <c r="AP95" s="437">
        <f t="shared" si="35"/>
        <v>0</v>
      </c>
      <c r="AQ95" s="437">
        <f t="shared" si="35"/>
        <v>0</v>
      </c>
      <c r="AR95" s="436"/>
      <c r="AS95" s="437">
        <f t="shared" si="36"/>
        <v>0</v>
      </c>
    </row>
    <row r="96" spans="1:45" s="446" customFormat="1">
      <c r="A96" s="441"/>
      <c r="B96" s="441"/>
      <c r="C96" s="1136" t="s">
        <v>1018</v>
      </c>
      <c r="D96" s="1136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503"/>
      <c r="AB96" s="503"/>
      <c r="AC96" s="441"/>
      <c r="AD96" s="441"/>
      <c r="AE96" s="436">
        <f t="shared" si="25"/>
        <v>0</v>
      </c>
      <c r="AF96" s="436">
        <f t="shared" si="26"/>
        <v>0</v>
      </c>
      <c r="AG96" s="436">
        <f t="shared" si="27"/>
        <v>0</v>
      </c>
      <c r="AH96" s="436">
        <f t="shared" si="28"/>
        <v>0</v>
      </c>
      <c r="AI96" s="436">
        <f t="shared" si="29"/>
        <v>0</v>
      </c>
      <c r="AJ96" s="436">
        <f t="shared" si="29"/>
        <v>0</v>
      </c>
      <c r="AK96" s="437">
        <f t="shared" si="30"/>
        <v>0</v>
      </c>
      <c r="AL96" s="437">
        <f t="shared" si="31"/>
        <v>0</v>
      </c>
      <c r="AM96" s="437">
        <f t="shared" si="32"/>
        <v>0</v>
      </c>
      <c r="AN96" s="437">
        <f t="shared" ref="AN96:AN108" si="38">S96*O96</f>
        <v>0</v>
      </c>
      <c r="AO96" s="437">
        <f t="shared" ref="AO96:AO108" si="39">S96*P96</f>
        <v>0</v>
      </c>
      <c r="AP96" s="437">
        <f t="shared" si="35"/>
        <v>0</v>
      </c>
      <c r="AQ96" s="437">
        <f t="shared" si="35"/>
        <v>0</v>
      </c>
      <c r="AR96" s="436"/>
      <c r="AS96" s="437">
        <f t="shared" si="36"/>
        <v>0</v>
      </c>
    </row>
    <row r="97" spans="1:47" s="438" customFormat="1" ht="24.95" customHeight="1">
      <c r="A97" s="1134"/>
      <c r="B97" s="1134"/>
      <c r="C97" s="1139" t="s">
        <v>1019</v>
      </c>
      <c r="D97" s="1134" t="s">
        <v>1020</v>
      </c>
      <c r="E97" s="1134" t="s">
        <v>503</v>
      </c>
      <c r="F97" s="1134">
        <v>13</v>
      </c>
      <c r="G97" s="1112">
        <v>6567</v>
      </c>
      <c r="H97" s="435">
        <v>0.25</v>
      </c>
      <c r="I97" s="1112"/>
      <c r="J97" s="1112"/>
      <c r="K97" s="1112"/>
      <c r="L97" s="435">
        <v>0.15</v>
      </c>
      <c r="M97" s="1138"/>
      <c r="N97" s="1112">
        <f>G97+H98+I98+L98</f>
        <v>9193.7999999999993</v>
      </c>
      <c r="O97" s="1112">
        <v>1</v>
      </c>
      <c r="P97" s="1134"/>
      <c r="Q97" s="1134"/>
      <c r="R97" s="1138"/>
      <c r="S97" s="1134"/>
      <c r="T97" s="1134">
        <v>25</v>
      </c>
      <c r="U97" s="1138">
        <v>0.3</v>
      </c>
      <c r="V97" s="1112">
        <f>N97*U97</f>
        <v>2758.14</v>
      </c>
      <c r="W97" s="1112"/>
      <c r="X97" s="1112">
        <f>N97+R98+V97</f>
        <v>11951.939999999999</v>
      </c>
      <c r="Y97" s="1112">
        <f>AB97</f>
        <v>8048.0600000000013</v>
      </c>
      <c r="Z97" s="1112">
        <f>X97+Y97</f>
        <v>20000</v>
      </c>
      <c r="AA97" s="1109">
        <f>20000*O97</f>
        <v>20000</v>
      </c>
      <c r="AB97" s="1109">
        <f>AA97-X97</f>
        <v>8048.0600000000013</v>
      </c>
      <c r="AC97" s="1112">
        <f>6500*O97</f>
        <v>6500</v>
      </c>
      <c r="AD97" s="1112">
        <f>X97-AC97</f>
        <v>5451.9399999999987</v>
      </c>
      <c r="AE97" s="436">
        <f t="shared" si="25"/>
        <v>6567</v>
      </c>
      <c r="AF97" s="436">
        <f t="shared" si="26"/>
        <v>0</v>
      </c>
      <c r="AG97" s="436">
        <f t="shared" si="27"/>
        <v>9193.7999999999993</v>
      </c>
      <c r="AH97" s="436">
        <f t="shared" si="28"/>
        <v>0</v>
      </c>
      <c r="AI97" s="436">
        <f t="shared" si="29"/>
        <v>2626.7999999999993</v>
      </c>
      <c r="AJ97" s="436">
        <f t="shared" si="29"/>
        <v>0</v>
      </c>
      <c r="AK97" s="437">
        <f t="shared" si="30"/>
        <v>2758.14</v>
      </c>
      <c r="AL97" s="437">
        <f t="shared" si="31"/>
        <v>0</v>
      </c>
      <c r="AM97" s="437">
        <f t="shared" si="32"/>
        <v>0</v>
      </c>
      <c r="AN97" s="437">
        <f t="shared" si="38"/>
        <v>0</v>
      </c>
      <c r="AO97" s="437">
        <f t="shared" si="39"/>
        <v>0</v>
      </c>
      <c r="AP97" s="437">
        <f t="shared" si="35"/>
        <v>9193.7999999999993</v>
      </c>
      <c r="AQ97" s="437">
        <f t="shared" si="35"/>
        <v>0</v>
      </c>
      <c r="AR97" s="436"/>
      <c r="AS97" s="437">
        <f t="shared" si="36"/>
        <v>9193.7999999999993</v>
      </c>
      <c r="AU97" s="438">
        <f>X97*3</f>
        <v>35855.819999999992</v>
      </c>
    </row>
    <row r="98" spans="1:47" s="438" customFormat="1" ht="24.95" customHeight="1">
      <c r="A98" s="1134"/>
      <c r="B98" s="1134"/>
      <c r="C98" s="1139"/>
      <c r="D98" s="1134"/>
      <c r="E98" s="1134"/>
      <c r="F98" s="1134"/>
      <c r="G98" s="1134"/>
      <c r="H98" s="439">
        <f>G97*H97</f>
        <v>1641.75</v>
      </c>
      <c r="I98" s="1112"/>
      <c r="J98" s="1112"/>
      <c r="K98" s="1112"/>
      <c r="L98" s="449">
        <f>G97*L97</f>
        <v>985.05</v>
      </c>
      <c r="M98" s="1134"/>
      <c r="N98" s="1112"/>
      <c r="O98" s="1134"/>
      <c r="P98" s="1134"/>
      <c r="Q98" s="1134"/>
      <c r="R98" s="1134"/>
      <c r="S98" s="1134"/>
      <c r="T98" s="1134"/>
      <c r="U98" s="1138"/>
      <c r="V98" s="1112"/>
      <c r="W98" s="1134"/>
      <c r="X98" s="1134"/>
      <c r="Y98" s="1112"/>
      <c r="Z98" s="1112"/>
      <c r="AA98" s="1109"/>
      <c r="AB98" s="1109"/>
      <c r="AC98" s="1112"/>
      <c r="AD98" s="1112"/>
      <c r="AE98" s="436">
        <f t="shared" si="25"/>
        <v>0</v>
      </c>
      <c r="AF98" s="436">
        <f t="shared" si="26"/>
        <v>0</v>
      </c>
      <c r="AG98" s="436">
        <f t="shared" si="27"/>
        <v>0</v>
      </c>
      <c r="AH98" s="436">
        <f t="shared" si="28"/>
        <v>0</v>
      </c>
      <c r="AI98" s="436">
        <f t="shared" si="29"/>
        <v>0</v>
      </c>
      <c r="AJ98" s="436">
        <f t="shared" si="29"/>
        <v>0</v>
      </c>
      <c r="AK98" s="437">
        <f t="shared" si="30"/>
        <v>0</v>
      </c>
      <c r="AL98" s="437">
        <f t="shared" si="31"/>
        <v>0</v>
      </c>
      <c r="AM98" s="437">
        <f t="shared" si="32"/>
        <v>0</v>
      </c>
      <c r="AN98" s="437">
        <f t="shared" si="38"/>
        <v>0</v>
      </c>
      <c r="AO98" s="437">
        <f t="shared" si="39"/>
        <v>0</v>
      </c>
      <c r="AP98" s="437">
        <f t="shared" si="35"/>
        <v>0</v>
      </c>
      <c r="AQ98" s="437">
        <f t="shared" si="35"/>
        <v>0</v>
      </c>
      <c r="AR98" s="436"/>
      <c r="AS98" s="437">
        <f t="shared" si="36"/>
        <v>0</v>
      </c>
    </row>
    <row r="99" spans="1:47" s="438" customFormat="1" ht="24.95" customHeight="1">
      <c r="A99" s="1134"/>
      <c r="B99" s="1134"/>
      <c r="C99" s="1139"/>
      <c r="D99" s="1134"/>
      <c r="E99" s="1134"/>
      <c r="F99" s="1134">
        <v>13</v>
      </c>
      <c r="G99" s="1112"/>
      <c r="H99" s="1112"/>
      <c r="I99" s="1112"/>
      <c r="J99" s="1112"/>
      <c r="K99" s="1112"/>
      <c r="L99" s="435">
        <v>0.15</v>
      </c>
      <c r="M99" s="1138"/>
      <c r="N99" s="1112">
        <f>G99+H100+I100+L100</f>
        <v>0</v>
      </c>
      <c r="O99" s="1112"/>
      <c r="P99" s="1134"/>
      <c r="Q99" s="1134"/>
      <c r="R99" s="1138"/>
      <c r="S99" s="1134"/>
      <c r="T99" s="1134">
        <v>25</v>
      </c>
      <c r="U99" s="1138">
        <v>0.3</v>
      </c>
      <c r="V99" s="1112">
        <f>N99*U99</f>
        <v>0</v>
      </c>
      <c r="W99" s="1112"/>
      <c r="X99" s="1112">
        <f>(N99+V99)*P99+W99</f>
        <v>0</v>
      </c>
      <c r="Y99" s="1113">
        <f>AB99</f>
        <v>0</v>
      </c>
      <c r="Z99" s="1113">
        <f>X99+Y99</f>
        <v>0</v>
      </c>
      <c r="AA99" s="1110">
        <f>20000*P99</f>
        <v>0</v>
      </c>
      <c r="AB99" s="1110">
        <f>AA99-X99</f>
        <v>0</v>
      </c>
      <c r="AC99" s="1112">
        <f>6500*P99</f>
        <v>0</v>
      </c>
      <c r="AD99" s="1112">
        <f>X99-AC99</f>
        <v>0</v>
      </c>
      <c r="AE99" s="436">
        <f>G99*O99</f>
        <v>0</v>
      </c>
      <c r="AF99" s="436">
        <f>G99*P99</f>
        <v>0</v>
      </c>
      <c r="AG99" s="436">
        <f>N99*O99</f>
        <v>0</v>
      </c>
      <c r="AH99" s="436">
        <f>N99*P99</f>
        <v>0</v>
      </c>
      <c r="AI99" s="436">
        <f t="shared" si="29"/>
        <v>0</v>
      </c>
      <c r="AJ99" s="436">
        <f t="shared" si="29"/>
        <v>0</v>
      </c>
      <c r="AK99" s="437">
        <f>V99*O99</f>
        <v>0</v>
      </c>
      <c r="AL99" s="437">
        <f>V99*P99</f>
        <v>0</v>
      </c>
      <c r="AM99" s="437">
        <f>W99</f>
        <v>0</v>
      </c>
      <c r="AN99" s="437">
        <f t="shared" si="38"/>
        <v>0</v>
      </c>
      <c r="AO99" s="437">
        <f t="shared" si="39"/>
        <v>0</v>
      </c>
      <c r="AP99" s="437">
        <f t="shared" si="35"/>
        <v>0</v>
      </c>
      <c r="AQ99" s="437">
        <f t="shared" si="35"/>
        <v>0</v>
      </c>
      <c r="AR99" s="436"/>
      <c r="AS99" s="437">
        <f>AP99+AQ99-AR99</f>
        <v>0</v>
      </c>
      <c r="AU99" s="438">
        <f>X99*3</f>
        <v>0</v>
      </c>
    </row>
    <row r="100" spans="1:47" s="438" customFormat="1" ht="24.95" customHeight="1">
      <c r="A100" s="1134"/>
      <c r="B100" s="1134"/>
      <c r="C100" s="1139"/>
      <c r="D100" s="1134"/>
      <c r="E100" s="1134"/>
      <c r="F100" s="1134"/>
      <c r="G100" s="1134"/>
      <c r="H100" s="1112"/>
      <c r="I100" s="1112"/>
      <c r="J100" s="1112"/>
      <c r="K100" s="1112"/>
      <c r="L100" s="449">
        <f>G99*L99</f>
        <v>0</v>
      </c>
      <c r="M100" s="1134"/>
      <c r="N100" s="1112"/>
      <c r="O100" s="1134"/>
      <c r="P100" s="1134"/>
      <c r="Q100" s="1134"/>
      <c r="R100" s="1134"/>
      <c r="S100" s="1134"/>
      <c r="T100" s="1134"/>
      <c r="U100" s="1138"/>
      <c r="V100" s="1112"/>
      <c r="W100" s="1134"/>
      <c r="X100" s="1112"/>
      <c r="Y100" s="1114"/>
      <c r="Z100" s="1114"/>
      <c r="AA100" s="1111"/>
      <c r="AB100" s="1111"/>
      <c r="AC100" s="1112"/>
      <c r="AD100" s="1112"/>
      <c r="AE100" s="436">
        <f>G100*O100</f>
        <v>0</v>
      </c>
      <c r="AF100" s="436">
        <f>G100*P100</f>
        <v>0</v>
      </c>
      <c r="AG100" s="436">
        <f>N100*O100</f>
        <v>0</v>
      </c>
      <c r="AH100" s="436">
        <f>N100*P100</f>
        <v>0</v>
      </c>
      <c r="AI100" s="436">
        <f t="shared" si="29"/>
        <v>0</v>
      </c>
      <c r="AJ100" s="436">
        <f t="shared" si="29"/>
        <v>0</v>
      </c>
      <c r="AK100" s="437">
        <f>V100*O100</f>
        <v>0</v>
      </c>
      <c r="AL100" s="437">
        <f>V100*P100</f>
        <v>0</v>
      </c>
      <c r="AM100" s="437">
        <f>W100</f>
        <v>0</v>
      </c>
      <c r="AN100" s="437">
        <f t="shared" si="38"/>
        <v>0</v>
      </c>
      <c r="AO100" s="437">
        <f t="shared" si="39"/>
        <v>0</v>
      </c>
      <c r="AP100" s="437">
        <f t="shared" si="35"/>
        <v>0</v>
      </c>
      <c r="AQ100" s="437">
        <f t="shared" si="35"/>
        <v>0</v>
      </c>
      <c r="AR100" s="436"/>
      <c r="AS100" s="437">
        <f>AP100+AQ100-AR100</f>
        <v>0</v>
      </c>
    </row>
    <row r="101" spans="1:47" s="438" customFormat="1" ht="24.95" customHeight="1">
      <c r="A101" s="1134"/>
      <c r="B101" s="1134"/>
      <c r="C101" s="1139"/>
      <c r="D101" s="1134"/>
      <c r="E101" s="1134"/>
      <c r="F101" s="1134">
        <v>13</v>
      </c>
      <c r="G101" s="1112"/>
      <c r="H101" s="1112"/>
      <c r="I101" s="1112"/>
      <c r="J101" s="1112"/>
      <c r="K101" s="1112"/>
      <c r="L101" s="435">
        <v>0.15</v>
      </c>
      <c r="M101" s="1138"/>
      <c r="N101" s="1112">
        <f>G101+H102+I102+L102</f>
        <v>0</v>
      </c>
      <c r="O101" s="1112"/>
      <c r="P101" s="1134"/>
      <c r="Q101" s="1134"/>
      <c r="R101" s="1138"/>
      <c r="S101" s="1134"/>
      <c r="T101" s="1134"/>
      <c r="U101" s="1138"/>
      <c r="V101" s="1112">
        <f>N101*U101</f>
        <v>0</v>
      </c>
      <c r="W101" s="1112"/>
      <c r="X101" s="1112">
        <f>N101+R102+V101</f>
        <v>0</v>
      </c>
      <c r="Y101" s="1112">
        <f>AB101</f>
        <v>0</v>
      </c>
      <c r="Z101" s="1112">
        <f>X101+Y101</f>
        <v>0</v>
      </c>
      <c r="AA101" s="1109">
        <f>20000*O101</f>
        <v>0</v>
      </c>
      <c r="AB101" s="1109">
        <f>AA101-X101</f>
        <v>0</v>
      </c>
      <c r="AC101" s="1112">
        <f>6500*O101</f>
        <v>0</v>
      </c>
      <c r="AD101" s="1112">
        <f>X101-AC101</f>
        <v>0</v>
      </c>
      <c r="AE101" s="436">
        <f>G101*O101</f>
        <v>0</v>
      </c>
      <c r="AF101" s="436">
        <f>G101*P101</f>
        <v>0</v>
      </c>
      <c r="AG101" s="436">
        <f>N101*O101</f>
        <v>0</v>
      </c>
      <c r="AH101" s="436">
        <f>N101*P101</f>
        <v>0</v>
      </c>
      <c r="AI101" s="436">
        <f t="shared" si="29"/>
        <v>0</v>
      </c>
      <c r="AJ101" s="436">
        <f t="shared" si="29"/>
        <v>0</v>
      </c>
      <c r="AK101" s="437">
        <f>V101*O101</f>
        <v>0</v>
      </c>
      <c r="AL101" s="437">
        <f>V101*P101</f>
        <v>0</v>
      </c>
      <c r="AM101" s="437">
        <f>W101</f>
        <v>0</v>
      </c>
      <c r="AN101" s="437">
        <f t="shared" si="38"/>
        <v>0</v>
      </c>
      <c r="AO101" s="437">
        <f t="shared" si="39"/>
        <v>0</v>
      </c>
      <c r="AP101" s="437">
        <f t="shared" si="35"/>
        <v>0</v>
      </c>
      <c r="AQ101" s="437">
        <f t="shared" si="35"/>
        <v>0</v>
      </c>
      <c r="AR101" s="436"/>
      <c r="AS101" s="437">
        <f>AP101+AQ101-AR101</f>
        <v>0</v>
      </c>
      <c r="AU101" s="438">
        <f>X101*3</f>
        <v>0</v>
      </c>
    </row>
    <row r="102" spans="1:47" s="438" customFormat="1" ht="24.95" customHeight="1">
      <c r="A102" s="1134"/>
      <c r="B102" s="1134"/>
      <c r="C102" s="1139"/>
      <c r="D102" s="1134"/>
      <c r="E102" s="1134"/>
      <c r="F102" s="1134"/>
      <c r="G102" s="1134"/>
      <c r="H102" s="1112"/>
      <c r="I102" s="1112"/>
      <c r="J102" s="1112"/>
      <c r="K102" s="1112"/>
      <c r="L102" s="449">
        <f>G101*L101</f>
        <v>0</v>
      </c>
      <c r="M102" s="1134"/>
      <c r="N102" s="1112"/>
      <c r="O102" s="1134"/>
      <c r="P102" s="1134"/>
      <c r="Q102" s="1134"/>
      <c r="R102" s="1134"/>
      <c r="S102" s="1134"/>
      <c r="T102" s="1134"/>
      <c r="U102" s="1138"/>
      <c r="V102" s="1112"/>
      <c r="W102" s="1134"/>
      <c r="X102" s="1112"/>
      <c r="Y102" s="1112"/>
      <c r="Z102" s="1112"/>
      <c r="AA102" s="1109"/>
      <c r="AB102" s="1109"/>
      <c r="AC102" s="1112"/>
      <c r="AD102" s="1112"/>
      <c r="AE102" s="436">
        <f>G102*O102</f>
        <v>0</v>
      </c>
      <c r="AF102" s="436">
        <f>G102*P102</f>
        <v>0</v>
      </c>
      <c r="AG102" s="436">
        <f>N102*O102</f>
        <v>0</v>
      </c>
      <c r="AH102" s="436">
        <f>N102*P102</f>
        <v>0</v>
      </c>
      <c r="AI102" s="436">
        <f t="shared" si="29"/>
        <v>0</v>
      </c>
      <c r="AJ102" s="436">
        <f t="shared" si="29"/>
        <v>0</v>
      </c>
      <c r="AK102" s="437">
        <f>V102*O102</f>
        <v>0</v>
      </c>
      <c r="AL102" s="437">
        <f>V102*P102</f>
        <v>0</v>
      </c>
      <c r="AM102" s="437">
        <f>W102</f>
        <v>0</v>
      </c>
      <c r="AN102" s="437">
        <f t="shared" si="38"/>
        <v>0</v>
      </c>
      <c r="AO102" s="437">
        <f t="shared" si="39"/>
        <v>0</v>
      </c>
      <c r="AP102" s="437">
        <f t="shared" si="35"/>
        <v>0</v>
      </c>
      <c r="AQ102" s="437">
        <f t="shared" si="35"/>
        <v>0</v>
      </c>
      <c r="AR102" s="436"/>
      <c r="AS102" s="437">
        <f>AP102+AQ102-AR102</f>
        <v>0</v>
      </c>
    </row>
    <row r="103" spans="1:47" s="438" customFormat="1" ht="24.95" customHeight="1">
      <c r="A103" s="1134"/>
      <c r="B103" s="1134"/>
      <c r="C103" s="1139" t="s">
        <v>504</v>
      </c>
      <c r="D103" s="1134" t="s">
        <v>1021</v>
      </c>
      <c r="E103" s="1134" t="s">
        <v>505</v>
      </c>
      <c r="F103" s="1134">
        <v>14</v>
      </c>
      <c r="G103" s="1112">
        <v>7001</v>
      </c>
      <c r="H103" s="1134"/>
      <c r="I103" s="435">
        <v>0.15</v>
      </c>
      <c r="J103" s="1112"/>
      <c r="K103" s="1134"/>
      <c r="L103" s="435">
        <v>0.15</v>
      </c>
      <c r="M103" s="1138"/>
      <c r="N103" s="1112">
        <f>G103+H104+I104+L104</f>
        <v>9258.8225000000002</v>
      </c>
      <c r="O103" s="1112">
        <v>1</v>
      </c>
      <c r="P103" s="1112"/>
      <c r="Q103" s="1134"/>
      <c r="R103" s="1138"/>
      <c r="S103" s="1134"/>
      <c r="T103" s="1134">
        <v>27</v>
      </c>
      <c r="U103" s="1138">
        <v>0.3</v>
      </c>
      <c r="V103" s="1112">
        <f>N103*U103</f>
        <v>2777.6467499999999</v>
      </c>
      <c r="W103" s="1112"/>
      <c r="X103" s="1112">
        <f>N103+R104+V103</f>
        <v>12036.46925</v>
      </c>
      <c r="Y103" s="1112">
        <f>AB103</f>
        <v>7963.5307499999999</v>
      </c>
      <c r="Z103" s="1112">
        <f>X103+Y103</f>
        <v>20000</v>
      </c>
      <c r="AA103" s="1109">
        <f>20000*O103</f>
        <v>20000</v>
      </c>
      <c r="AB103" s="1109">
        <f>AA103-X103</f>
        <v>7963.5307499999999</v>
      </c>
      <c r="AC103" s="1112">
        <f>6500*O103</f>
        <v>6500</v>
      </c>
      <c r="AD103" s="1112">
        <f>X103-AC103</f>
        <v>5536.4692500000001</v>
      </c>
      <c r="AE103" s="436">
        <f t="shared" si="25"/>
        <v>7001</v>
      </c>
      <c r="AF103" s="436">
        <f t="shared" si="26"/>
        <v>0</v>
      </c>
      <c r="AG103" s="436">
        <f t="shared" si="27"/>
        <v>9258.8225000000002</v>
      </c>
      <c r="AH103" s="436">
        <f t="shared" si="28"/>
        <v>0</v>
      </c>
      <c r="AI103" s="436">
        <f t="shared" si="29"/>
        <v>2257.8225000000002</v>
      </c>
      <c r="AJ103" s="436">
        <f t="shared" si="29"/>
        <v>0</v>
      </c>
      <c r="AK103" s="437">
        <f t="shared" si="30"/>
        <v>2777.6467499999999</v>
      </c>
      <c r="AL103" s="437">
        <f t="shared" si="31"/>
        <v>0</v>
      </c>
      <c r="AM103" s="437">
        <f t="shared" si="32"/>
        <v>0</v>
      </c>
      <c r="AN103" s="437">
        <f t="shared" si="38"/>
        <v>0</v>
      </c>
      <c r="AO103" s="437">
        <f t="shared" si="39"/>
        <v>0</v>
      </c>
      <c r="AP103" s="437">
        <f t="shared" si="35"/>
        <v>9258.8225000000002</v>
      </c>
      <c r="AQ103" s="437">
        <f t="shared" si="35"/>
        <v>0</v>
      </c>
      <c r="AR103" s="436"/>
      <c r="AS103" s="437">
        <f t="shared" si="36"/>
        <v>9258.8225000000002</v>
      </c>
    </row>
    <row r="104" spans="1:47" s="438" customFormat="1" ht="24.95" customHeight="1">
      <c r="A104" s="1134"/>
      <c r="B104" s="1134"/>
      <c r="C104" s="1139"/>
      <c r="D104" s="1134"/>
      <c r="E104" s="1134"/>
      <c r="F104" s="1134"/>
      <c r="G104" s="1112"/>
      <c r="H104" s="1134"/>
      <c r="I104" s="449">
        <f>(G103+H104)*I103</f>
        <v>1050.1499999999999</v>
      </c>
      <c r="J104" s="1112"/>
      <c r="K104" s="1134"/>
      <c r="L104" s="439">
        <f>(G103+H104+I104)*L103</f>
        <v>1207.6724999999999</v>
      </c>
      <c r="M104" s="1134"/>
      <c r="N104" s="1112"/>
      <c r="O104" s="1112"/>
      <c r="P104" s="1112"/>
      <c r="Q104" s="1134"/>
      <c r="R104" s="1134"/>
      <c r="S104" s="1134"/>
      <c r="T104" s="1134"/>
      <c r="U104" s="1138"/>
      <c r="V104" s="1112"/>
      <c r="W104" s="1112"/>
      <c r="X104" s="1112"/>
      <c r="Y104" s="1112"/>
      <c r="Z104" s="1112"/>
      <c r="AA104" s="1109"/>
      <c r="AB104" s="1109"/>
      <c r="AC104" s="1112"/>
      <c r="AD104" s="1112"/>
      <c r="AE104" s="436">
        <f t="shared" si="25"/>
        <v>0</v>
      </c>
      <c r="AF104" s="436">
        <f t="shared" si="26"/>
        <v>0</v>
      </c>
      <c r="AG104" s="436">
        <f t="shared" si="27"/>
        <v>0</v>
      </c>
      <c r="AH104" s="436">
        <f t="shared" si="28"/>
        <v>0</v>
      </c>
      <c r="AI104" s="436">
        <f t="shared" si="29"/>
        <v>0</v>
      </c>
      <c r="AJ104" s="436">
        <f t="shared" si="29"/>
        <v>0</v>
      </c>
      <c r="AK104" s="437">
        <f t="shared" si="30"/>
        <v>0</v>
      </c>
      <c r="AL104" s="437">
        <f t="shared" si="31"/>
        <v>0</v>
      </c>
      <c r="AM104" s="437">
        <f t="shared" si="32"/>
        <v>0</v>
      </c>
      <c r="AN104" s="437">
        <f t="shared" si="38"/>
        <v>0</v>
      </c>
      <c r="AO104" s="437">
        <f t="shared" si="39"/>
        <v>0</v>
      </c>
      <c r="AP104" s="437">
        <f t="shared" si="35"/>
        <v>0</v>
      </c>
      <c r="AQ104" s="437">
        <f t="shared" si="35"/>
        <v>0</v>
      </c>
      <c r="AR104" s="436"/>
      <c r="AS104" s="437">
        <f t="shared" si="36"/>
        <v>0</v>
      </c>
    </row>
    <row r="105" spans="1:47" s="438" customFormat="1" ht="24.95" customHeight="1">
      <c r="A105" s="1134"/>
      <c r="B105" s="1134"/>
      <c r="C105" s="1139" t="s">
        <v>504</v>
      </c>
      <c r="D105" s="1134" t="s">
        <v>529</v>
      </c>
      <c r="E105" s="1134" t="s">
        <v>530</v>
      </c>
      <c r="F105" s="1134">
        <v>14</v>
      </c>
      <c r="G105" s="1112">
        <v>7001</v>
      </c>
      <c r="H105" s="1134"/>
      <c r="I105" s="1134"/>
      <c r="J105" s="1134"/>
      <c r="K105" s="1134"/>
      <c r="L105" s="435">
        <v>0.15</v>
      </c>
      <c r="M105" s="1138"/>
      <c r="N105" s="1112">
        <f>G105+H106+I106+L106</f>
        <v>8051.15</v>
      </c>
      <c r="O105" s="1112">
        <v>1</v>
      </c>
      <c r="P105" s="1112"/>
      <c r="Q105" s="1134"/>
      <c r="R105" s="1138"/>
      <c r="S105" s="1134"/>
      <c r="T105" s="1134">
        <v>21</v>
      </c>
      <c r="U105" s="1138">
        <v>0.3</v>
      </c>
      <c r="V105" s="1112">
        <f>N105*U105</f>
        <v>2415.3449999999998</v>
      </c>
      <c r="W105" s="1112"/>
      <c r="X105" s="1112">
        <f>(N105+R106+V105)*O105</f>
        <v>10466.494999999999</v>
      </c>
      <c r="Y105" s="1112">
        <f>AB105</f>
        <v>9533.505000000001</v>
      </c>
      <c r="Z105" s="1112">
        <f>X105+Y105</f>
        <v>20000</v>
      </c>
      <c r="AA105" s="1109">
        <f>20000*O105</f>
        <v>20000</v>
      </c>
      <c r="AB105" s="1109">
        <f>AA105-X105</f>
        <v>9533.505000000001</v>
      </c>
      <c r="AC105" s="1112">
        <f>6500*O105</f>
        <v>6500</v>
      </c>
      <c r="AD105" s="1112">
        <f>X105-AC105</f>
        <v>3966.494999999999</v>
      </c>
      <c r="AE105" s="436">
        <f t="shared" si="25"/>
        <v>7001</v>
      </c>
      <c r="AF105" s="436">
        <f t="shared" si="26"/>
        <v>0</v>
      </c>
      <c r="AG105" s="436">
        <f t="shared" si="27"/>
        <v>8051.15</v>
      </c>
      <c r="AH105" s="436">
        <f t="shared" si="28"/>
        <v>0</v>
      </c>
      <c r="AI105" s="436">
        <f t="shared" si="29"/>
        <v>1050.1499999999996</v>
      </c>
      <c r="AJ105" s="436">
        <f t="shared" si="29"/>
        <v>0</v>
      </c>
      <c r="AK105" s="437">
        <f t="shared" si="30"/>
        <v>2415.3449999999998</v>
      </c>
      <c r="AL105" s="437">
        <f t="shared" si="31"/>
        <v>0</v>
      </c>
      <c r="AM105" s="437">
        <f t="shared" si="32"/>
        <v>0</v>
      </c>
      <c r="AN105" s="437">
        <f t="shared" si="38"/>
        <v>0</v>
      </c>
      <c r="AO105" s="437">
        <f t="shared" si="39"/>
        <v>0</v>
      </c>
      <c r="AP105" s="437">
        <f t="shared" si="35"/>
        <v>8051.15</v>
      </c>
      <c r="AQ105" s="437">
        <f t="shared" si="35"/>
        <v>0</v>
      </c>
      <c r="AR105" s="436"/>
      <c r="AS105" s="437">
        <f t="shared" si="36"/>
        <v>8051.15</v>
      </c>
    </row>
    <row r="106" spans="1:47" s="438" customFormat="1" ht="24.95" customHeight="1">
      <c r="A106" s="1134"/>
      <c r="B106" s="1134"/>
      <c r="C106" s="1139"/>
      <c r="D106" s="1134"/>
      <c r="E106" s="1134"/>
      <c r="F106" s="1134"/>
      <c r="G106" s="1112"/>
      <c r="H106" s="1134"/>
      <c r="I106" s="1134"/>
      <c r="J106" s="1134"/>
      <c r="K106" s="1134"/>
      <c r="L106" s="439">
        <f>(G105+H106+I106)*L105</f>
        <v>1050.1499999999999</v>
      </c>
      <c r="M106" s="1134"/>
      <c r="N106" s="1112"/>
      <c r="O106" s="1112"/>
      <c r="P106" s="1112"/>
      <c r="Q106" s="1134"/>
      <c r="R106" s="1134"/>
      <c r="S106" s="1134"/>
      <c r="T106" s="1134"/>
      <c r="U106" s="1138"/>
      <c r="V106" s="1112"/>
      <c r="W106" s="1112"/>
      <c r="X106" s="1112"/>
      <c r="Y106" s="1112"/>
      <c r="Z106" s="1112"/>
      <c r="AA106" s="1109"/>
      <c r="AB106" s="1109"/>
      <c r="AC106" s="1112"/>
      <c r="AD106" s="1112"/>
      <c r="AE106" s="436">
        <f t="shared" si="25"/>
        <v>0</v>
      </c>
      <c r="AF106" s="436">
        <f t="shared" si="26"/>
        <v>0</v>
      </c>
      <c r="AG106" s="436">
        <f t="shared" si="27"/>
        <v>0</v>
      </c>
      <c r="AH106" s="436">
        <f t="shared" si="28"/>
        <v>0</v>
      </c>
      <c r="AI106" s="436">
        <f t="shared" si="29"/>
        <v>0</v>
      </c>
      <c r="AJ106" s="436">
        <f t="shared" si="29"/>
        <v>0</v>
      </c>
      <c r="AK106" s="437">
        <f t="shared" si="30"/>
        <v>0</v>
      </c>
      <c r="AL106" s="437">
        <f t="shared" si="31"/>
        <v>0</v>
      </c>
      <c r="AM106" s="437">
        <f t="shared" si="32"/>
        <v>0</v>
      </c>
      <c r="AN106" s="437">
        <f t="shared" si="38"/>
        <v>0</v>
      </c>
      <c r="AO106" s="437">
        <f t="shared" si="39"/>
        <v>0</v>
      </c>
      <c r="AP106" s="437">
        <f t="shared" si="35"/>
        <v>0</v>
      </c>
      <c r="AQ106" s="437">
        <f t="shared" si="35"/>
        <v>0</v>
      </c>
      <c r="AR106" s="436"/>
      <c r="AS106" s="437">
        <f t="shared" si="36"/>
        <v>0</v>
      </c>
    </row>
    <row r="107" spans="1:47" s="438" customFormat="1" ht="24.95" customHeight="1">
      <c r="A107" s="1134"/>
      <c r="B107" s="1134"/>
      <c r="C107" s="1139" t="s">
        <v>1022</v>
      </c>
      <c r="D107" s="1134" t="s">
        <v>1023</v>
      </c>
      <c r="E107" s="1134" t="s">
        <v>1024</v>
      </c>
      <c r="F107" s="1134">
        <v>10</v>
      </c>
      <c r="G107" s="1112">
        <v>5265</v>
      </c>
      <c r="H107" s="1112"/>
      <c r="I107" s="1112"/>
      <c r="J107" s="1112"/>
      <c r="K107" s="1112"/>
      <c r="L107" s="435">
        <v>0.15</v>
      </c>
      <c r="M107" s="1112"/>
      <c r="N107" s="1112">
        <f>G107+H108+I108+L108</f>
        <v>6054.75</v>
      </c>
      <c r="O107" s="1112">
        <v>1</v>
      </c>
      <c r="P107" s="1112"/>
      <c r="Q107" s="1112"/>
      <c r="R107" s="1112"/>
      <c r="S107" s="1112"/>
      <c r="T107" s="1134">
        <v>3</v>
      </c>
      <c r="U107" s="1138">
        <v>0.1</v>
      </c>
      <c r="V107" s="1112">
        <f>N107*U107</f>
        <v>605.47500000000002</v>
      </c>
      <c r="W107" s="1112"/>
      <c r="X107" s="1112">
        <f>(N107+V107)*O107+W107</f>
        <v>6660.2250000000004</v>
      </c>
      <c r="Y107" s="1112">
        <f>AB107</f>
        <v>13339.775</v>
      </c>
      <c r="Z107" s="1112">
        <f>X107+Y107</f>
        <v>20000</v>
      </c>
      <c r="AA107" s="1109">
        <f>20000*O107</f>
        <v>20000</v>
      </c>
      <c r="AB107" s="1109">
        <f>AA107-X107</f>
        <v>13339.775</v>
      </c>
      <c r="AC107" s="1112">
        <f>6500*O107</f>
        <v>6500</v>
      </c>
      <c r="AD107" s="1112">
        <f>AC107-(N107*O107)</f>
        <v>445.25</v>
      </c>
      <c r="AE107" s="436">
        <f t="shared" si="25"/>
        <v>5265</v>
      </c>
      <c r="AF107" s="436">
        <f t="shared" si="26"/>
        <v>0</v>
      </c>
      <c r="AG107" s="436">
        <f t="shared" si="27"/>
        <v>6054.75</v>
      </c>
      <c r="AH107" s="436">
        <f t="shared" si="28"/>
        <v>0</v>
      </c>
      <c r="AI107" s="436">
        <f t="shared" si="29"/>
        <v>789.75</v>
      </c>
      <c r="AJ107" s="436">
        <f t="shared" si="29"/>
        <v>0</v>
      </c>
      <c r="AK107" s="437">
        <f t="shared" si="30"/>
        <v>605.47500000000002</v>
      </c>
      <c r="AL107" s="437">
        <f t="shared" si="31"/>
        <v>0</v>
      </c>
      <c r="AM107" s="437">
        <f t="shared" si="32"/>
        <v>0</v>
      </c>
      <c r="AN107" s="437">
        <f t="shared" si="38"/>
        <v>0</v>
      </c>
      <c r="AO107" s="437">
        <f t="shared" si="39"/>
        <v>0</v>
      </c>
      <c r="AP107" s="437">
        <f t="shared" si="35"/>
        <v>6054.75</v>
      </c>
      <c r="AQ107" s="437">
        <f t="shared" si="35"/>
        <v>0</v>
      </c>
      <c r="AR107" s="436"/>
      <c r="AS107" s="437">
        <f t="shared" si="36"/>
        <v>6054.75</v>
      </c>
    </row>
    <row r="108" spans="1:47" s="438" customFormat="1" ht="24.95" customHeight="1">
      <c r="A108" s="1134"/>
      <c r="B108" s="1134"/>
      <c r="C108" s="1139"/>
      <c r="D108" s="1134"/>
      <c r="E108" s="1134"/>
      <c r="F108" s="1134"/>
      <c r="G108" s="1112"/>
      <c r="H108" s="1112"/>
      <c r="I108" s="1112"/>
      <c r="J108" s="1112"/>
      <c r="K108" s="1112"/>
      <c r="L108" s="439">
        <f>(G107+H108+I108)*L107</f>
        <v>789.75</v>
      </c>
      <c r="M108" s="1112"/>
      <c r="N108" s="1112"/>
      <c r="O108" s="1112"/>
      <c r="P108" s="1112"/>
      <c r="Q108" s="1112"/>
      <c r="R108" s="1112"/>
      <c r="S108" s="1112"/>
      <c r="T108" s="1134"/>
      <c r="U108" s="1138"/>
      <c r="V108" s="1112"/>
      <c r="W108" s="1112"/>
      <c r="X108" s="1112"/>
      <c r="Y108" s="1112"/>
      <c r="Z108" s="1112"/>
      <c r="AA108" s="1109"/>
      <c r="AB108" s="1109"/>
      <c r="AC108" s="1112"/>
      <c r="AD108" s="1112"/>
      <c r="AE108" s="436">
        <f t="shared" si="25"/>
        <v>0</v>
      </c>
      <c r="AF108" s="436">
        <f t="shared" si="26"/>
        <v>0</v>
      </c>
      <c r="AG108" s="436">
        <f t="shared" si="27"/>
        <v>0</v>
      </c>
      <c r="AH108" s="436">
        <f t="shared" si="28"/>
        <v>0</v>
      </c>
      <c r="AI108" s="436">
        <f t="shared" si="29"/>
        <v>0</v>
      </c>
      <c r="AJ108" s="436">
        <f t="shared" si="29"/>
        <v>0</v>
      </c>
      <c r="AK108" s="437">
        <f t="shared" si="30"/>
        <v>0</v>
      </c>
      <c r="AL108" s="437">
        <f t="shared" si="31"/>
        <v>0</v>
      </c>
      <c r="AM108" s="437">
        <f t="shared" si="32"/>
        <v>0</v>
      </c>
      <c r="AN108" s="437">
        <f t="shared" si="38"/>
        <v>0</v>
      </c>
      <c r="AO108" s="437">
        <f t="shared" si="39"/>
        <v>0</v>
      </c>
      <c r="AP108" s="437">
        <f t="shared" si="35"/>
        <v>0</v>
      </c>
      <c r="AQ108" s="437">
        <f t="shared" si="35"/>
        <v>0</v>
      </c>
      <c r="AR108" s="436"/>
      <c r="AS108" s="437">
        <f t="shared" si="36"/>
        <v>0</v>
      </c>
    </row>
    <row r="109" spans="1:47" s="438" customFormat="1" ht="24.95" customHeight="1">
      <c r="A109" s="1134"/>
      <c r="B109" s="1134"/>
      <c r="C109" s="1139" t="s">
        <v>1022</v>
      </c>
      <c r="D109" s="1134" t="s">
        <v>1023</v>
      </c>
      <c r="E109" s="1134" t="s">
        <v>1024</v>
      </c>
      <c r="F109" s="1134">
        <v>10</v>
      </c>
      <c r="G109" s="1112">
        <v>5265</v>
      </c>
      <c r="H109" s="1112"/>
      <c r="I109" s="1112"/>
      <c r="J109" s="1112"/>
      <c r="K109" s="1112"/>
      <c r="L109" s="435">
        <v>0.15</v>
      </c>
      <c r="M109" s="1112"/>
      <c r="N109" s="1112">
        <f>G109+H110+I110+L110</f>
        <v>6054.75</v>
      </c>
      <c r="O109" s="1112"/>
      <c r="P109" s="1112">
        <v>0.5</v>
      </c>
      <c r="Q109" s="1112"/>
      <c r="R109" s="1112"/>
      <c r="S109" s="1112"/>
      <c r="T109" s="1134">
        <v>3</v>
      </c>
      <c r="U109" s="1138">
        <v>0.1</v>
      </c>
      <c r="V109" s="1112">
        <f>N109*U109</f>
        <v>605.47500000000002</v>
      </c>
      <c r="W109" s="1112"/>
      <c r="X109" s="1112">
        <f>(N109+V109)*P109+W109</f>
        <v>3330.1125000000002</v>
      </c>
      <c r="Y109" s="1113">
        <f>AB109</f>
        <v>6669.8874999999998</v>
      </c>
      <c r="Z109" s="1113">
        <f>X109+Y109</f>
        <v>10000</v>
      </c>
      <c r="AA109" s="1110">
        <f>20000*P109</f>
        <v>10000</v>
      </c>
      <c r="AB109" s="1110">
        <f>AA109-X109</f>
        <v>6669.8874999999998</v>
      </c>
      <c r="AC109" s="1112">
        <f>6500*P109</f>
        <v>3250</v>
      </c>
      <c r="AD109" s="1112">
        <f>AC109-(N109*P109)-(V109*P109)</f>
        <v>-80.112500000000011</v>
      </c>
      <c r="AE109" s="436">
        <f t="shared" si="25"/>
        <v>0</v>
      </c>
      <c r="AF109" s="436">
        <f t="shared" si="26"/>
        <v>2632.5</v>
      </c>
      <c r="AG109" s="436">
        <f t="shared" si="27"/>
        <v>0</v>
      </c>
      <c r="AH109" s="436">
        <f t="shared" si="28"/>
        <v>3027.375</v>
      </c>
      <c r="AI109" s="436">
        <f>AG109-AE109</f>
        <v>0</v>
      </c>
      <c r="AJ109" s="436">
        <f>AH109-AF109</f>
        <v>394.875</v>
      </c>
      <c r="AK109" s="437">
        <f t="shared" si="30"/>
        <v>0</v>
      </c>
      <c r="AL109" s="437">
        <f t="shared" si="31"/>
        <v>302.73750000000001</v>
      </c>
      <c r="AM109" s="437">
        <f t="shared" si="32"/>
        <v>0</v>
      </c>
      <c r="AN109" s="437">
        <f>S109*O109</f>
        <v>0</v>
      </c>
      <c r="AO109" s="437">
        <f>S109*P109</f>
        <v>0</v>
      </c>
      <c r="AP109" s="437">
        <f>AG109</f>
        <v>0</v>
      </c>
      <c r="AQ109" s="437">
        <f>AH109</f>
        <v>3027.375</v>
      </c>
      <c r="AR109" s="436"/>
      <c r="AS109" s="437">
        <f>AP109+AQ109-AR109</f>
        <v>3027.375</v>
      </c>
    </row>
    <row r="110" spans="1:47" s="438" customFormat="1" ht="24.95" customHeight="1">
      <c r="A110" s="1134"/>
      <c r="B110" s="1134"/>
      <c r="C110" s="1139"/>
      <c r="D110" s="1134"/>
      <c r="E110" s="1134"/>
      <c r="F110" s="1134"/>
      <c r="G110" s="1112"/>
      <c r="H110" s="1112"/>
      <c r="I110" s="1112"/>
      <c r="J110" s="1112"/>
      <c r="K110" s="1112"/>
      <c r="L110" s="439">
        <f>(G109+H110+I110)*L109</f>
        <v>789.75</v>
      </c>
      <c r="M110" s="1112"/>
      <c r="N110" s="1112"/>
      <c r="O110" s="1112"/>
      <c r="P110" s="1112"/>
      <c r="Q110" s="1112"/>
      <c r="R110" s="1112"/>
      <c r="S110" s="1112"/>
      <c r="T110" s="1134"/>
      <c r="U110" s="1138"/>
      <c r="V110" s="1112"/>
      <c r="W110" s="1112"/>
      <c r="X110" s="1112"/>
      <c r="Y110" s="1114"/>
      <c r="Z110" s="1114"/>
      <c r="AA110" s="1111"/>
      <c r="AB110" s="1111"/>
      <c r="AC110" s="1112"/>
      <c r="AD110" s="1112"/>
      <c r="AE110" s="436">
        <f t="shared" si="25"/>
        <v>0</v>
      </c>
      <c r="AF110" s="436">
        <f t="shared" si="26"/>
        <v>0</v>
      </c>
      <c r="AG110" s="436">
        <f t="shared" si="27"/>
        <v>0</v>
      </c>
      <c r="AH110" s="436">
        <f t="shared" si="28"/>
        <v>0</v>
      </c>
      <c r="AI110" s="436">
        <f>AG110-AE110</f>
        <v>0</v>
      </c>
      <c r="AJ110" s="436">
        <f>AH110-AF110</f>
        <v>0</v>
      </c>
      <c r="AK110" s="437">
        <f t="shared" si="30"/>
        <v>0</v>
      </c>
      <c r="AL110" s="437">
        <f t="shared" si="31"/>
        <v>0</v>
      </c>
      <c r="AM110" s="437">
        <f t="shared" si="32"/>
        <v>0</v>
      </c>
      <c r="AN110" s="437">
        <f>S110*O110</f>
        <v>0</v>
      </c>
      <c r="AO110" s="437">
        <f>S110*P110</f>
        <v>0</v>
      </c>
      <c r="AP110" s="437">
        <f>AG110</f>
        <v>0</v>
      </c>
      <c r="AQ110" s="437">
        <f>AH110</f>
        <v>0</v>
      </c>
      <c r="AR110" s="436"/>
      <c r="AS110" s="437">
        <f>AP110+AQ110-AR110</f>
        <v>0</v>
      </c>
    </row>
    <row r="111" spans="1:47" s="438" customFormat="1" ht="24.95" customHeight="1">
      <c r="A111" s="1134"/>
      <c r="B111" s="1134"/>
      <c r="C111" s="1139" t="s">
        <v>1022</v>
      </c>
      <c r="D111" s="1134" t="s">
        <v>1025</v>
      </c>
      <c r="E111" s="1134" t="s">
        <v>553</v>
      </c>
      <c r="F111" s="1134">
        <v>10</v>
      </c>
      <c r="G111" s="1112">
        <v>5265</v>
      </c>
      <c r="H111" s="1112"/>
      <c r="I111" s="1112"/>
      <c r="J111" s="1112"/>
      <c r="K111" s="1112"/>
      <c r="L111" s="435">
        <v>0.15</v>
      </c>
      <c r="M111" s="1112"/>
      <c r="N111" s="1112">
        <f>G111+H112+I112+L112</f>
        <v>6054.75</v>
      </c>
      <c r="O111" s="1112">
        <v>1</v>
      </c>
      <c r="P111" s="1112"/>
      <c r="Q111" s="1112"/>
      <c r="R111" s="1112"/>
      <c r="S111" s="1112"/>
      <c r="T111" s="1134">
        <v>3</v>
      </c>
      <c r="U111" s="1138">
        <v>0.1</v>
      </c>
      <c r="V111" s="1112">
        <f>N111*U111</f>
        <v>605.47500000000002</v>
      </c>
      <c r="W111" s="1112"/>
      <c r="X111" s="1112">
        <f>(N111+V111)*O111+W111</f>
        <v>6660.2250000000004</v>
      </c>
      <c r="Y111" s="1112">
        <f>AB111</f>
        <v>13339.775</v>
      </c>
      <c r="Z111" s="1112">
        <f>X111+Y111</f>
        <v>20000</v>
      </c>
      <c r="AA111" s="1109">
        <f>20000*O111</f>
        <v>20000</v>
      </c>
      <c r="AB111" s="1109">
        <f>AA111-X111</f>
        <v>13339.775</v>
      </c>
      <c r="AC111" s="1112">
        <f>6500*O111</f>
        <v>6500</v>
      </c>
      <c r="AD111" s="1112">
        <f>AC111-(N111*O111)</f>
        <v>445.25</v>
      </c>
      <c r="AE111" s="436">
        <f t="shared" si="25"/>
        <v>5265</v>
      </c>
      <c r="AF111" s="436">
        <f t="shared" si="26"/>
        <v>0</v>
      </c>
      <c r="AG111" s="436">
        <f t="shared" si="27"/>
        <v>6054.75</v>
      </c>
      <c r="AH111" s="436">
        <f t="shared" si="28"/>
        <v>0</v>
      </c>
      <c r="AI111" s="436">
        <f t="shared" ref="AI111:AJ120" si="40">AG111-AE111</f>
        <v>789.75</v>
      </c>
      <c r="AJ111" s="436">
        <f t="shared" si="40"/>
        <v>0</v>
      </c>
      <c r="AK111" s="437">
        <f t="shared" si="30"/>
        <v>605.47500000000002</v>
      </c>
      <c r="AL111" s="437">
        <f t="shared" si="31"/>
        <v>0</v>
      </c>
      <c r="AM111" s="437">
        <f t="shared" si="32"/>
        <v>0</v>
      </c>
      <c r="AN111" s="437">
        <f t="shared" ref="AN111:AN126" si="41">S111*O111</f>
        <v>0</v>
      </c>
      <c r="AO111" s="437">
        <f t="shared" ref="AO111:AO126" si="42">S111*P111</f>
        <v>0</v>
      </c>
      <c r="AP111" s="437">
        <f t="shared" ref="AP111:AQ118" si="43">AG111</f>
        <v>6054.75</v>
      </c>
      <c r="AQ111" s="437">
        <f t="shared" si="43"/>
        <v>0</v>
      </c>
      <c r="AR111" s="436"/>
      <c r="AS111" s="437">
        <f t="shared" ref="AS111:AS118" si="44">AP111+AQ111-AR111</f>
        <v>6054.75</v>
      </c>
    </row>
    <row r="112" spans="1:47" s="438" customFormat="1" ht="24.95" customHeight="1">
      <c r="A112" s="1134"/>
      <c r="B112" s="1134"/>
      <c r="C112" s="1139"/>
      <c r="D112" s="1134"/>
      <c r="E112" s="1134"/>
      <c r="F112" s="1134"/>
      <c r="G112" s="1112"/>
      <c r="H112" s="1112"/>
      <c r="I112" s="1112"/>
      <c r="J112" s="1112"/>
      <c r="K112" s="1112"/>
      <c r="L112" s="439">
        <f>(G111+H112+I112)*L111</f>
        <v>789.75</v>
      </c>
      <c r="M112" s="1112"/>
      <c r="N112" s="1112"/>
      <c r="O112" s="1112"/>
      <c r="P112" s="1112"/>
      <c r="Q112" s="1112"/>
      <c r="R112" s="1112"/>
      <c r="S112" s="1112"/>
      <c r="T112" s="1134"/>
      <c r="U112" s="1138"/>
      <c r="V112" s="1112"/>
      <c r="W112" s="1112"/>
      <c r="X112" s="1112"/>
      <c r="Y112" s="1112"/>
      <c r="Z112" s="1112"/>
      <c r="AA112" s="1109"/>
      <c r="AB112" s="1109"/>
      <c r="AC112" s="1112"/>
      <c r="AD112" s="1112"/>
      <c r="AE112" s="436">
        <f t="shared" si="25"/>
        <v>0</v>
      </c>
      <c r="AF112" s="436">
        <f t="shared" si="26"/>
        <v>0</v>
      </c>
      <c r="AG112" s="436">
        <f t="shared" si="27"/>
        <v>0</v>
      </c>
      <c r="AH112" s="436">
        <f t="shared" si="28"/>
        <v>0</v>
      </c>
      <c r="AI112" s="436">
        <f t="shared" si="40"/>
        <v>0</v>
      </c>
      <c r="AJ112" s="436">
        <f t="shared" si="40"/>
        <v>0</v>
      </c>
      <c r="AK112" s="437">
        <f t="shared" si="30"/>
        <v>0</v>
      </c>
      <c r="AL112" s="437">
        <f t="shared" si="31"/>
        <v>0</v>
      </c>
      <c r="AM112" s="437">
        <f t="shared" si="32"/>
        <v>0</v>
      </c>
      <c r="AN112" s="437">
        <f t="shared" si="41"/>
        <v>0</v>
      </c>
      <c r="AO112" s="437">
        <f t="shared" si="42"/>
        <v>0</v>
      </c>
      <c r="AP112" s="437">
        <f t="shared" si="43"/>
        <v>0</v>
      </c>
      <c r="AQ112" s="437">
        <f t="shared" si="43"/>
        <v>0</v>
      </c>
      <c r="AR112" s="436"/>
      <c r="AS112" s="437">
        <f t="shared" si="44"/>
        <v>0</v>
      </c>
    </row>
    <row r="113" spans="1:45" s="438" customFormat="1" ht="24.95" customHeight="1">
      <c r="A113" s="1134"/>
      <c r="B113" s="1134"/>
      <c r="C113" s="1139" t="s">
        <v>1022</v>
      </c>
      <c r="D113" s="1134" t="s">
        <v>1025</v>
      </c>
      <c r="E113" s="1134" t="s">
        <v>553</v>
      </c>
      <c r="F113" s="1134">
        <v>10</v>
      </c>
      <c r="G113" s="1112">
        <v>5265</v>
      </c>
      <c r="H113" s="1112"/>
      <c r="I113" s="1112"/>
      <c r="J113" s="1112"/>
      <c r="K113" s="1112"/>
      <c r="L113" s="435">
        <v>0.15</v>
      </c>
      <c r="M113" s="1112"/>
      <c r="N113" s="1112">
        <f>G113+H114+I114+L114</f>
        <v>6054.75</v>
      </c>
      <c r="O113" s="1112"/>
      <c r="P113" s="1112">
        <v>0.5</v>
      </c>
      <c r="Q113" s="1112"/>
      <c r="R113" s="1112"/>
      <c r="S113" s="1112"/>
      <c r="T113" s="1134">
        <v>3</v>
      </c>
      <c r="U113" s="1138">
        <v>0.1</v>
      </c>
      <c r="V113" s="1112">
        <f>N113*U113</f>
        <v>605.47500000000002</v>
      </c>
      <c r="W113" s="1112"/>
      <c r="X113" s="1112">
        <f>(N113+V113)*P113+W113</f>
        <v>3330.1125000000002</v>
      </c>
      <c r="Y113" s="1113">
        <f>AB113</f>
        <v>6669.8874999999998</v>
      </c>
      <c r="Z113" s="1113">
        <f>X113+Y113</f>
        <v>10000</v>
      </c>
      <c r="AA113" s="1110">
        <f>20000*P113</f>
        <v>10000</v>
      </c>
      <c r="AB113" s="1110">
        <f>AA113-X113</f>
        <v>6669.8874999999998</v>
      </c>
      <c r="AC113" s="1112">
        <f>6500*P113</f>
        <v>3250</v>
      </c>
      <c r="AD113" s="1112">
        <f>AC113-(N113*P113)-(V113*P113)</f>
        <v>-80.112500000000011</v>
      </c>
      <c r="AE113" s="436">
        <f t="shared" si="25"/>
        <v>0</v>
      </c>
      <c r="AF113" s="436">
        <f t="shared" si="26"/>
        <v>2632.5</v>
      </c>
      <c r="AG113" s="436">
        <f t="shared" si="27"/>
        <v>0</v>
      </c>
      <c r="AH113" s="436">
        <f t="shared" si="28"/>
        <v>3027.375</v>
      </c>
      <c r="AI113" s="436">
        <f t="shared" si="40"/>
        <v>0</v>
      </c>
      <c r="AJ113" s="436">
        <f t="shared" si="40"/>
        <v>394.875</v>
      </c>
      <c r="AK113" s="437">
        <f t="shared" si="30"/>
        <v>0</v>
      </c>
      <c r="AL113" s="437">
        <f t="shared" si="31"/>
        <v>302.73750000000001</v>
      </c>
      <c r="AM113" s="437">
        <f t="shared" si="32"/>
        <v>0</v>
      </c>
      <c r="AN113" s="437">
        <f t="shared" si="41"/>
        <v>0</v>
      </c>
      <c r="AO113" s="437">
        <f t="shared" si="42"/>
        <v>0</v>
      </c>
      <c r="AP113" s="437">
        <f t="shared" si="43"/>
        <v>0</v>
      </c>
      <c r="AQ113" s="437">
        <f t="shared" si="43"/>
        <v>3027.375</v>
      </c>
      <c r="AR113" s="436"/>
      <c r="AS113" s="437">
        <f t="shared" si="44"/>
        <v>3027.375</v>
      </c>
    </row>
    <row r="114" spans="1:45" s="438" customFormat="1" ht="24.95" customHeight="1">
      <c r="A114" s="1134"/>
      <c r="B114" s="1134"/>
      <c r="C114" s="1139"/>
      <c r="D114" s="1134"/>
      <c r="E114" s="1134"/>
      <c r="F114" s="1134"/>
      <c r="G114" s="1112"/>
      <c r="H114" s="1112"/>
      <c r="I114" s="1112"/>
      <c r="J114" s="1112"/>
      <c r="K114" s="1112"/>
      <c r="L114" s="439">
        <f t="shared" ref="L114:L120" si="45">(G113+H114+I114)*L113</f>
        <v>789.75</v>
      </c>
      <c r="M114" s="1112"/>
      <c r="N114" s="1112"/>
      <c r="O114" s="1112"/>
      <c r="P114" s="1112"/>
      <c r="Q114" s="1112"/>
      <c r="R114" s="1112"/>
      <c r="S114" s="1112"/>
      <c r="T114" s="1134"/>
      <c r="U114" s="1138"/>
      <c r="V114" s="1112"/>
      <c r="W114" s="1112"/>
      <c r="X114" s="1112"/>
      <c r="Y114" s="1114"/>
      <c r="Z114" s="1114"/>
      <c r="AA114" s="1111"/>
      <c r="AB114" s="1111"/>
      <c r="AC114" s="1112"/>
      <c r="AD114" s="1112"/>
      <c r="AE114" s="436">
        <f t="shared" si="25"/>
        <v>0</v>
      </c>
      <c r="AF114" s="436">
        <f t="shared" si="26"/>
        <v>0</v>
      </c>
      <c r="AG114" s="436">
        <f t="shared" si="27"/>
        <v>0</v>
      </c>
      <c r="AH114" s="436">
        <f t="shared" si="28"/>
        <v>0</v>
      </c>
      <c r="AI114" s="436">
        <f t="shared" si="40"/>
        <v>0</v>
      </c>
      <c r="AJ114" s="436">
        <f t="shared" si="40"/>
        <v>0</v>
      </c>
      <c r="AK114" s="437">
        <f t="shared" si="30"/>
        <v>0</v>
      </c>
      <c r="AL114" s="437">
        <f t="shared" si="31"/>
        <v>0</v>
      </c>
      <c r="AM114" s="437">
        <f t="shared" si="32"/>
        <v>0</v>
      </c>
      <c r="AN114" s="437">
        <f t="shared" si="41"/>
        <v>0</v>
      </c>
      <c r="AO114" s="437">
        <f t="shared" si="42"/>
        <v>0</v>
      </c>
      <c r="AP114" s="437">
        <f t="shared" si="43"/>
        <v>0</v>
      </c>
      <c r="AQ114" s="437">
        <f t="shared" si="43"/>
        <v>0</v>
      </c>
      <c r="AR114" s="436"/>
      <c r="AS114" s="437">
        <f t="shared" si="44"/>
        <v>0</v>
      </c>
    </row>
    <row r="115" spans="1:45" s="438" customFormat="1" ht="24.95" customHeight="1">
      <c r="A115" s="1134"/>
      <c r="B115" s="1134"/>
      <c r="C115" s="1139" t="s">
        <v>510</v>
      </c>
      <c r="D115" s="1134" t="s">
        <v>508</v>
      </c>
      <c r="E115" s="1134" t="s">
        <v>509</v>
      </c>
      <c r="F115" s="1134">
        <v>13</v>
      </c>
      <c r="G115" s="1112">
        <v>6567</v>
      </c>
      <c r="H115" s="1134"/>
      <c r="I115" s="1134"/>
      <c r="J115" s="1134"/>
      <c r="K115" s="1134"/>
      <c r="L115" s="435">
        <v>0.15</v>
      </c>
      <c r="M115" s="1134"/>
      <c r="N115" s="1112">
        <f>G115+H116+I116+L116</f>
        <v>7552.05</v>
      </c>
      <c r="O115" s="1112">
        <v>1</v>
      </c>
      <c r="P115" s="1112"/>
      <c r="Q115" s="1112"/>
      <c r="R115" s="1112"/>
      <c r="S115" s="1112"/>
      <c r="T115" s="1134">
        <v>32</v>
      </c>
      <c r="U115" s="1138">
        <v>0.3</v>
      </c>
      <c r="V115" s="1112">
        <f>N115*U115</f>
        <v>2265.6149999999998</v>
      </c>
      <c r="W115" s="1112"/>
      <c r="X115" s="1112">
        <f>(N115+V115)*O115+W115</f>
        <v>9817.6650000000009</v>
      </c>
      <c r="Y115" s="1112">
        <f>AB115</f>
        <v>10182.334999999999</v>
      </c>
      <c r="Z115" s="1112">
        <f>X115+Y115</f>
        <v>20000</v>
      </c>
      <c r="AA115" s="1109">
        <f>20000*O115</f>
        <v>20000</v>
      </c>
      <c r="AB115" s="1109">
        <f>AA115-X115</f>
        <v>10182.334999999999</v>
      </c>
      <c r="AC115" s="1112">
        <f>6500*P115</f>
        <v>0</v>
      </c>
      <c r="AD115" s="1112">
        <f>X115-AC115</f>
        <v>9817.6650000000009</v>
      </c>
      <c r="AE115" s="436">
        <f t="shared" si="25"/>
        <v>6567</v>
      </c>
      <c r="AF115" s="436">
        <f t="shared" si="26"/>
        <v>0</v>
      </c>
      <c r="AG115" s="436">
        <f t="shared" si="27"/>
        <v>7552.05</v>
      </c>
      <c r="AH115" s="436">
        <f t="shared" si="28"/>
        <v>0</v>
      </c>
      <c r="AI115" s="436">
        <f t="shared" si="40"/>
        <v>985.05000000000018</v>
      </c>
      <c r="AJ115" s="436">
        <f t="shared" si="40"/>
        <v>0</v>
      </c>
      <c r="AK115" s="437">
        <f t="shared" si="30"/>
        <v>2265.6149999999998</v>
      </c>
      <c r="AL115" s="437">
        <f t="shared" si="31"/>
        <v>0</v>
      </c>
      <c r="AM115" s="437">
        <f t="shared" si="32"/>
        <v>0</v>
      </c>
      <c r="AN115" s="437">
        <f t="shared" si="41"/>
        <v>0</v>
      </c>
      <c r="AO115" s="437">
        <f t="shared" si="42"/>
        <v>0</v>
      </c>
      <c r="AP115" s="437">
        <f t="shared" si="43"/>
        <v>7552.05</v>
      </c>
      <c r="AQ115" s="437">
        <f t="shared" si="43"/>
        <v>0</v>
      </c>
      <c r="AR115" s="436"/>
      <c r="AS115" s="437">
        <f t="shared" si="44"/>
        <v>7552.05</v>
      </c>
    </row>
    <row r="116" spans="1:45" s="438" customFormat="1" ht="24.95" customHeight="1">
      <c r="A116" s="1134"/>
      <c r="B116" s="1134"/>
      <c r="C116" s="1139"/>
      <c r="D116" s="1134"/>
      <c r="E116" s="1134"/>
      <c r="F116" s="1134"/>
      <c r="G116" s="1112"/>
      <c r="H116" s="1134"/>
      <c r="I116" s="1134"/>
      <c r="J116" s="1134"/>
      <c r="K116" s="1134"/>
      <c r="L116" s="439">
        <f t="shared" si="45"/>
        <v>985.05</v>
      </c>
      <c r="M116" s="1134"/>
      <c r="N116" s="1112"/>
      <c r="O116" s="1112"/>
      <c r="P116" s="1112"/>
      <c r="Q116" s="1112"/>
      <c r="R116" s="1112"/>
      <c r="S116" s="1112"/>
      <c r="T116" s="1134"/>
      <c r="U116" s="1138"/>
      <c r="V116" s="1112"/>
      <c r="W116" s="1112"/>
      <c r="X116" s="1112"/>
      <c r="Y116" s="1112"/>
      <c r="Z116" s="1112"/>
      <c r="AA116" s="1109"/>
      <c r="AB116" s="1109"/>
      <c r="AC116" s="1112"/>
      <c r="AD116" s="1112"/>
      <c r="AE116" s="436">
        <f t="shared" si="25"/>
        <v>0</v>
      </c>
      <c r="AF116" s="436">
        <f t="shared" si="26"/>
        <v>0</v>
      </c>
      <c r="AG116" s="436">
        <f t="shared" si="27"/>
        <v>0</v>
      </c>
      <c r="AH116" s="436">
        <f t="shared" si="28"/>
        <v>0</v>
      </c>
      <c r="AI116" s="436">
        <f t="shared" si="40"/>
        <v>0</v>
      </c>
      <c r="AJ116" s="436">
        <f t="shared" si="40"/>
        <v>0</v>
      </c>
      <c r="AK116" s="437">
        <f t="shared" si="30"/>
        <v>0</v>
      </c>
      <c r="AL116" s="437">
        <f t="shared" si="31"/>
        <v>0</v>
      </c>
      <c r="AM116" s="437">
        <f t="shared" si="32"/>
        <v>0</v>
      </c>
      <c r="AN116" s="437">
        <f t="shared" si="41"/>
        <v>0</v>
      </c>
      <c r="AO116" s="437">
        <f t="shared" si="42"/>
        <v>0</v>
      </c>
      <c r="AP116" s="437">
        <f t="shared" si="43"/>
        <v>0</v>
      </c>
      <c r="AQ116" s="437">
        <f t="shared" si="43"/>
        <v>0</v>
      </c>
      <c r="AR116" s="436"/>
      <c r="AS116" s="437">
        <f t="shared" si="44"/>
        <v>0</v>
      </c>
    </row>
    <row r="117" spans="1:45" s="438" customFormat="1" ht="24.95" customHeight="1">
      <c r="A117" s="1134"/>
      <c r="B117" s="1134"/>
      <c r="C117" s="1139" t="s">
        <v>510</v>
      </c>
      <c r="D117" s="1134" t="s">
        <v>508</v>
      </c>
      <c r="E117" s="1134" t="s">
        <v>509</v>
      </c>
      <c r="F117" s="1134">
        <v>13</v>
      </c>
      <c r="G117" s="1112">
        <v>6567</v>
      </c>
      <c r="H117" s="1134"/>
      <c r="I117" s="1134"/>
      <c r="J117" s="1134"/>
      <c r="K117" s="1134"/>
      <c r="L117" s="435">
        <v>0.15</v>
      </c>
      <c r="M117" s="1134"/>
      <c r="N117" s="1112">
        <f>G117+H118+I118+L118</f>
        <v>7552.05</v>
      </c>
      <c r="O117" s="1112"/>
      <c r="P117" s="1112">
        <v>0.25</v>
      </c>
      <c r="Q117" s="1112"/>
      <c r="R117" s="1112"/>
      <c r="S117" s="1112"/>
      <c r="T117" s="1134">
        <v>32</v>
      </c>
      <c r="U117" s="1138">
        <v>0.3</v>
      </c>
      <c r="V117" s="1112">
        <f>N117*U117</f>
        <v>2265.6149999999998</v>
      </c>
      <c r="W117" s="1112"/>
      <c r="X117" s="1112">
        <f>(N117+V117)*P117</f>
        <v>2454.4162500000002</v>
      </c>
      <c r="Y117" s="1113">
        <f>AB117</f>
        <v>2545.5837499999998</v>
      </c>
      <c r="Z117" s="1113">
        <f>X117+Y117</f>
        <v>5000</v>
      </c>
      <c r="AA117" s="1110">
        <f>20000*P117</f>
        <v>5000</v>
      </c>
      <c r="AB117" s="1110">
        <f>AA117-X117</f>
        <v>2545.5837499999998</v>
      </c>
      <c r="AC117" s="1112">
        <f>6500*P117</f>
        <v>1625</v>
      </c>
      <c r="AD117" s="1112">
        <f>X117-AC117</f>
        <v>829.41625000000022</v>
      </c>
      <c r="AE117" s="436">
        <f t="shared" si="25"/>
        <v>0</v>
      </c>
      <c r="AF117" s="436">
        <f t="shared" si="26"/>
        <v>1641.75</v>
      </c>
      <c r="AG117" s="436">
        <f t="shared" si="27"/>
        <v>0</v>
      </c>
      <c r="AH117" s="436">
        <f t="shared" si="28"/>
        <v>1888.0125</v>
      </c>
      <c r="AI117" s="436">
        <f t="shared" si="40"/>
        <v>0</v>
      </c>
      <c r="AJ117" s="436">
        <f t="shared" si="40"/>
        <v>246.26250000000005</v>
      </c>
      <c r="AK117" s="437">
        <f t="shared" si="30"/>
        <v>0</v>
      </c>
      <c r="AL117" s="437">
        <f t="shared" si="31"/>
        <v>566.40374999999995</v>
      </c>
      <c r="AM117" s="437">
        <f t="shared" si="32"/>
        <v>0</v>
      </c>
      <c r="AN117" s="437">
        <f t="shared" si="41"/>
        <v>0</v>
      </c>
      <c r="AO117" s="437">
        <f t="shared" si="42"/>
        <v>0</v>
      </c>
      <c r="AP117" s="437">
        <f t="shared" si="43"/>
        <v>0</v>
      </c>
      <c r="AQ117" s="437">
        <f t="shared" si="43"/>
        <v>1888.0125</v>
      </c>
      <c r="AR117" s="436"/>
      <c r="AS117" s="437">
        <f t="shared" si="44"/>
        <v>1888.0125</v>
      </c>
    </row>
    <row r="118" spans="1:45" s="438" customFormat="1" ht="24.95" customHeight="1">
      <c r="A118" s="1134"/>
      <c r="B118" s="1134"/>
      <c r="C118" s="1139"/>
      <c r="D118" s="1134"/>
      <c r="E118" s="1134"/>
      <c r="F118" s="1134"/>
      <c r="G118" s="1112"/>
      <c r="H118" s="1134"/>
      <c r="I118" s="1134"/>
      <c r="J118" s="1134"/>
      <c r="K118" s="1134"/>
      <c r="L118" s="439">
        <f t="shared" si="45"/>
        <v>985.05</v>
      </c>
      <c r="M118" s="1134"/>
      <c r="N118" s="1112"/>
      <c r="O118" s="1112"/>
      <c r="P118" s="1112"/>
      <c r="Q118" s="1112"/>
      <c r="R118" s="1112"/>
      <c r="S118" s="1112"/>
      <c r="T118" s="1134"/>
      <c r="U118" s="1138"/>
      <c r="V118" s="1112"/>
      <c r="W118" s="1112"/>
      <c r="X118" s="1112"/>
      <c r="Y118" s="1114"/>
      <c r="Z118" s="1114"/>
      <c r="AA118" s="1111"/>
      <c r="AB118" s="1111"/>
      <c r="AC118" s="1112"/>
      <c r="AD118" s="1112"/>
      <c r="AE118" s="436">
        <f t="shared" si="25"/>
        <v>0</v>
      </c>
      <c r="AF118" s="436">
        <f t="shared" si="26"/>
        <v>0</v>
      </c>
      <c r="AG118" s="436">
        <f t="shared" si="27"/>
        <v>0</v>
      </c>
      <c r="AH118" s="436">
        <f t="shared" si="28"/>
        <v>0</v>
      </c>
      <c r="AI118" s="436">
        <f t="shared" si="40"/>
        <v>0</v>
      </c>
      <c r="AJ118" s="436">
        <f t="shared" si="40"/>
        <v>0</v>
      </c>
      <c r="AK118" s="437">
        <f t="shared" si="30"/>
        <v>0</v>
      </c>
      <c r="AL118" s="437">
        <f t="shared" si="31"/>
        <v>0</v>
      </c>
      <c r="AM118" s="437">
        <f t="shared" si="32"/>
        <v>0</v>
      </c>
      <c r="AN118" s="437">
        <f t="shared" si="41"/>
        <v>0</v>
      </c>
      <c r="AO118" s="437">
        <f t="shared" si="42"/>
        <v>0</v>
      </c>
      <c r="AP118" s="437">
        <f t="shared" si="43"/>
        <v>0</v>
      </c>
      <c r="AQ118" s="437">
        <f t="shared" si="43"/>
        <v>0</v>
      </c>
      <c r="AR118" s="436"/>
      <c r="AS118" s="437">
        <f t="shared" si="44"/>
        <v>0</v>
      </c>
    </row>
    <row r="119" spans="1:45" s="438" customFormat="1" ht="24.95" customHeight="1">
      <c r="A119" s="1134"/>
      <c r="B119" s="1134"/>
      <c r="C119" s="1139" t="s">
        <v>472</v>
      </c>
      <c r="D119" s="1171" t="s">
        <v>1026</v>
      </c>
      <c r="E119" s="1134" t="s">
        <v>1027</v>
      </c>
      <c r="F119" s="1134">
        <v>12</v>
      </c>
      <c r="G119" s="1112">
        <v>6133</v>
      </c>
      <c r="H119" s="1134"/>
      <c r="I119" s="435">
        <v>0.2</v>
      </c>
      <c r="J119" s="1138"/>
      <c r="K119" s="1134"/>
      <c r="L119" s="435">
        <v>0.15</v>
      </c>
      <c r="M119" s="1134"/>
      <c r="N119" s="1112">
        <f>G119+H120+I120</f>
        <v>7359.6</v>
      </c>
      <c r="O119" s="1112">
        <v>1</v>
      </c>
      <c r="P119" s="1140"/>
      <c r="Q119" s="1134"/>
      <c r="R119" s="1134"/>
      <c r="S119" s="1134"/>
      <c r="T119" s="1134">
        <v>3</v>
      </c>
      <c r="U119" s="1138">
        <v>0.1</v>
      </c>
      <c r="V119" s="1112">
        <f>N119*U119</f>
        <v>735.96</v>
      </c>
      <c r="W119" s="1112"/>
      <c r="X119" s="1112">
        <f>(N119+V119)*O119</f>
        <v>8095.56</v>
      </c>
      <c r="Y119" s="1112">
        <f>AB119</f>
        <v>11904.439999999999</v>
      </c>
      <c r="Z119" s="1112">
        <f>X119+Y119</f>
        <v>20000</v>
      </c>
      <c r="AA119" s="1109">
        <f>20000*O119</f>
        <v>20000</v>
      </c>
      <c r="AB119" s="1109">
        <f>AA119-X119</f>
        <v>11904.439999999999</v>
      </c>
      <c r="AC119" s="1112">
        <f>6500*O119</f>
        <v>6500</v>
      </c>
      <c r="AD119" s="1112">
        <f>X119-AC119</f>
        <v>1595.5600000000004</v>
      </c>
      <c r="AE119" s="436">
        <f t="shared" si="25"/>
        <v>6133</v>
      </c>
      <c r="AF119" s="436">
        <f t="shared" si="26"/>
        <v>0</v>
      </c>
      <c r="AG119" s="436">
        <f t="shared" si="27"/>
        <v>7359.6</v>
      </c>
      <c r="AH119" s="436">
        <f t="shared" si="28"/>
        <v>0</v>
      </c>
      <c r="AI119" s="436">
        <f t="shared" si="40"/>
        <v>1226.6000000000004</v>
      </c>
      <c r="AJ119" s="436">
        <f>AH119-AF119</f>
        <v>0</v>
      </c>
      <c r="AK119" s="437">
        <f t="shared" si="30"/>
        <v>735.96</v>
      </c>
      <c r="AL119" s="437">
        <f t="shared" si="31"/>
        <v>0</v>
      </c>
      <c r="AM119" s="437">
        <f t="shared" si="32"/>
        <v>0</v>
      </c>
      <c r="AN119" s="437">
        <f t="shared" si="41"/>
        <v>0</v>
      </c>
      <c r="AO119" s="437">
        <f t="shared" si="42"/>
        <v>0</v>
      </c>
      <c r="AP119" s="437">
        <f>AG119</f>
        <v>7359.6</v>
      </c>
      <c r="AQ119" s="437">
        <f>AH119</f>
        <v>0</v>
      </c>
      <c r="AR119" s="436"/>
      <c r="AS119" s="437">
        <f>AP119+AQ119-AR119</f>
        <v>7359.6</v>
      </c>
    </row>
    <row r="120" spans="1:45" s="438" customFormat="1" ht="24.95" customHeight="1">
      <c r="A120" s="1134"/>
      <c r="B120" s="1134"/>
      <c r="C120" s="1139"/>
      <c r="D120" s="1172"/>
      <c r="E120" s="1134"/>
      <c r="F120" s="1134"/>
      <c r="G120" s="1112"/>
      <c r="H120" s="1134"/>
      <c r="I120" s="448">
        <f>G119*I119</f>
        <v>1226.6000000000001</v>
      </c>
      <c r="J120" s="1170"/>
      <c r="K120" s="1134"/>
      <c r="L120" s="439">
        <f t="shared" si="45"/>
        <v>1103.94</v>
      </c>
      <c r="M120" s="1134"/>
      <c r="N120" s="1112"/>
      <c r="O120" s="1112"/>
      <c r="P120" s="1140"/>
      <c r="Q120" s="1134"/>
      <c r="R120" s="1134"/>
      <c r="S120" s="1134"/>
      <c r="T120" s="1134"/>
      <c r="U120" s="1138"/>
      <c r="V120" s="1112"/>
      <c r="W120" s="1112"/>
      <c r="X120" s="1112"/>
      <c r="Y120" s="1112"/>
      <c r="Z120" s="1112"/>
      <c r="AA120" s="1109"/>
      <c r="AB120" s="1109"/>
      <c r="AC120" s="1112"/>
      <c r="AD120" s="1112"/>
      <c r="AE120" s="436">
        <f t="shared" si="25"/>
        <v>0</v>
      </c>
      <c r="AF120" s="436">
        <f t="shared" si="26"/>
        <v>0</v>
      </c>
      <c r="AG120" s="436">
        <f t="shared" si="27"/>
        <v>0</v>
      </c>
      <c r="AH120" s="436">
        <f t="shared" si="28"/>
        <v>0</v>
      </c>
      <c r="AI120" s="436">
        <f t="shared" si="40"/>
        <v>0</v>
      </c>
      <c r="AJ120" s="436">
        <f>AH120-AF120</f>
        <v>0</v>
      </c>
      <c r="AK120" s="437">
        <f t="shared" si="30"/>
        <v>0</v>
      </c>
      <c r="AL120" s="437">
        <f t="shared" si="31"/>
        <v>0</v>
      </c>
      <c r="AM120" s="437">
        <f t="shared" si="32"/>
        <v>0</v>
      </c>
      <c r="AN120" s="437">
        <f t="shared" si="41"/>
        <v>0</v>
      </c>
      <c r="AO120" s="437">
        <f t="shared" si="42"/>
        <v>0</v>
      </c>
      <c r="AP120" s="437">
        <f>AG120</f>
        <v>0</v>
      </c>
      <c r="AQ120" s="437">
        <f>AH120</f>
        <v>0</v>
      </c>
      <c r="AR120" s="436"/>
      <c r="AS120" s="437">
        <f>AP120+AQ120-AR120</f>
        <v>0</v>
      </c>
    </row>
    <row r="121" spans="1:45" s="446" customFormat="1" ht="24.95" customHeight="1">
      <c r="A121" s="441"/>
      <c r="B121" s="441"/>
      <c r="C121" s="442" t="s">
        <v>318</v>
      </c>
      <c r="D121" s="443"/>
      <c r="E121" s="441"/>
      <c r="F121" s="441"/>
      <c r="G121" s="444">
        <f>SUM(G97:G120)</f>
        <v>60896</v>
      </c>
      <c r="H121" s="444">
        <f>SUM(H97:H120)</f>
        <v>1642</v>
      </c>
      <c r="I121" s="445">
        <f>SUM(I97:I120)</f>
        <v>2277.1000000000004</v>
      </c>
      <c r="J121" s="444"/>
      <c r="K121" s="444"/>
      <c r="L121" s="444">
        <f>SUM(L97:L120)</f>
        <v>9477.7124999999978</v>
      </c>
      <c r="M121" s="444"/>
      <c r="N121" s="444">
        <f>SUM(N97:N120)</f>
        <v>73186.472500000003</v>
      </c>
      <c r="O121" s="444">
        <f>SUM(O97:O120)</f>
        <v>7</v>
      </c>
      <c r="P121" s="444">
        <f>SUM(P97:P120)</f>
        <v>1.25</v>
      </c>
      <c r="Q121" s="444"/>
      <c r="R121" s="444"/>
      <c r="S121" s="444"/>
      <c r="T121" s="444"/>
      <c r="U121" s="444"/>
      <c r="V121" s="444">
        <f t="shared" ref="V121:AD121" si="46">SUM(V97:V120)</f>
        <v>15640.221750000001</v>
      </c>
      <c r="W121" s="444">
        <f t="shared" si="46"/>
        <v>0</v>
      </c>
      <c r="X121" s="444">
        <f t="shared" si="46"/>
        <v>74803.220499999996</v>
      </c>
      <c r="Y121" s="444">
        <f t="shared" si="46"/>
        <v>90196.779500000019</v>
      </c>
      <c r="Z121" s="444">
        <f t="shared" si="46"/>
        <v>165000</v>
      </c>
      <c r="AA121" s="499">
        <f t="shared" si="46"/>
        <v>165000</v>
      </c>
      <c r="AB121" s="499">
        <f t="shared" si="46"/>
        <v>90196.779500000019</v>
      </c>
      <c r="AC121" s="444">
        <f t="shared" si="46"/>
        <v>47125</v>
      </c>
      <c r="AD121" s="444">
        <f t="shared" si="46"/>
        <v>27927.820500000005</v>
      </c>
      <c r="AE121" s="436"/>
      <c r="AF121" s="436"/>
      <c r="AG121" s="436"/>
      <c r="AH121" s="436"/>
      <c r="AI121" s="436"/>
      <c r="AJ121" s="436"/>
      <c r="AK121" s="437"/>
      <c r="AL121" s="437"/>
      <c r="AM121" s="437"/>
      <c r="AN121" s="437">
        <f t="shared" si="41"/>
        <v>0</v>
      </c>
      <c r="AO121" s="437">
        <f t="shared" si="42"/>
        <v>0</v>
      </c>
      <c r="AP121" s="437">
        <f t="shared" si="35"/>
        <v>0</v>
      </c>
      <c r="AQ121" s="437">
        <f t="shared" si="35"/>
        <v>0</v>
      </c>
      <c r="AR121" s="436"/>
      <c r="AS121" s="437">
        <f t="shared" si="36"/>
        <v>0</v>
      </c>
    </row>
    <row r="122" spans="1:45" s="446" customFormat="1" ht="24.95" customHeight="1">
      <c r="A122" s="441"/>
      <c r="B122" s="441"/>
      <c r="C122" s="1136" t="s">
        <v>1028</v>
      </c>
      <c r="D122" s="1136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503"/>
      <c r="AB122" s="503"/>
      <c r="AC122" s="441"/>
      <c r="AD122" s="441"/>
      <c r="AE122" s="436">
        <f t="shared" si="25"/>
        <v>0</v>
      </c>
      <c r="AF122" s="436">
        <f t="shared" si="26"/>
        <v>0</v>
      </c>
      <c r="AG122" s="436">
        <f t="shared" si="27"/>
        <v>0</v>
      </c>
      <c r="AH122" s="436">
        <f t="shared" si="28"/>
        <v>0</v>
      </c>
      <c r="AI122" s="436">
        <f t="shared" si="29"/>
        <v>0</v>
      </c>
      <c r="AJ122" s="436">
        <f t="shared" si="29"/>
        <v>0</v>
      </c>
      <c r="AK122" s="437">
        <f t="shared" si="30"/>
        <v>0</v>
      </c>
      <c r="AL122" s="437">
        <f t="shared" si="31"/>
        <v>0</v>
      </c>
      <c r="AM122" s="437">
        <f t="shared" si="32"/>
        <v>0</v>
      </c>
      <c r="AN122" s="437">
        <f t="shared" si="41"/>
        <v>0</v>
      </c>
      <c r="AO122" s="437">
        <f t="shared" si="42"/>
        <v>0</v>
      </c>
      <c r="AP122" s="437">
        <f t="shared" si="35"/>
        <v>0</v>
      </c>
      <c r="AQ122" s="437">
        <f t="shared" si="35"/>
        <v>0</v>
      </c>
      <c r="AR122" s="436"/>
      <c r="AS122" s="437">
        <f t="shared" si="36"/>
        <v>0</v>
      </c>
    </row>
    <row r="123" spans="1:45" s="438" customFormat="1" ht="24.95" customHeight="1">
      <c r="A123" s="1134"/>
      <c r="B123" s="1134"/>
      <c r="C123" s="1139" t="s">
        <v>510</v>
      </c>
      <c r="D123" s="1134" t="s">
        <v>508</v>
      </c>
      <c r="E123" s="1134" t="s">
        <v>338</v>
      </c>
      <c r="F123" s="1134">
        <v>13</v>
      </c>
      <c r="G123" s="1112">
        <v>6567</v>
      </c>
      <c r="H123" s="1134"/>
      <c r="I123" s="1134"/>
      <c r="J123" s="1134"/>
      <c r="K123" s="1134"/>
      <c r="L123" s="1134"/>
      <c r="M123" s="1134"/>
      <c r="N123" s="1112">
        <f>G123+H124+I124+L124</f>
        <v>6567</v>
      </c>
      <c r="O123" s="1112">
        <v>1</v>
      </c>
      <c r="P123" s="1112"/>
      <c r="Q123" s="1134"/>
      <c r="R123" s="1134"/>
      <c r="S123" s="1134"/>
      <c r="T123" s="1134">
        <v>27</v>
      </c>
      <c r="U123" s="1138">
        <v>0.3</v>
      </c>
      <c r="V123" s="1112">
        <f>N123*U123</f>
        <v>1970.1</v>
      </c>
      <c r="W123" s="1112"/>
      <c r="X123" s="1112">
        <f>(N123+V123)*O123</f>
        <v>8537.1</v>
      </c>
      <c r="Y123" s="1112">
        <f>AB123</f>
        <v>11462.9</v>
      </c>
      <c r="Z123" s="1112">
        <f>X123+Y123</f>
        <v>20000</v>
      </c>
      <c r="AA123" s="1109">
        <f>20000*O123</f>
        <v>20000</v>
      </c>
      <c r="AB123" s="1109">
        <f>AA123-X123</f>
        <v>11462.9</v>
      </c>
      <c r="AC123" s="1112">
        <f>6500*O123</f>
        <v>6500</v>
      </c>
      <c r="AD123" s="1112">
        <f>X123-AC123</f>
        <v>2037.1000000000004</v>
      </c>
      <c r="AE123" s="436">
        <f t="shared" si="25"/>
        <v>6567</v>
      </c>
      <c r="AF123" s="436">
        <f t="shared" si="26"/>
        <v>0</v>
      </c>
      <c r="AG123" s="436">
        <f t="shared" si="27"/>
        <v>6567</v>
      </c>
      <c r="AH123" s="436">
        <f t="shared" si="28"/>
        <v>0</v>
      </c>
      <c r="AI123" s="436">
        <f t="shared" si="29"/>
        <v>0</v>
      </c>
      <c r="AJ123" s="436">
        <f t="shared" si="29"/>
        <v>0</v>
      </c>
      <c r="AK123" s="437">
        <f t="shared" si="30"/>
        <v>1970.1</v>
      </c>
      <c r="AL123" s="437">
        <f t="shared" si="31"/>
        <v>0</v>
      </c>
      <c r="AM123" s="437">
        <f t="shared" si="32"/>
        <v>0</v>
      </c>
      <c r="AN123" s="437">
        <f t="shared" si="41"/>
        <v>0</v>
      </c>
      <c r="AO123" s="437">
        <f t="shared" si="42"/>
        <v>0</v>
      </c>
      <c r="AP123" s="437">
        <f t="shared" si="35"/>
        <v>6567</v>
      </c>
      <c r="AQ123" s="437">
        <f t="shared" si="35"/>
        <v>0</v>
      </c>
      <c r="AR123" s="436"/>
      <c r="AS123" s="437">
        <f t="shared" si="36"/>
        <v>6567</v>
      </c>
    </row>
    <row r="124" spans="1:45" s="438" customFormat="1" ht="24.95" customHeight="1">
      <c r="A124" s="1134"/>
      <c r="B124" s="1134"/>
      <c r="C124" s="1139"/>
      <c r="D124" s="1134"/>
      <c r="E124" s="1134"/>
      <c r="F124" s="1134"/>
      <c r="G124" s="1112"/>
      <c r="H124" s="1134"/>
      <c r="I124" s="1134"/>
      <c r="J124" s="1134"/>
      <c r="K124" s="1134"/>
      <c r="L124" s="1134"/>
      <c r="M124" s="1134"/>
      <c r="N124" s="1112"/>
      <c r="O124" s="1112"/>
      <c r="P124" s="1112"/>
      <c r="Q124" s="1134"/>
      <c r="R124" s="1134"/>
      <c r="S124" s="1134"/>
      <c r="T124" s="1134"/>
      <c r="U124" s="1138"/>
      <c r="V124" s="1112"/>
      <c r="W124" s="1112"/>
      <c r="X124" s="1112"/>
      <c r="Y124" s="1112"/>
      <c r="Z124" s="1112"/>
      <c r="AA124" s="1109"/>
      <c r="AB124" s="1109"/>
      <c r="AC124" s="1112"/>
      <c r="AD124" s="1112"/>
      <c r="AE124" s="436">
        <f t="shared" si="25"/>
        <v>0</v>
      </c>
      <c r="AF124" s="436">
        <f t="shared" si="26"/>
        <v>0</v>
      </c>
      <c r="AG124" s="436">
        <f t="shared" si="27"/>
        <v>0</v>
      </c>
      <c r="AH124" s="436">
        <f t="shared" si="28"/>
        <v>0</v>
      </c>
      <c r="AI124" s="436">
        <f t="shared" si="29"/>
        <v>0</v>
      </c>
      <c r="AJ124" s="436">
        <f t="shared" si="29"/>
        <v>0</v>
      </c>
      <c r="AK124" s="437">
        <f t="shared" si="30"/>
        <v>0</v>
      </c>
      <c r="AL124" s="437">
        <f t="shared" si="31"/>
        <v>0</v>
      </c>
      <c r="AM124" s="437">
        <f t="shared" si="32"/>
        <v>0</v>
      </c>
      <c r="AN124" s="437">
        <f t="shared" si="41"/>
        <v>0</v>
      </c>
      <c r="AO124" s="437">
        <f t="shared" si="42"/>
        <v>0</v>
      </c>
      <c r="AP124" s="437">
        <f t="shared" si="35"/>
        <v>0</v>
      </c>
      <c r="AQ124" s="437">
        <f t="shared" si="35"/>
        <v>0</v>
      </c>
      <c r="AR124" s="436"/>
      <c r="AS124" s="437">
        <f t="shared" si="36"/>
        <v>0</v>
      </c>
    </row>
    <row r="125" spans="1:45" s="438" customFormat="1" ht="24.95" customHeight="1">
      <c r="A125" s="1134"/>
      <c r="B125" s="1134"/>
      <c r="C125" s="1139" t="s">
        <v>510</v>
      </c>
      <c r="D125" s="1134" t="s">
        <v>470</v>
      </c>
      <c r="E125" s="1134" t="s">
        <v>471</v>
      </c>
      <c r="F125" s="1134">
        <v>13</v>
      </c>
      <c r="G125" s="1112">
        <v>6567</v>
      </c>
      <c r="H125" s="1112"/>
      <c r="I125" s="1112"/>
      <c r="J125" s="1112"/>
      <c r="K125" s="1112"/>
      <c r="L125" s="1112"/>
      <c r="M125" s="1112"/>
      <c r="N125" s="1112">
        <f>G125+H126+I126+L126</f>
        <v>6567</v>
      </c>
      <c r="O125" s="1112">
        <v>1</v>
      </c>
      <c r="P125" s="1112"/>
      <c r="Q125" s="1112"/>
      <c r="R125" s="1112"/>
      <c r="S125" s="1112"/>
      <c r="T125" s="1134">
        <v>21</v>
      </c>
      <c r="U125" s="1138">
        <v>0.3</v>
      </c>
      <c r="V125" s="1112">
        <f>N125*U125</f>
        <v>1970.1</v>
      </c>
      <c r="W125" s="1112"/>
      <c r="X125" s="1112">
        <f>(N125+V125)*O125</f>
        <v>8537.1</v>
      </c>
      <c r="Y125" s="1112">
        <f>AB125</f>
        <v>11462.9</v>
      </c>
      <c r="Z125" s="1112">
        <f>X125+Y125</f>
        <v>20000</v>
      </c>
      <c r="AA125" s="1109">
        <f>20000*O125</f>
        <v>20000</v>
      </c>
      <c r="AB125" s="1109">
        <f>AA125-X125</f>
        <v>11462.9</v>
      </c>
      <c r="AC125" s="1112">
        <f>6500*O125</f>
        <v>6500</v>
      </c>
      <c r="AD125" s="1112">
        <f>X125-AC125</f>
        <v>2037.1000000000004</v>
      </c>
      <c r="AE125" s="436">
        <f>G125*O125</f>
        <v>6567</v>
      </c>
      <c r="AF125" s="436">
        <f>G125*P125</f>
        <v>0</v>
      </c>
      <c r="AG125" s="436">
        <f>N125*O125</f>
        <v>6567</v>
      </c>
      <c r="AH125" s="436">
        <f>N125*P125</f>
        <v>0</v>
      </c>
      <c r="AI125" s="436">
        <f>AG125-AE125</f>
        <v>0</v>
      </c>
      <c r="AJ125" s="436">
        <f>AH125-AF125</f>
        <v>0</v>
      </c>
      <c r="AK125" s="437">
        <f>V125*O125</f>
        <v>1970.1</v>
      </c>
      <c r="AL125" s="437">
        <f>V125*P125</f>
        <v>0</v>
      </c>
      <c r="AM125" s="437">
        <f>W125</f>
        <v>0</v>
      </c>
      <c r="AN125" s="437">
        <f t="shared" si="41"/>
        <v>0</v>
      </c>
      <c r="AO125" s="437">
        <f t="shared" si="42"/>
        <v>0</v>
      </c>
      <c r="AP125" s="437">
        <f t="shared" si="35"/>
        <v>6567</v>
      </c>
      <c r="AQ125" s="437">
        <f t="shared" si="35"/>
        <v>0</v>
      </c>
      <c r="AR125" s="436"/>
      <c r="AS125" s="437">
        <f t="shared" si="36"/>
        <v>6567</v>
      </c>
    </row>
    <row r="126" spans="1:45" s="438" customFormat="1" ht="24.95" customHeight="1">
      <c r="A126" s="1134"/>
      <c r="B126" s="1134"/>
      <c r="C126" s="1139"/>
      <c r="D126" s="1134"/>
      <c r="E126" s="1134"/>
      <c r="F126" s="1134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34"/>
      <c r="U126" s="1138"/>
      <c r="V126" s="1112"/>
      <c r="W126" s="1112"/>
      <c r="X126" s="1112"/>
      <c r="Y126" s="1112"/>
      <c r="Z126" s="1112"/>
      <c r="AA126" s="1109"/>
      <c r="AB126" s="1109"/>
      <c r="AC126" s="1112"/>
      <c r="AD126" s="1112"/>
      <c r="AE126" s="436">
        <f>G126*O126</f>
        <v>0</v>
      </c>
      <c r="AF126" s="436">
        <f>G126*P126</f>
        <v>0</v>
      </c>
      <c r="AG126" s="436">
        <f>N126*O126</f>
        <v>0</v>
      </c>
      <c r="AH126" s="436">
        <f>N126*P126</f>
        <v>0</v>
      </c>
      <c r="AI126" s="436">
        <f>AG126-AE126</f>
        <v>0</v>
      </c>
      <c r="AJ126" s="436">
        <f>AH126-AF126</f>
        <v>0</v>
      </c>
      <c r="AK126" s="437">
        <f>V126*O126</f>
        <v>0</v>
      </c>
      <c r="AL126" s="437">
        <f>V126*P126</f>
        <v>0</v>
      </c>
      <c r="AM126" s="437">
        <f>W126</f>
        <v>0</v>
      </c>
      <c r="AN126" s="437">
        <f t="shared" si="41"/>
        <v>0</v>
      </c>
      <c r="AO126" s="437">
        <f t="shared" si="42"/>
        <v>0</v>
      </c>
      <c r="AP126" s="437">
        <f t="shared" si="35"/>
        <v>0</v>
      </c>
      <c r="AQ126" s="437">
        <f t="shared" si="35"/>
        <v>0</v>
      </c>
      <c r="AR126" s="436"/>
      <c r="AS126" s="437">
        <f t="shared" si="36"/>
        <v>0</v>
      </c>
    </row>
    <row r="127" spans="1:45" s="446" customFormat="1" ht="24.95" customHeight="1">
      <c r="A127" s="441"/>
      <c r="B127" s="441"/>
      <c r="C127" s="442" t="s">
        <v>318</v>
      </c>
      <c r="D127" s="443"/>
      <c r="E127" s="441"/>
      <c r="F127" s="441"/>
      <c r="G127" s="444">
        <f>SUM(G123:G126)</f>
        <v>13134</v>
      </c>
      <c r="H127" s="444"/>
      <c r="I127" s="441"/>
      <c r="J127" s="441"/>
      <c r="K127" s="441"/>
      <c r="L127" s="441"/>
      <c r="M127" s="441"/>
      <c r="N127" s="444">
        <f>SUM(N123:N126)</f>
        <v>13134</v>
      </c>
      <c r="O127" s="444">
        <f>SUM(O123:O126)</f>
        <v>2</v>
      </c>
      <c r="P127" s="444">
        <f>SUM(P123:P126)</f>
        <v>0</v>
      </c>
      <c r="Q127" s="444"/>
      <c r="R127" s="444"/>
      <c r="S127" s="444"/>
      <c r="T127" s="444"/>
      <c r="U127" s="444"/>
      <c r="V127" s="444">
        <f t="shared" ref="V127:AD127" si="47">SUM(V123:V126)</f>
        <v>3940.2</v>
      </c>
      <c r="W127" s="444">
        <f t="shared" si="47"/>
        <v>0</v>
      </c>
      <c r="X127" s="444">
        <f t="shared" si="47"/>
        <v>17074.2</v>
      </c>
      <c r="Y127" s="444">
        <f t="shared" si="47"/>
        <v>22925.8</v>
      </c>
      <c r="Z127" s="444">
        <f t="shared" si="47"/>
        <v>40000</v>
      </c>
      <c r="AA127" s="499">
        <f t="shared" si="47"/>
        <v>40000</v>
      </c>
      <c r="AB127" s="499">
        <f t="shared" si="47"/>
        <v>22925.8</v>
      </c>
      <c r="AC127" s="444">
        <f t="shared" si="47"/>
        <v>13000</v>
      </c>
      <c r="AD127" s="444">
        <f t="shared" si="47"/>
        <v>4074.2000000000007</v>
      </c>
      <c r="AE127" s="436"/>
      <c r="AF127" s="436"/>
      <c r="AG127" s="436"/>
      <c r="AH127" s="436"/>
      <c r="AI127" s="436"/>
      <c r="AJ127" s="436"/>
      <c r="AK127" s="437"/>
      <c r="AL127" s="437"/>
      <c r="AM127" s="437"/>
      <c r="AN127" s="437"/>
      <c r="AO127" s="437"/>
      <c r="AP127" s="437">
        <f t="shared" si="35"/>
        <v>0</v>
      </c>
      <c r="AQ127" s="437">
        <f t="shared" si="35"/>
        <v>0</v>
      </c>
      <c r="AR127" s="436"/>
      <c r="AS127" s="437">
        <f t="shared" si="36"/>
        <v>0</v>
      </c>
    </row>
    <row r="128" spans="1:45" s="446" customFormat="1" ht="24.95" customHeight="1">
      <c r="A128" s="441"/>
      <c r="B128" s="441"/>
      <c r="C128" s="1136" t="s">
        <v>1029</v>
      </c>
      <c r="D128" s="1136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  <c r="Y128" s="441"/>
      <c r="Z128" s="441"/>
      <c r="AA128" s="503"/>
      <c r="AB128" s="503"/>
      <c r="AC128" s="441"/>
      <c r="AD128" s="441"/>
      <c r="AE128" s="436">
        <f t="shared" si="25"/>
        <v>0</v>
      </c>
      <c r="AF128" s="436">
        <f t="shared" si="26"/>
        <v>0</v>
      </c>
      <c r="AG128" s="436">
        <f t="shared" si="27"/>
        <v>0</v>
      </c>
      <c r="AH128" s="436">
        <f t="shared" si="28"/>
        <v>0</v>
      </c>
      <c r="AI128" s="436">
        <f t="shared" si="29"/>
        <v>0</v>
      </c>
      <c r="AJ128" s="436">
        <f t="shared" si="29"/>
        <v>0</v>
      </c>
      <c r="AK128" s="437">
        <f t="shared" si="30"/>
        <v>0</v>
      </c>
      <c r="AL128" s="437">
        <f t="shared" si="31"/>
        <v>0</v>
      </c>
      <c r="AM128" s="437">
        <f t="shared" si="32"/>
        <v>0</v>
      </c>
      <c r="AN128" s="437">
        <f>S128*O128</f>
        <v>0</v>
      </c>
      <c r="AO128" s="437">
        <f>S128*P128</f>
        <v>0</v>
      </c>
      <c r="AP128" s="437">
        <f t="shared" si="35"/>
        <v>0</v>
      </c>
      <c r="AQ128" s="437">
        <f t="shared" si="35"/>
        <v>0</v>
      </c>
      <c r="AR128" s="436"/>
      <c r="AS128" s="437">
        <f t="shared" si="36"/>
        <v>0</v>
      </c>
    </row>
    <row r="129" spans="1:45" s="438" customFormat="1" ht="24.95" customHeight="1">
      <c r="A129" s="1134"/>
      <c r="B129" s="1134"/>
      <c r="C129" s="1139" t="s">
        <v>511</v>
      </c>
      <c r="D129" s="1134" t="s">
        <v>512</v>
      </c>
      <c r="E129" s="1134" t="s">
        <v>513</v>
      </c>
      <c r="F129" s="1134">
        <v>13</v>
      </c>
      <c r="G129" s="1112">
        <v>6567</v>
      </c>
      <c r="H129" s="435">
        <v>0.1</v>
      </c>
      <c r="I129" s="1134"/>
      <c r="J129" s="1134"/>
      <c r="K129" s="1134"/>
      <c r="L129" s="1134"/>
      <c r="M129" s="1134"/>
      <c r="N129" s="1112">
        <f>G129+H130+I130+L130</f>
        <v>7223.7</v>
      </c>
      <c r="O129" s="1112">
        <v>1</v>
      </c>
      <c r="P129" s="1112"/>
      <c r="Q129" s="1134"/>
      <c r="R129" s="1134"/>
      <c r="S129" s="1134"/>
      <c r="T129" s="1134">
        <v>32</v>
      </c>
      <c r="U129" s="1138">
        <v>0.3</v>
      </c>
      <c r="V129" s="1112">
        <f>N129*U129</f>
        <v>2167.1099999999997</v>
      </c>
      <c r="W129" s="1112"/>
      <c r="X129" s="1112">
        <f>N129+V129</f>
        <v>9390.81</v>
      </c>
      <c r="Y129" s="1112">
        <f>AB129</f>
        <v>10609.19</v>
      </c>
      <c r="Z129" s="1112">
        <f>X129+Y129</f>
        <v>20000</v>
      </c>
      <c r="AA129" s="1109">
        <f>20000*O129</f>
        <v>20000</v>
      </c>
      <c r="AB129" s="1109">
        <f>AA129-X129</f>
        <v>10609.19</v>
      </c>
      <c r="AC129" s="1112">
        <f>6500*O129</f>
        <v>6500</v>
      </c>
      <c r="AD129" s="1112">
        <f>X129-AC129</f>
        <v>2890.8099999999995</v>
      </c>
      <c r="AE129" s="436">
        <f t="shared" si="25"/>
        <v>6567</v>
      </c>
      <c r="AF129" s="436">
        <f t="shared" si="26"/>
        <v>0</v>
      </c>
      <c r="AG129" s="436">
        <f t="shared" si="27"/>
        <v>7223.7</v>
      </c>
      <c r="AH129" s="436">
        <f t="shared" si="28"/>
        <v>0</v>
      </c>
      <c r="AI129" s="436">
        <f t="shared" si="29"/>
        <v>656.69999999999982</v>
      </c>
      <c r="AJ129" s="436">
        <f t="shared" si="29"/>
        <v>0</v>
      </c>
      <c r="AK129" s="437">
        <f t="shared" si="30"/>
        <v>2167.1099999999997</v>
      </c>
      <c r="AL129" s="437">
        <f t="shared" si="31"/>
        <v>0</v>
      </c>
      <c r="AM129" s="437">
        <f t="shared" si="32"/>
        <v>0</v>
      </c>
      <c r="AN129" s="437">
        <f>S129*O129</f>
        <v>0</v>
      </c>
      <c r="AO129" s="437">
        <f>S129*P129</f>
        <v>0</v>
      </c>
      <c r="AP129" s="437">
        <f t="shared" si="35"/>
        <v>7223.7</v>
      </c>
      <c r="AQ129" s="437">
        <f t="shared" si="35"/>
        <v>0</v>
      </c>
      <c r="AR129" s="436"/>
      <c r="AS129" s="437">
        <f t="shared" si="36"/>
        <v>7223.7</v>
      </c>
    </row>
    <row r="130" spans="1:45" s="438" customFormat="1" ht="24.95" customHeight="1">
      <c r="A130" s="1134"/>
      <c r="B130" s="1134"/>
      <c r="C130" s="1139"/>
      <c r="D130" s="1134"/>
      <c r="E130" s="1134"/>
      <c r="F130" s="1134"/>
      <c r="G130" s="1112"/>
      <c r="H130" s="439">
        <f>G129*H129</f>
        <v>656.7</v>
      </c>
      <c r="I130" s="1134"/>
      <c r="J130" s="1134"/>
      <c r="K130" s="1134"/>
      <c r="L130" s="1134"/>
      <c r="M130" s="1134"/>
      <c r="N130" s="1112"/>
      <c r="O130" s="1112"/>
      <c r="P130" s="1112"/>
      <c r="Q130" s="1134"/>
      <c r="R130" s="1134"/>
      <c r="S130" s="1134"/>
      <c r="T130" s="1134"/>
      <c r="U130" s="1138"/>
      <c r="V130" s="1112"/>
      <c r="W130" s="1112"/>
      <c r="X130" s="1112"/>
      <c r="Y130" s="1112"/>
      <c r="Z130" s="1112"/>
      <c r="AA130" s="1109"/>
      <c r="AB130" s="1109"/>
      <c r="AC130" s="1112"/>
      <c r="AD130" s="1112"/>
      <c r="AE130" s="436">
        <f t="shared" si="25"/>
        <v>0</v>
      </c>
      <c r="AF130" s="436">
        <f t="shared" si="26"/>
        <v>0</v>
      </c>
      <c r="AG130" s="436">
        <f t="shared" si="27"/>
        <v>0</v>
      </c>
      <c r="AH130" s="436">
        <f t="shared" si="28"/>
        <v>0</v>
      </c>
      <c r="AI130" s="436">
        <f t="shared" si="29"/>
        <v>0</v>
      </c>
      <c r="AJ130" s="436">
        <f t="shared" si="29"/>
        <v>0</v>
      </c>
      <c r="AK130" s="437">
        <f t="shared" si="30"/>
        <v>0</v>
      </c>
      <c r="AL130" s="437">
        <f t="shared" si="31"/>
        <v>0</v>
      </c>
      <c r="AM130" s="437">
        <f t="shared" si="32"/>
        <v>0</v>
      </c>
      <c r="AN130" s="437">
        <f>S130*O130</f>
        <v>0</v>
      </c>
      <c r="AO130" s="437">
        <f>S130*P130</f>
        <v>0</v>
      </c>
      <c r="AP130" s="437">
        <f t="shared" si="35"/>
        <v>0</v>
      </c>
      <c r="AQ130" s="437">
        <f t="shared" si="35"/>
        <v>0</v>
      </c>
      <c r="AR130" s="436"/>
      <c r="AS130" s="437">
        <f t="shared" si="36"/>
        <v>0</v>
      </c>
    </row>
    <row r="131" spans="1:45" s="438" customFormat="1" ht="24.95" customHeight="1">
      <c r="A131" s="1134"/>
      <c r="B131" s="1134"/>
      <c r="C131" s="1139" t="s">
        <v>514</v>
      </c>
      <c r="D131" s="1134" t="s">
        <v>1030</v>
      </c>
      <c r="E131" s="1134" t="s">
        <v>515</v>
      </c>
      <c r="F131" s="1134">
        <v>12</v>
      </c>
      <c r="G131" s="1112">
        <v>6133</v>
      </c>
      <c r="H131" s="1112"/>
      <c r="I131" s="1112"/>
      <c r="J131" s="1112"/>
      <c r="K131" s="1112"/>
      <c r="L131" s="1112"/>
      <c r="M131" s="1112"/>
      <c r="N131" s="1112">
        <f>G131+H132+I132+L132</f>
        <v>6133</v>
      </c>
      <c r="O131" s="1112">
        <v>1</v>
      </c>
      <c r="P131" s="1112"/>
      <c r="Q131" s="1112"/>
      <c r="R131" s="1112"/>
      <c r="S131" s="1112"/>
      <c r="T131" s="1134">
        <v>41</v>
      </c>
      <c r="U131" s="1138">
        <v>0.3</v>
      </c>
      <c r="V131" s="1112">
        <f>N131*U131</f>
        <v>1839.8999999999999</v>
      </c>
      <c r="W131" s="1112"/>
      <c r="X131" s="1112">
        <f>(N131+V131)*O131</f>
        <v>7972.9</v>
      </c>
      <c r="Y131" s="1112">
        <f>AB131</f>
        <v>12027.1</v>
      </c>
      <c r="Z131" s="1112">
        <f>X131+Y131</f>
        <v>20000</v>
      </c>
      <c r="AA131" s="1109">
        <f>20000*O131</f>
        <v>20000</v>
      </c>
      <c r="AB131" s="1109">
        <f>AA131-X131</f>
        <v>12027.1</v>
      </c>
      <c r="AC131" s="1112">
        <f>6500*O131</f>
        <v>6500</v>
      </c>
      <c r="AD131" s="1112">
        <f>X131-AC131</f>
        <v>1472.8999999999996</v>
      </c>
      <c r="AE131" s="436">
        <f t="shared" si="25"/>
        <v>6133</v>
      </c>
      <c r="AF131" s="436">
        <f t="shared" si="26"/>
        <v>0</v>
      </c>
      <c r="AG131" s="436">
        <f t="shared" si="27"/>
        <v>6133</v>
      </c>
      <c r="AH131" s="436">
        <f t="shared" si="28"/>
        <v>0</v>
      </c>
      <c r="AI131" s="436">
        <f t="shared" si="29"/>
        <v>0</v>
      </c>
      <c r="AJ131" s="436">
        <f t="shared" si="29"/>
        <v>0</v>
      </c>
      <c r="AK131" s="437">
        <f t="shared" si="30"/>
        <v>1839.8999999999999</v>
      </c>
      <c r="AL131" s="437">
        <f t="shared" si="31"/>
        <v>0</v>
      </c>
      <c r="AM131" s="437">
        <f t="shared" si="32"/>
        <v>0</v>
      </c>
      <c r="AN131" s="437">
        <f>S131*O131</f>
        <v>0</v>
      </c>
      <c r="AO131" s="437">
        <f>S131*P131</f>
        <v>0</v>
      </c>
      <c r="AP131" s="437">
        <f t="shared" si="35"/>
        <v>6133</v>
      </c>
      <c r="AQ131" s="437">
        <f t="shared" si="35"/>
        <v>0</v>
      </c>
      <c r="AR131" s="436"/>
      <c r="AS131" s="437">
        <f t="shared" si="36"/>
        <v>6133</v>
      </c>
    </row>
    <row r="132" spans="1:45" s="438" customFormat="1" ht="24.95" customHeight="1">
      <c r="A132" s="1134"/>
      <c r="B132" s="1134"/>
      <c r="C132" s="1139"/>
      <c r="D132" s="1134"/>
      <c r="E132" s="1134"/>
      <c r="F132" s="1134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34"/>
      <c r="U132" s="1138"/>
      <c r="V132" s="1112"/>
      <c r="W132" s="1112"/>
      <c r="X132" s="1112"/>
      <c r="Y132" s="1112"/>
      <c r="Z132" s="1112"/>
      <c r="AA132" s="1109"/>
      <c r="AB132" s="1109"/>
      <c r="AC132" s="1112"/>
      <c r="AD132" s="1112"/>
      <c r="AE132" s="436">
        <f t="shared" si="25"/>
        <v>0</v>
      </c>
      <c r="AF132" s="436">
        <f t="shared" si="26"/>
        <v>0</v>
      </c>
      <c r="AG132" s="436">
        <f t="shared" si="27"/>
        <v>0</v>
      </c>
      <c r="AH132" s="436">
        <f t="shared" si="28"/>
        <v>0</v>
      </c>
      <c r="AI132" s="436">
        <f t="shared" si="29"/>
        <v>0</v>
      </c>
      <c r="AJ132" s="436">
        <f t="shared" si="29"/>
        <v>0</v>
      </c>
      <c r="AK132" s="437">
        <f t="shared" si="30"/>
        <v>0</v>
      </c>
      <c r="AL132" s="437">
        <f t="shared" si="31"/>
        <v>0</v>
      </c>
      <c r="AM132" s="437">
        <f t="shared" si="32"/>
        <v>0</v>
      </c>
      <c r="AN132" s="437">
        <f t="shared" ref="AN132:AN192" si="48">S132*O132</f>
        <v>0</v>
      </c>
      <c r="AO132" s="437">
        <f t="shared" ref="AO132:AO192" si="49">S132*P132</f>
        <v>0</v>
      </c>
      <c r="AP132" s="437">
        <f t="shared" si="35"/>
        <v>0</v>
      </c>
      <c r="AQ132" s="437">
        <f t="shared" si="35"/>
        <v>0</v>
      </c>
      <c r="AR132" s="436"/>
      <c r="AS132" s="437">
        <f t="shared" si="36"/>
        <v>0</v>
      </c>
    </row>
    <row r="133" spans="1:45" s="446" customFormat="1" ht="24.95" customHeight="1">
      <c r="A133" s="441"/>
      <c r="B133" s="441"/>
      <c r="C133" s="442" t="s">
        <v>318</v>
      </c>
      <c r="D133" s="443"/>
      <c r="E133" s="441"/>
      <c r="F133" s="441"/>
      <c r="G133" s="444">
        <f>SUM(G129:G132)</f>
        <v>12700</v>
      </c>
      <c r="H133" s="444">
        <f>H130</f>
        <v>656.7</v>
      </c>
      <c r="I133" s="441"/>
      <c r="J133" s="441"/>
      <c r="K133" s="441"/>
      <c r="L133" s="441"/>
      <c r="M133" s="441"/>
      <c r="N133" s="444">
        <f>SUM(N129:N131)</f>
        <v>13356.7</v>
      </c>
      <c r="O133" s="444">
        <f>SUM(O129:O131)</f>
        <v>2</v>
      </c>
      <c r="P133" s="444">
        <f>SUM(P129:P131)</f>
        <v>0</v>
      </c>
      <c r="Q133" s="444"/>
      <c r="R133" s="444"/>
      <c r="S133" s="444"/>
      <c r="T133" s="444"/>
      <c r="U133" s="444"/>
      <c r="V133" s="444">
        <f t="shared" ref="V133:AD133" si="50">SUM(V129:V131)</f>
        <v>4007.0099999999993</v>
      </c>
      <c r="W133" s="444">
        <f t="shared" si="50"/>
        <v>0</v>
      </c>
      <c r="X133" s="444">
        <f t="shared" si="50"/>
        <v>17363.71</v>
      </c>
      <c r="Y133" s="444">
        <f t="shared" si="50"/>
        <v>22636.29</v>
      </c>
      <c r="Z133" s="444">
        <f t="shared" si="50"/>
        <v>40000</v>
      </c>
      <c r="AA133" s="499">
        <f t="shared" si="50"/>
        <v>40000</v>
      </c>
      <c r="AB133" s="499">
        <f t="shared" si="50"/>
        <v>22636.29</v>
      </c>
      <c r="AC133" s="444">
        <f t="shared" si="50"/>
        <v>13000</v>
      </c>
      <c r="AD133" s="444">
        <f t="shared" si="50"/>
        <v>4363.7099999999991</v>
      </c>
      <c r="AE133" s="436"/>
      <c r="AF133" s="436"/>
      <c r="AG133" s="436"/>
      <c r="AH133" s="436"/>
      <c r="AI133" s="436"/>
      <c r="AJ133" s="436"/>
      <c r="AK133" s="437"/>
      <c r="AL133" s="437"/>
      <c r="AM133" s="437"/>
      <c r="AN133" s="437"/>
      <c r="AO133" s="437"/>
      <c r="AP133" s="437">
        <f t="shared" si="35"/>
        <v>0</v>
      </c>
      <c r="AQ133" s="437">
        <f t="shared" si="35"/>
        <v>0</v>
      </c>
      <c r="AR133" s="436"/>
      <c r="AS133" s="437">
        <f t="shared" si="36"/>
        <v>0</v>
      </c>
    </row>
    <row r="134" spans="1:45" s="446" customFormat="1" ht="24.95" customHeight="1">
      <c r="A134" s="441"/>
      <c r="B134" s="441"/>
      <c r="C134" s="1136" t="s">
        <v>1031</v>
      </c>
      <c r="D134" s="1136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503"/>
      <c r="AB134" s="503"/>
      <c r="AC134" s="441"/>
      <c r="AD134" s="441"/>
      <c r="AE134" s="436">
        <f t="shared" si="25"/>
        <v>0</v>
      </c>
      <c r="AF134" s="436">
        <f t="shared" si="26"/>
        <v>0</v>
      </c>
      <c r="AG134" s="436">
        <f t="shared" si="27"/>
        <v>0</v>
      </c>
      <c r="AH134" s="436">
        <f t="shared" si="28"/>
        <v>0</v>
      </c>
      <c r="AI134" s="436">
        <f t="shared" si="29"/>
        <v>0</v>
      </c>
      <c r="AJ134" s="436">
        <f t="shared" si="29"/>
        <v>0</v>
      </c>
      <c r="AK134" s="437">
        <f t="shared" si="30"/>
        <v>0</v>
      </c>
      <c r="AL134" s="437">
        <f t="shared" si="31"/>
        <v>0</v>
      </c>
      <c r="AM134" s="437">
        <f t="shared" si="32"/>
        <v>0</v>
      </c>
      <c r="AN134" s="437">
        <f t="shared" si="48"/>
        <v>0</v>
      </c>
      <c r="AO134" s="437">
        <f t="shared" si="49"/>
        <v>0</v>
      </c>
      <c r="AP134" s="437">
        <f t="shared" si="35"/>
        <v>0</v>
      </c>
      <c r="AQ134" s="437">
        <f t="shared" si="35"/>
        <v>0</v>
      </c>
      <c r="AR134" s="436"/>
      <c r="AS134" s="437">
        <f t="shared" si="36"/>
        <v>0</v>
      </c>
    </row>
    <row r="135" spans="1:45" s="438" customFormat="1" ht="24.95" customHeight="1">
      <c r="A135" s="1134"/>
      <c r="B135" s="1134"/>
      <c r="C135" s="1139" t="s">
        <v>516</v>
      </c>
      <c r="D135" s="1134" t="s">
        <v>1032</v>
      </c>
      <c r="E135" s="1134" t="s">
        <v>507</v>
      </c>
      <c r="F135" s="1134">
        <v>11</v>
      </c>
      <c r="G135" s="1112">
        <v>5699</v>
      </c>
      <c r="H135" s="435">
        <v>0.1</v>
      </c>
      <c r="I135" s="1134"/>
      <c r="J135" s="1134"/>
      <c r="K135" s="1134"/>
      <c r="L135" s="1134"/>
      <c r="M135" s="1134"/>
      <c r="N135" s="1112">
        <f>G135+H136+I136+L136</f>
        <v>6268.9</v>
      </c>
      <c r="O135" s="1112">
        <v>1</v>
      </c>
      <c r="P135" s="1134"/>
      <c r="Q135" s="1134"/>
      <c r="R135" s="1134"/>
      <c r="S135" s="1134"/>
      <c r="T135" s="1134">
        <v>6</v>
      </c>
      <c r="U135" s="1138">
        <v>0.1</v>
      </c>
      <c r="V135" s="1112">
        <f>N135*U135</f>
        <v>626.89</v>
      </c>
      <c r="W135" s="1112"/>
      <c r="X135" s="1112">
        <f>N135+V135+W135</f>
        <v>6895.79</v>
      </c>
      <c r="Y135" s="1112">
        <f>AB135</f>
        <v>13104.21</v>
      </c>
      <c r="Z135" s="1112">
        <f>X135+Y135</f>
        <v>20000</v>
      </c>
      <c r="AA135" s="1109">
        <f>20000*O135</f>
        <v>20000</v>
      </c>
      <c r="AB135" s="1109">
        <f>AA135-X135</f>
        <v>13104.21</v>
      </c>
      <c r="AC135" s="1112">
        <f>6500*O135</f>
        <v>6500</v>
      </c>
      <c r="AD135" s="1112">
        <f>X135-AC135</f>
        <v>395.78999999999996</v>
      </c>
      <c r="AE135" s="436">
        <f>G135*O135</f>
        <v>5699</v>
      </c>
      <c r="AF135" s="436">
        <f>G135*P135</f>
        <v>0</v>
      </c>
      <c r="AG135" s="436">
        <f>N135*O135</f>
        <v>6268.9</v>
      </c>
      <c r="AH135" s="436">
        <f>N135*P135</f>
        <v>0</v>
      </c>
      <c r="AI135" s="436">
        <f>AG135-AE135</f>
        <v>569.89999999999964</v>
      </c>
      <c r="AJ135" s="436">
        <f>AH135-AF135</f>
        <v>0</v>
      </c>
      <c r="AK135" s="437">
        <f>V135*O135</f>
        <v>626.89</v>
      </c>
      <c r="AL135" s="437">
        <f>V135*P135</f>
        <v>0</v>
      </c>
      <c r="AM135" s="437">
        <f>W135</f>
        <v>0</v>
      </c>
      <c r="AN135" s="437">
        <f>S135*O135</f>
        <v>0</v>
      </c>
      <c r="AO135" s="437">
        <f>S135*P135</f>
        <v>0</v>
      </c>
      <c r="AP135" s="437">
        <f>AG135</f>
        <v>6268.9</v>
      </c>
      <c r="AQ135" s="437">
        <f>AH135</f>
        <v>0</v>
      </c>
      <c r="AR135" s="436"/>
      <c r="AS135" s="437">
        <f>AP135+AQ135-AR135</f>
        <v>6268.9</v>
      </c>
    </row>
    <row r="136" spans="1:45" s="438" customFormat="1" ht="24.95" customHeight="1">
      <c r="A136" s="1134"/>
      <c r="B136" s="1134"/>
      <c r="C136" s="1139"/>
      <c r="D136" s="1134"/>
      <c r="E136" s="1134"/>
      <c r="F136" s="1134"/>
      <c r="G136" s="1112"/>
      <c r="H136" s="439">
        <f>G135*H135</f>
        <v>569.9</v>
      </c>
      <c r="I136" s="1134"/>
      <c r="J136" s="1134"/>
      <c r="K136" s="1134"/>
      <c r="L136" s="1134"/>
      <c r="M136" s="1134"/>
      <c r="N136" s="1112"/>
      <c r="O136" s="1165"/>
      <c r="P136" s="1134"/>
      <c r="Q136" s="1134"/>
      <c r="R136" s="1134"/>
      <c r="S136" s="1134"/>
      <c r="T136" s="1134"/>
      <c r="U136" s="1138"/>
      <c r="V136" s="1112"/>
      <c r="W136" s="1112"/>
      <c r="X136" s="1112"/>
      <c r="Y136" s="1112"/>
      <c r="Z136" s="1112"/>
      <c r="AA136" s="1109"/>
      <c r="AB136" s="1109"/>
      <c r="AC136" s="1112"/>
      <c r="AD136" s="1112"/>
      <c r="AE136" s="436">
        <f>G136*O136</f>
        <v>0</v>
      </c>
      <c r="AF136" s="436">
        <f>G136*P136</f>
        <v>0</v>
      </c>
      <c r="AG136" s="436">
        <f>N136*O136</f>
        <v>0</v>
      </c>
      <c r="AH136" s="436">
        <f>N136*P136</f>
        <v>0</v>
      </c>
      <c r="AI136" s="436">
        <f>AG136-AE136</f>
        <v>0</v>
      </c>
      <c r="AJ136" s="436">
        <f>AH136-AF136</f>
        <v>0</v>
      </c>
      <c r="AK136" s="437">
        <f>V136*O136</f>
        <v>0</v>
      </c>
      <c r="AL136" s="437">
        <f>V136*P136</f>
        <v>0</v>
      </c>
      <c r="AM136" s="437">
        <f>W136</f>
        <v>0</v>
      </c>
      <c r="AN136" s="437">
        <f>S136*O136</f>
        <v>0</v>
      </c>
      <c r="AO136" s="437">
        <f>S136*P136</f>
        <v>0</v>
      </c>
      <c r="AP136" s="437">
        <f>AG136</f>
        <v>0</v>
      </c>
      <c r="AQ136" s="437">
        <f>AH136</f>
        <v>0</v>
      </c>
      <c r="AR136" s="436"/>
      <c r="AS136" s="437">
        <f>AP136+AQ136-AR136</f>
        <v>0</v>
      </c>
    </row>
    <row r="137" spans="1:45" s="438" customFormat="1" ht="24.95" customHeight="1">
      <c r="A137" s="1134"/>
      <c r="B137" s="1134"/>
      <c r="C137" s="1139" t="s">
        <v>506</v>
      </c>
      <c r="D137" s="1134" t="s">
        <v>1033</v>
      </c>
      <c r="E137" s="1134" t="s">
        <v>554</v>
      </c>
      <c r="F137" s="1134">
        <v>10</v>
      </c>
      <c r="G137" s="1112">
        <v>5265</v>
      </c>
      <c r="H137" s="1134"/>
      <c r="I137" s="1134"/>
      <c r="J137" s="1134"/>
      <c r="K137" s="1134"/>
      <c r="L137" s="1134"/>
      <c r="M137" s="1134"/>
      <c r="N137" s="1112">
        <f>G137+H138+I138+L138</f>
        <v>5265</v>
      </c>
      <c r="O137" s="1112">
        <v>1</v>
      </c>
      <c r="P137" s="1134"/>
      <c r="Q137" s="1134"/>
      <c r="R137" s="1134"/>
      <c r="S137" s="1134"/>
      <c r="T137" s="1134">
        <v>2</v>
      </c>
      <c r="U137" s="1138">
        <v>0</v>
      </c>
      <c r="V137" s="1112">
        <f>N137*U137</f>
        <v>0</v>
      </c>
      <c r="W137" s="1112">
        <v>1235</v>
      </c>
      <c r="X137" s="1112">
        <f>N137+V137+W137</f>
        <v>6500</v>
      </c>
      <c r="Y137" s="1112">
        <f>AB137</f>
        <v>13500</v>
      </c>
      <c r="Z137" s="1112">
        <f>X137+Y137</f>
        <v>20000</v>
      </c>
      <c r="AA137" s="1109">
        <f>20000*O137</f>
        <v>20000</v>
      </c>
      <c r="AB137" s="1109">
        <f>AA137-X137</f>
        <v>13500</v>
      </c>
      <c r="AC137" s="1112">
        <f>6500*O137</f>
        <v>6500</v>
      </c>
      <c r="AD137" s="1112">
        <f>X137-AC137</f>
        <v>0</v>
      </c>
      <c r="AE137" s="436">
        <f t="shared" si="25"/>
        <v>5265</v>
      </c>
      <c r="AF137" s="436">
        <f t="shared" si="26"/>
        <v>0</v>
      </c>
      <c r="AG137" s="436">
        <f t="shared" si="27"/>
        <v>5265</v>
      </c>
      <c r="AH137" s="436">
        <f t="shared" si="28"/>
        <v>0</v>
      </c>
      <c r="AI137" s="436">
        <f t="shared" si="29"/>
        <v>0</v>
      </c>
      <c r="AJ137" s="436">
        <f t="shared" si="29"/>
        <v>0</v>
      </c>
      <c r="AK137" s="437">
        <f t="shared" si="30"/>
        <v>0</v>
      </c>
      <c r="AL137" s="437">
        <f t="shared" si="31"/>
        <v>0</v>
      </c>
      <c r="AM137" s="437">
        <f t="shared" si="32"/>
        <v>1235</v>
      </c>
      <c r="AN137" s="437">
        <f t="shared" si="48"/>
        <v>0</v>
      </c>
      <c r="AO137" s="437">
        <f t="shared" si="49"/>
        <v>0</v>
      </c>
      <c r="AP137" s="437">
        <f t="shared" si="35"/>
        <v>5265</v>
      </c>
      <c r="AQ137" s="437">
        <f t="shared" si="35"/>
        <v>0</v>
      </c>
      <c r="AR137" s="436"/>
      <c r="AS137" s="437">
        <f t="shared" si="36"/>
        <v>5265</v>
      </c>
    </row>
    <row r="138" spans="1:45" s="438" customFormat="1" ht="24.95" customHeight="1">
      <c r="A138" s="1134"/>
      <c r="B138" s="1134"/>
      <c r="C138" s="1139"/>
      <c r="D138" s="1134"/>
      <c r="E138" s="1134"/>
      <c r="F138" s="1134"/>
      <c r="G138" s="1112"/>
      <c r="H138" s="1134"/>
      <c r="I138" s="1134"/>
      <c r="J138" s="1134"/>
      <c r="K138" s="1134"/>
      <c r="L138" s="1134"/>
      <c r="M138" s="1134"/>
      <c r="N138" s="1112"/>
      <c r="O138" s="1165"/>
      <c r="P138" s="1134"/>
      <c r="Q138" s="1134"/>
      <c r="R138" s="1134"/>
      <c r="S138" s="1134"/>
      <c r="T138" s="1134"/>
      <c r="U138" s="1138"/>
      <c r="V138" s="1112"/>
      <c r="W138" s="1112"/>
      <c r="X138" s="1112"/>
      <c r="Y138" s="1112"/>
      <c r="Z138" s="1112"/>
      <c r="AA138" s="1109"/>
      <c r="AB138" s="1109"/>
      <c r="AC138" s="1112"/>
      <c r="AD138" s="1112"/>
      <c r="AE138" s="436">
        <f t="shared" si="25"/>
        <v>0</v>
      </c>
      <c r="AF138" s="436">
        <f t="shared" si="26"/>
        <v>0</v>
      </c>
      <c r="AG138" s="436">
        <f t="shared" si="27"/>
        <v>0</v>
      </c>
      <c r="AH138" s="436">
        <f t="shared" si="28"/>
        <v>0</v>
      </c>
      <c r="AI138" s="436">
        <f t="shared" si="29"/>
        <v>0</v>
      </c>
      <c r="AJ138" s="436">
        <f t="shared" si="29"/>
        <v>0</v>
      </c>
      <c r="AK138" s="437">
        <f t="shared" si="30"/>
        <v>0</v>
      </c>
      <c r="AL138" s="437">
        <f t="shared" si="31"/>
        <v>0</v>
      </c>
      <c r="AM138" s="437">
        <f t="shared" si="32"/>
        <v>0</v>
      </c>
      <c r="AN138" s="437">
        <f t="shared" si="48"/>
        <v>0</v>
      </c>
      <c r="AO138" s="437">
        <f t="shared" si="49"/>
        <v>0</v>
      </c>
      <c r="AP138" s="437">
        <f t="shared" si="35"/>
        <v>0</v>
      </c>
      <c r="AQ138" s="437">
        <f t="shared" si="35"/>
        <v>0</v>
      </c>
      <c r="AR138" s="436"/>
      <c r="AS138" s="437">
        <f t="shared" si="36"/>
        <v>0</v>
      </c>
    </row>
    <row r="139" spans="1:45" s="446" customFormat="1" ht="24.95" customHeight="1">
      <c r="A139" s="441"/>
      <c r="B139" s="441"/>
      <c r="C139" s="442" t="s">
        <v>318</v>
      </c>
      <c r="D139" s="443"/>
      <c r="E139" s="441"/>
      <c r="F139" s="441"/>
      <c r="G139" s="444">
        <f>SUM(G135:G138)</f>
        <v>10964</v>
      </c>
      <c r="H139" s="444">
        <f>SUM(H135:H138)</f>
        <v>570</v>
      </c>
      <c r="I139" s="441"/>
      <c r="J139" s="441"/>
      <c r="K139" s="441"/>
      <c r="L139" s="441"/>
      <c r="M139" s="441"/>
      <c r="N139" s="444">
        <f>SUM(N135:N138)</f>
        <v>11533.9</v>
      </c>
      <c r="O139" s="444">
        <f>SUM(O135:O138)</f>
        <v>2</v>
      </c>
      <c r="P139" s="444">
        <f>SUM(P135:P138)</f>
        <v>0</v>
      </c>
      <c r="Q139" s="444"/>
      <c r="R139" s="444"/>
      <c r="S139" s="444"/>
      <c r="T139" s="444"/>
      <c r="U139" s="444"/>
      <c r="V139" s="444">
        <f t="shared" ref="V139:AD139" si="51">SUM(V135:V138)</f>
        <v>626.89</v>
      </c>
      <c r="W139" s="444">
        <f t="shared" si="51"/>
        <v>1235</v>
      </c>
      <c r="X139" s="444">
        <f t="shared" si="51"/>
        <v>13395.79</v>
      </c>
      <c r="Y139" s="444">
        <f t="shared" si="51"/>
        <v>26604.21</v>
      </c>
      <c r="Z139" s="444">
        <f t="shared" si="51"/>
        <v>40000</v>
      </c>
      <c r="AA139" s="499">
        <f t="shared" si="51"/>
        <v>40000</v>
      </c>
      <c r="AB139" s="499">
        <f t="shared" si="51"/>
        <v>26604.21</v>
      </c>
      <c r="AC139" s="444">
        <f t="shared" si="51"/>
        <v>13000</v>
      </c>
      <c r="AD139" s="444">
        <f t="shared" si="51"/>
        <v>395.78999999999996</v>
      </c>
      <c r="AE139" s="436"/>
      <c r="AF139" s="436"/>
      <c r="AG139" s="436"/>
      <c r="AH139" s="436"/>
      <c r="AI139" s="436"/>
      <c r="AJ139" s="436"/>
      <c r="AK139" s="437"/>
      <c r="AL139" s="437"/>
      <c r="AM139" s="437"/>
      <c r="AN139" s="437"/>
      <c r="AO139" s="437"/>
      <c r="AP139" s="437">
        <f t="shared" si="35"/>
        <v>0</v>
      </c>
      <c r="AQ139" s="437">
        <f t="shared" si="35"/>
        <v>0</v>
      </c>
      <c r="AR139" s="436"/>
      <c r="AS139" s="437">
        <f t="shared" si="36"/>
        <v>0</v>
      </c>
    </row>
    <row r="140" spans="1:45" s="446" customFormat="1" ht="24.95" customHeight="1">
      <c r="A140" s="441"/>
      <c r="B140" s="441"/>
      <c r="C140" s="1136" t="s">
        <v>1034</v>
      </c>
      <c r="D140" s="1136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  <c r="O140" s="441"/>
      <c r="P140" s="441"/>
      <c r="Q140" s="441"/>
      <c r="R140" s="441"/>
      <c r="S140" s="441"/>
      <c r="T140" s="441"/>
      <c r="U140" s="441"/>
      <c r="V140" s="441"/>
      <c r="W140" s="441"/>
      <c r="X140" s="441"/>
      <c r="Y140" s="441"/>
      <c r="Z140" s="441"/>
      <c r="AA140" s="503"/>
      <c r="AB140" s="503"/>
      <c r="AC140" s="441"/>
      <c r="AD140" s="441"/>
      <c r="AE140" s="436">
        <f t="shared" si="25"/>
        <v>0</v>
      </c>
      <c r="AF140" s="436">
        <f t="shared" si="26"/>
        <v>0</v>
      </c>
      <c r="AG140" s="436">
        <f t="shared" si="27"/>
        <v>0</v>
      </c>
      <c r="AH140" s="436">
        <f t="shared" si="28"/>
        <v>0</v>
      </c>
      <c r="AI140" s="436">
        <f t="shared" si="29"/>
        <v>0</v>
      </c>
      <c r="AJ140" s="436">
        <f t="shared" si="29"/>
        <v>0</v>
      </c>
      <c r="AK140" s="437">
        <f t="shared" si="30"/>
        <v>0</v>
      </c>
      <c r="AL140" s="437">
        <f t="shared" si="31"/>
        <v>0</v>
      </c>
      <c r="AM140" s="437">
        <f t="shared" si="32"/>
        <v>0</v>
      </c>
      <c r="AN140" s="437">
        <f t="shared" si="48"/>
        <v>0</v>
      </c>
      <c r="AO140" s="437">
        <f t="shared" si="49"/>
        <v>0</v>
      </c>
      <c r="AP140" s="437">
        <f t="shared" si="35"/>
        <v>0</v>
      </c>
      <c r="AQ140" s="437">
        <f t="shared" si="35"/>
        <v>0</v>
      </c>
      <c r="AR140" s="436"/>
      <c r="AS140" s="437">
        <f t="shared" si="36"/>
        <v>0</v>
      </c>
    </row>
    <row r="141" spans="1:45" s="438" customFormat="1" ht="24.95" customHeight="1">
      <c r="A141" s="1134"/>
      <c r="B141" s="1134"/>
      <c r="C141" s="1139" t="s">
        <v>517</v>
      </c>
      <c r="D141" s="1134" t="s">
        <v>315</v>
      </c>
      <c r="E141" s="1134" t="s">
        <v>316</v>
      </c>
      <c r="F141" s="1134">
        <v>14</v>
      </c>
      <c r="G141" s="1112">
        <v>7001</v>
      </c>
      <c r="H141" s="435">
        <v>0.25</v>
      </c>
      <c r="I141" s="435">
        <v>0.4</v>
      </c>
      <c r="J141" s="1134"/>
      <c r="K141" s="1134"/>
      <c r="L141" s="1134"/>
      <c r="M141" s="1134"/>
      <c r="N141" s="1112">
        <f>G141+H142+I142+L142</f>
        <v>12251.75</v>
      </c>
      <c r="O141" s="1112">
        <v>1</v>
      </c>
      <c r="P141" s="1112"/>
      <c r="Q141" s="1134"/>
      <c r="R141" s="1134"/>
      <c r="S141" s="1134"/>
      <c r="T141" s="1134">
        <v>30</v>
      </c>
      <c r="U141" s="1138">
        <v>0.3</v>
      </c>
      <c r="V141" s="1112">
        <f>N141*U141</f>
        <v>3675.5250000000001</v>
      </c>
      <c r="W141" s="1112"/>
      <c r="X141" s="1112">
        <f>N141+V141</f>
        <v>15927.275</v>
      </c>
      <c r="Y141" s="1112">
        <f>AB141</f>
        <v>4072.7250000000004</v>
      </c>
      <c r="Z141" s="1112">
        <f>X141+Y141</f>
        <v>20000</v>
      </c>
      <c r="AA141" s="1109">
        <f>20000*O141</f>
        <v>20000</v>
      </c>
      <c r="AB141" s="1109">
        <f>AA141-X141</f>
        <v>4072.7250000000004</v>
      </c>
      <c r="AC141" s="1112">
        <f>6500*O141</f>
        <v>6500</v>
      </c>
      <c r="AD141" s="1112">
        <f>X141-AC141</f>
        <v>9427.2749999999996</v>
      </c>
      <c r="AE141" s="436">
        <f t="shared" si="25"/>
        <v>7001</v>
      </c>
      <c r="AF141" s="436">
        <f t="shared" si="26"/>
        <v>0</v>
      </c>
      <c r="AG141" s="436">
        <f t="shared" si="27"/>
        <v>12251.75</v>
      </c>
      <c r="AH141" s="436">
        <f t="shared" si="28"/>
        <v>0</v>
      </c>
      <c r="AI141" s="436">
        <f t="shared" si="29"/>
        <v>5250.75</v>
      </c>
      <c r="AJ141" s="436">
        <f t="shared" si="29"/>
        <v>0</v>
      </c>
      <c r="AK141" s="437">
        <f t="shared" si="30"/>
        <v>3675.5250000000001</v>
      </c>
      <c r="AL141" s="437">
        <f t="shared" si="31"/>
        <v>0</v>
      </c>
      <c r="AM141" s="437">
        <f t="shared" si="32"/>
        <v>0</v>
      </c>
      <c r="AN141" s="437">
        <f t="shared" si="48"/>
        <v>0</v>
      </c>
      <c r="AO141" s="437">
        <f t="shared" si="49"/>
        <v>0</v>
      </c>
      <c r="AP141" s="437">
        <f t="shared" si="35"/>
        <v>12251.75</v>
      </c>
      <c r="AQ141" s="437">
        <f t="shared" si="35"/>
        <v>0</v>
      </c>
      <c r="AR141" s="436"/>
      <c r="AS141" s="437">
        <f t="shared" si="36"/>
        <v>12251.75</v>
      </c>
    </row>
    <row r="142" spans="1:45" s="438" customFormat="1" ht="24.95" customHeight="1">
      <c r="A142" s="1134"/>
      <c r="B142" s="1134"/>
      <c r="C142" s="1139"/>
      <c r="D142" s="1134"/>
      <c r="E142" s="1134"/>
      <c r="F142" s="1134"/>
      <c r="G142" s="1112"/>
      <c r="H142" s="449">
        <f>G141*H141</f>
        <v>1750.25</v>
      </c>
      <c r="I142" s="450">
        <f>(G141+H142)*I141</f>
        <v>3500.5</v>
      </c>
      <c r="J142" s="1134"/>
      <c r="K142" s="1134"/>
      <c r="L142" s="1134"/>
      <c r="M142" s="1134"/>
      <c r="N142" s="1112"/>
      <c r="O142" s="1112"/>
      <c r="P142" s="1112"/>
      <c r="Q142" s="1134"/>
      <c r="R142" s="1134"/>
      <c r="S142" s="1134"/>
      <c r="T142" s="1134"/>
      <c r="U142" s="1138"/>
      <c r="V142" s="1112"/>
      <c r="W142" s="1112"/>
      <c r="X142" s="1112"/>
      <c r="Y142" s="1112"/>
      <c r="Z142" s="1112"/>
      <c r="AA142" s="1109"/>
      <c r="AB142" s="1109"/>
      <c r="AC142" s="1112"/>
      <c r="AD142" s="1112"/>
      <c r="AE142" s="436">
        <f t="shared" ref="AE142:AE185" si="52">G142*O142</f>
        <v>0</v>
      </c>
      <c r="AF142" s="436">
        <f t="shared" ref="AF142:AF185" si="53">G142*P142</f>
        <v>0</v>
      </c>
      <c r="AG142" s="436">
        <f t="shared" ref="AG142:AG185" si="54">N142*O142</f>
        <v>0</v>
      </c>
      <c r="AH142" s="436">
        <f t="shared" ref="AH142:AH185" si="55">N142*P142</f>
        <v>0</v>
      </c>
      <c r="AI142" s="436">
        <f t="shared" ref="AI142:AJ185" si="56">AG142-AE142</f>
        <v>0</v>
      </c>
      <c r="AJ142" s="436">
        <f t="shared" si="56"/>
        <v>0</v>
      </c>
      <c r="AK142" s="437">
        <f t="shared" ref="AK142:AK185" si="57">V142*O142</f>
        <v>0</v>
      </c>
      <c r="AL142" s="437">
        <f t="shared" ref="AL142:AL185" si="58">V142*P142</f>
        <v>0</v>
      </c>
      <c r="AM142" s="437">
        <f t="shared" ref="AM142:AM185" si="59">W142</f>
        <v>0</v>
      </c>
      <c r="AN142" s="437">
        <f t="shared" si="48"/>
        <v>0</v>
      </c>
      <c r="AO142" s="437">
        <f t="shared" si="49"/>
        <v>0</v>
      </c>
      <c r="AP142" s="437">
        <f t="shared" si="35"/>
        <v>0</v>
      </c>
      <c r="AQ142" s="437">
        <f t="shared" si="35"/>
        <v>0</v>
      </c>
      <c r="AR142" s="436"/>
      <c r="AS142" s="437">
        <f t="shared" si="36"/>
        <v>0</v>
      </c>
    </row>
    <row r="143" spans="1:45" s="438" customFormat="1" ht="24.95" customHeight="1">
      <c r="A143" s="1134"/>
      <c r="B143" s="1134"/>
      <c r="C143" s="1139" t="s">
        <v>518</v>
      </c>
      <c r="D143" s="1134" t="s">
        <v>1035</v>
      </c>
      <c r="E143" s="1134" t="s">
        <v>519</v>
      </c>
      <c r="F143" s="1134">
        <v>11</v>
      </c>
      <c r="G143" s="1112">
        <v>5699</v>
      </c>
      <c r="H143" s="1134"/>
      <c r="I143" s="435">
        <v>0.25</v>
      </c>
      <c r="J143" s="1134"/>
      <c r="K143" s="1134"/>
      <c r="L143" s="1134"/>
      <c r="M143" s="1134"/>
      <c r="N143" s="1112">
        <f>G143+H144+I144+L144</f>
        <v>7123.75</v>
      </c>
      <c r="O143" s="1112">
        <f>0.25+0.5+0.25</f>
        <v>1</v>
      </c>
      <c r="P143" s="1112"/>
      <c r="Q143" s="1134"/>
      <c r="R143" s="1134"/>
      <c r="S143" s="1134"/>
      <c r="T143" s="1134">
        <v>1</v>
      </c>
      <c r="U143" s="1138">
        <v>0</v>
      </c>
      <c r="V143" s="1112">
        <f>N143*U143</f>
        <v>0</v>
      </c>
      <c r="W143" s="1112"/>
      <c r="X143" s="1112">
        <f>(N143+V143)*O143</f>
        <v>7123.75</v>
      </c>
      <c r="Y143" s="1112">
        <f>AB143</f>
        <v>12876.25</v>
      </c>
      <c r="Z143" s="1112">
        <f>X143+Y143</f>
        <v>20000</v>
      </c>
      <c r="AA143" s="1109">
        <f>20000*O143</f>
        <v>20000</v>
      </c>
      <c r="AB143" s="1109">
        <f>AA143-X143</f>
        <v>12876.25</v>
      </c>
      <c r="AC143" s="1112">
        <f>6500*O143</f>
        <v>6500</v>
      </c>
      <c r="AD143" s="1112">
        <f>X143-AC143</f>
        <v>623.75</v>
      </c>
      <c r="AE143" s="436">
        <f t="shared" si="52"/>
        <v>5699</v>
      </c>
      <c r="AF143" s="436">
        <f t="shared" si="53"/>
        <v>0</v>
      </c>
      <c r="AG143" s="436">
        <f t="shared" si="54"/>
        <v>7123.75</v>
      </c>
      <c r="AH143" s="436">
        <f t="shared" si="55"/>
        <v>0</v>
      </c>
      <c r="AI143" s="436">
        <f t="shared" si="56"/>
        <v>1424.75</v>
      </c>
      <c r="AJ143" s="436">
        <f t="shared" si="56"/>
        <v>0</v>
      </c>
      <c r="AK143" s="437">
        <f t="shared" si="57"/>
        <v>0</v>
      </c>
      <c r="AL143" s="437">
        <f t="shared" si="58"/>
        <v>0</v>
      </c>
      <c r="AM143" s="437">
        <f t="shared" si="59"/>
        <v>0</v>
      </c>
      <c r="AN143" s="437">
        <f t="shared" si="48"/>
        <v>0</v>
      </c>
      <c r="AO143" s="437">
        <f t="shared" si="49"/>
        <v>0</v>
      </c>
      <c r="AP143" s="437">
        <f t="shared" si="35"/>
        <v>7123.75</v>
      </c>
      <c r="AQ143" s="437">
        <f t="shared" si="35"/>
        <v>0</v>
      </c>
      <c r="AR143" s="436"/>
      <c r="AS143" s="437">
        <f t="shared" si="36"/>
        <v>7123.75</v>
      </c>
    </row>
    <row r="144" spans="1:45" s="438" customFormat="1" ht="24.95" customHeight="1">
      <c r="A144" s="1134"/>
      <c r="B144" s="1134"/>
      <c r="C144" s="1139"/>
      <c r="D144" s="1134"/>
      <c r="E144" s="1134"/>
      <c r="F144" s="1134"/>
      <c r="G144" s="1112"/>
      <c r="H144" s="1134"/>
      <c r="I144" s="450">
        <f>G143*I143</f>
        <v>1424.75</v>
      </c>
      <c r="J144" s="1134"/>
      <c r="K144" s="1134"/>
      <c r="L144" s="1134"/>
      <c r="M144" s="1134"/>
      <c r="N144" s="1112"/>
      <c r="O144" s="1112"/>
      <c r="P144" s="1112"/>
      <c r="Q144" s="1134"/>
      <c r="R144" s="1134"/>
      <c r="S144" s="1134"/>
      <c r="T144" s="1134"/>
      <c r="U144" s="1138"/>
      <c r="V144" s="1112"/>
      <c r="W144" s="1112"/>
      <c r="X144" s="1112"/>
      <c r="Y144" s="1112"/>
      <c r="Z144" s="1112"/>
      <c r="AA144" s="1109"/>
      <c r="AB144" s="1109"/>
      <c r="AC144" s="1112"/>
      <c r="AD144" s="1112"/>
      <c r="AE144" s="436">
        <f t="shared" si="52"/>
        <v>0</v>
      </c>
      <c r="AF144" s="436">
        <f t="shared" si="53"/>
        <v>0</v>
      </c>
      <c r="AG144" s="436">
        <f t="shared" si="54"/>
        <v>0</v>
      </c>
      <c r="AH144" s="436">
        <f t="shared" si="55"/>
        <v>0</v>
      </c>
      <c r="AI144" s="436">
        <f t="shared" si="56"/>
        <v>0</v>
      </c>
      <c r="AJ144" s="436">
        <f t="shared" si="56"/>
        <v>0</v>
      </c>
      <c r="AK144" s="437">
        <f t="shared" si="57"/>
        <v>0</v>
      </c>
      <c r="AL144" s="437">
        <f t="shared" si="58"/>
        <v>0</v>
      </c>
      <c r="AM144" s="437">
        <f t="shared" si="59"/>
        <v>0</v>
      </c>
      <c r="AN144" s="437">
        <f t="shared" si="48"/>
        <v>0</v>
      </c>
      <c r="AO144" s="437">
        <f t="shared" si="49"/>
        <v>0</v>
      </c>
      <c r="AP144" s="437">
        <f t="shared" si="35"/>
        <v>0</v>
      </c>
      <c r="AQ144" s="437">
        <f t="shared" si="35"/>
        <v>0</v>
      </c>
      <c r="AR144" s="436"/>
      <c r="AS144" s="437">
        <f t="shared" si="36"/>
        <v>0</v>
      </c>
    </row>
    <row r="145" spans="1:45" s="438" customFormat="1" ht="24.95" customHeight="1">
      <c r="A145" s="1134"/>
      <c r="B145" s="1134"/>
      <c r="C145" s="1139" t="s">
        <v>518</v>
      </c>
      <c r="D145" s="1134" t="s">
        <v>520</v>
      </c>
      <c r="E145" s="1134" t="s">
        <v>521</v>
      </c>
      <c r="F145" s="1134">
        <v>13</v>
      </c>
      <c r="G145" s="1112">
        <v>6567</v>
      </c>
      <c r="H145" s="1134"/>
      <c r="I145" s="435">
        <v>0.25</v>
      </c>
      <c r="J145" s="1134"/>
      <c r="K145" s="1134"/>
      <c r="L145" s="1112"/>
      <c r="M145" s="1112"/>
      <c r="N145" s="1112">
        <f>G145+H146+I146+L146</f>
        <v>8208.75</v>
      </c>
      <c r="O145" s="1112">
        <v>0.5</v>
      </c>
      <c r="P145" s="1112"/>
      <c r="Q145" s="1112"/>
      <c r="R145" s="1112"/>
      <c r="S145" s="1112"/>
      <c r="T145" s="1134">
        <v>25</v>
      </c>
      <c r="U145" s="1138">
        <v>0.3</v>
      </c>
      <c r="V145" s="1112">
        <f>N145*U145</f>
        <v>2462.625</v>
      </c>
      <c r="W145" s="1112"/>
      <c r="X145" s="1112">
        <f>(N145+V145)*O145</f>
        <v>5335.6875</v>
      </c>
      <c r="Y145" s="1112">
        <f>AB145</f>
        <v>4664.3125</v>
      </c>
      <c r="Z145" s="1112">
        <f>X145+Y145</f>
        <v>10000</v>
      </c>
      <c r="AA145" s="1109">
        <f>20000*O145</f>
        <v>10000</v>
      </c>
      <c r="AB145" s="1109">
        <f>AA145-X145</f>
        <v>4664.3125</v>
      </c>
      <c r="AC145" s="1112">
        <f>6500*O145</f>
        <v>3250</v>
      </c>
      <c r="AD145" s="1112">
        <f>X145-AC145</f>
        <v>2085.6875</v>
      </c>
      <c r="AE145" s="436">
        <f t="shared" si="52"/>
        <v>3283.5</v>
      </c>
      <c r="AF145" s="436">
        <f t="shared" si="53"/>
        <v>0</v>
      </c>
      <c r="AG145" s="436">
        <f t="shared" si="54"/>
        <v>4104.375</v>
      </c>
      <c r="AH145" s="436">
        <f t="shared" si="55"/>
        <v>0</v>
      </c>
      <c r="AI145" s="436">
        <f t="shared" si="56"/>
        <v>820.875</v>
      </c>
      <c r="AJ145" s="436">
        <f t="shared" si="56"/>
        <v>0</v>
      </c>
      <c r="AK145" s="437">
        <f t="shared" si="57"/>
        <v>1231.3125</v>
      </c>
      <c r="AL145" s="437">
        <f t="shared" si="58"/>
        <v>0</v>
      </c>
      <c r="AM145" s="437">
        <f t="shared" si="59"/>
        <v>0</v>
      </c>
      <c r="AN145" s="437">
        <f t="shared" si="48"/>
        <v>0</v>
      </c>
      <c r="AO145" s="437">
        <f t="shared" si="49"/>
        <v>0</v>
      </c>
      <c r="AP145" s="437">
        <f t="shared" si="35"/>
        <v>4104.375</v>
      </c>
      <c r="AQ145" s="437">
        <f t="shared" si="35"/>
        <v>0</v>
      </c>
      <c r="AR145" s="436"/>
      <c r="AS145" s="437">
        <f t="shared" si="36"/>
        <v>4104.375</v>
      </c>
    </row>
    <row r="146" spans="1:45" s="438" customFormat="1" ht="24.95" customHeight="1">
      <c r="A146" s="1134"/>
      <c r="B146" s="1134"/>
      <c r="C146" s="1139"/>
      <c r="D146" s="1134"/>
      <c r="E146" s="1134"/>
      <c r="F146" s="1134"/>
      <c r="G146" s="1112"/>
      <c r="H146" s="1134"/>
      <c r="I146" s="449">
        <f>G145*I145</f>
        <v>1641.75</v>
      </c>
      <c r="J146" s="1134"/>
      <c r="K146" s="1134"/>
      <c r="L146" s="1112"/>
      <c r="M146" s="1112"/>
      <c r="N146" s="1112"/>
      <c r="O146" s="1112"/>
      <c r="P146" s="1112"/>
      <c r="Q146" s="1112"/>
      <c r="R146" s="1112"/>
      <c r="S146" s="1112"/>
      <c r="T146" s="1134"/>
      <c r="U146" s="1138"/>
      <c r="V146" s="1112"/>
      <c r="W146" s="1112"/>
      <c r="X146" s="1112"/>
      <c r="Y146" s="1112"/>
      <c r="Z146" s="1112"/>
      <c r="AA146" s="1109"/>
      <c r="AB146" s="1109"/>
      <c r="AC146" s="1112"/>
      <c r="AD146" s="1112"/>
      <c r="AE146" s="436">
        <f t="shared" si="52"/>
        <v>0</v>
      </c>
      <c r="AF146" s="436">
        <f t="shared" si="53"/>
        <v>0</v>
      </c>
      <c r="AG146" s="436">
        <f t="shared" si="54"/>
        <v>0</v>
      </c>
      <c r="AH146" s="436">
        <f t="shared" si="55"/>
        <v>0</v>
      </c>
      <c r="AI146" s="436">
        <f t="shared" si="56"/>
        <v>0</v>
      </c>
      <c r="AJ146" s="436">
        <f t="shared" si="56"/>
        <v>0</v>
      </c>
      <c r="AK146" s="437">
        <f t="shared" si="57"/>
        <v>0</v>
      </c>
      <c r="AL146" s="437">
        <f t="shared" si="58"/>
        <v>0</v>
      </c>
      <c r="AM146" s="437">
        <f t="shared" si="59"/>
        <v>0</v>
      </c>
      <c r="AN146" s="437">
        <f t="shared" si="48"/>
        <v>0</v>
      </c>
      <c r="AO146" s="437">
        <f t="shared" si="49"/>
        <v>0</v>
      </c>
      <c r="AP146" s="437">
        <f t="shared" si="35"/>
        <v>0</v>
      </c>
      <c r="AQ146" s="437">
        <f t="shared" si="35"/>
        <v>0</v>
      </c>
      <c r="AR146" s="436"/>
      <c r="AS146" s="437">
        <f t="shared" si="36"/>
        <v>0</v>
      </c>
    </row>
    <row r="147" spans="1:45" s="438" customFormat="1" ht="24.95" customHeight="1">
      <c r="A147" s="1134"/>
      <c r="B147" s="1134"/>
      <c r="C147" s="1139" t="s">
        <v>522</v>
      </c>
      <c r="D147" s="1134" t="s">
        <v>520</v>
      </c>
      <c r="E147" s="1134" t="s">
        <v>521</v>
      </c>
      <c r="F147" s="1134">
        <v>13</v>
      </c>
      <c r="G147" s="1112">
        <v>6567</v>
      </c>
      <c r="H147" s="1134"/>
      <c r="I147" s="435">
        <v>0.25</v>
      </c>
      <c r="J147" s="1134"/>
      <c r="K147" s="1134"/>
      <c r="L147" s="1112"/>
      <c r="M147" s="1112"/>
      <c r="N147" s="1112">
        <f>G147+H148+I148+L148</f>
        <v>8208.75</v>
      </c>
      <c r="O147" s="1112">
        <v>0.5</v>
      </c>
      <c r="P147" s="1112"/>
      <c r="Q147" s="1112"/>
      <c r="R147" s="1112"/>
      <c r="S147" s="1112"/>
      <c r="T147" s="1134">
        <v>25</v>
      </c>
      <c r="U147" s="1138">
        <v>0.3</v>
      </c>
      <c r="V147" s="1112">
        <f>N147*U147</f>
        <v>2462.625</v>
      </c>
      <c r="W147" s="1112"/>
      <c r="X147" s="1112">
        <f>(N147+V147)*O147</f>
        <v>5335.6875</v>
      </c>
      <c r="Y147" s="1112">
        <f>AB147</f>
        <v>4664.3125</v>
      </c>
      <c r="Z147" s="1112">
        <f>X147+Y147</f>
        <v>10000</v>
      </c>
      <c r="AA147" s="1109">
        <f>20000*O147</f>
        <v>10000</v>
      </c>
      <c r="AB147" s="1109">
        <f>AA147-X147</f>
        <v>4664.3125</v>
      </c>
      <c r="AC147" s="1112">
        <f>6500*O147</f>
        <v>3250</v>
      </c>
      <c r="AD147" s="1112">
        <f>X147-AC147</f>
        <v>2085.6875</v>
      </c>
      <c r="AE147" s="436">
        <f>G147*O147</f>
        <v>3283.5</v>
      </c>
      <c r="AF147" s="436">
        <f>G147*P147</f>
        <v>0</v>
      </c>
      <c r="AG147" s="436">
        <f>N147*O147</f>
        <v>4104.375</v>
      </c>
      <c r="AH147" s="436">
        <f>N147*P147</f>
        <v>0</v>
      </c>
      <c r="AI147" s="436">
        <f t="shared" si="56"/>
        <v>820.875</v>
      </c>
      <c r="AJ147" s="436">
        <f t="shared" si="56"/>
        <v>0</v>
      </c>
      <c r="AK147" s="437">
        <f>V147*O147</f>
        <v>1231.3125</v>
      </c>
      <c r="AL147" s="437">
        <f>V147*P147</f>
        <v>0</v>
      </c>
      <c r="AM147" s="437">
        <f>W147</f>
        <v>0</v>
      </c>
      <c r="AN147" s="437">
        <f>S147*O147</f>
        <v>0</v>
      </c>
      <c r="AO147" s="437">
        <f>S147*P147</f>
        <v>0</v>
      </c>
      <c r="AP147" s="437">
        <f t="shared" ref="AP147:AQ190" si="60">AG147</f>
        <v>4104.375</v>
      </c>
      <c r="AQ147" s="437">
        <f t="shared" si="60"/>
        <v>0</v>
      </c>
      <c r="AR147" s="436"/>
      <c r="AS147" s="437">
        <f t="shared" si="36"/>
        <v>4104.375</v>
      </c>
    </row>
    <row r="148" spans="1:45" s="438" customFormat="1" ht="24.95" customHeight="1">
      <c r="A148" s="1134"/>
      <c r="B148" s="1134"/>
      <c r="C148" s="1139"/>
      <c r="D148" s="1134"/>
      <c r="E148" s="1134"/>
      <c r="F148" s="1134"/>
      <c r="G148" s="1112"/>
      <c r="H148" s="1134"/>
      <c r="I148" s="449">
        <f>G147*I147</f>
        <v>1641.75</v>
      </c>
      <c r="J148" s="1134"/>
      <c r="K148" s="1134"/>
      <c r="L148" s="1112"/>
      <c r="M148" s="1112"/>
      <c r="N148" s="1112"/>
      <c r="O148" s="1112"/>
      <c r="P148" s="1112"/>
      <c r="Q148" s="1112"/>
      <c r="R148" s="1112"/>
      <c r="S148" s="1112"/>
      <c r="T148" s="1134"/>
      <c r="U148" s="1138"/>
      <c r="V148" s="1112"/>
      <c r="W148" s="1112"/>
      <c r="X148" s="1112"/>
      <c r="Y148" s="1112"/>
      <c r="Z148" s="1112"/>
      <c r="AA148" s="1109"/>
      <c r="AB148" s="1109"/>
      <c r="AC148" s="1112"/>
      <c r="AD148" s="1112"/>
      <c r="AE148" s="436">
        <f>G148*O148</f>
        <v>0</v>
      </c>
      <c r="AF148" s="436">
        <f>G148*P148</f>
        <v>0</v>
      </c>
      <c r="AG148" s="436">
        <f>N148*O148</f>
        <v>0</v>
      </c>
      <c r="AH148" s="436">
        <f>N148*P148</f>
        <v>0</v>
      </c>
      <c r="AI148" s="436">
        <f t="shared" si="56"/>
        <v>0</v>
      </c>
      <c r="AJ148" s="436">
        <f t="shared" si="56"/>
        <v>0</v>
      </c>
      <c r="AK148" s="437">
        <f>V148*O148</f>
        <v>0</v>
      </c>
      <c r="AL148" s="437">
        <f>V148*P148</f>
        <v>0</v>
      </c>
      <c r="AM148" s="437">
        <f>W148</f>
        <v>0</v>
      </c>
      <c r="AN148" s="437">
        <f>S148*O148</f>
        <v>0</v>
      </c>
      <c r="AO148" s="437">
        <f>S148*P148</f>
        <v>0</v>
      </c>
      <c r="AP148" s="437">
        <f t="shared" si="60"/>
        <v>0</v>
      </c>
      <c r="AQ148" s="437">
        <f t="shared" si="60"/>
        <v>0</v>
      </c>
      <c r="AR148" s="436"/>
      <c r="AS148" s="437">
        <f t="shared" si="36"/>
        <v>0</v>
      </c>
    </row>
    <row r="149" spans="1:45" s="438" customFormat="1" ht="24.95" customHeight="1">
      <c r="A149" s="1134"/>
      <c r="B149" s="1134"/>
      <c r="C149" s="1139" t="s">
        <v>522</v>
      </c>
      <c r="D149" s="1134" t="s">
        <v>1036</v>
      </c>
      <c r="E149" s="1134" t="s">
        <v>556</v>
      </c>
      <c r="F149" s="1134">
        <v>11</v>
      </c>
      <c r="G149" s="1112">
        <v>5699</v>
      </c>
      <c r="H149" s="1134"/>
      <c r="I149" s="435">
        <v>0.25</v>
      </c>
      <c r="J149" s="1134"/>
      <c r="K149" s="1134"/>
      <c r="L149" s="1112"/>
      <c r="M149" s="1112"/>
      <c r="N149" s="1112">
        <f>G149+H150+I150+L150</f>
        <v>7123.75</v>
      </c>
      <c r="O149" s="1112">
        <v>1</v>
      </c>
      <c r="P149" s="1112"/>
      <c r="Q149" s="1112"/>
      <c r="R149" s="1112"/>
      <c r="S149" s="1112"/>
      <c r="T149" s="1134">
        <v>3</v>
      </c>
      <c r="U149" s="1138">
        <v>0.1</v>
      </c>
      <c r="V149" s="1112">
        <f>N149*U149</f>
        <v>712.375</v>
      </c>
      <c r="W149" s="1112"/>
      <c r="X149" s="1112">
        <f>(N149+V149)*O149</f>
        <v>7836.125</v>
      </c>
      <c r="Y149" s="1112">
        <f>AB149</f>
        <v>12163.875</v>
      </c>
      <c r="Z149" s="1112">
        <f>X149+Y149</f>
        <v>20000</v>
      </c>
      <c r="AA149" s="1109">
        <f>20000*O149</f>
        <v>20000</v>
      </c>
      <c r="AB149" s="1109">
        <f>AA149-X149</f>
        <v>12163.875</v>
      </c>
      <c r="AC149" s="1112">
        <f>6500*O149</f>
        <v>6500</v>
      </c>
      <c r="AD149" s="1112">
        <f>X149-AC149</f>
        <v>1336.125</v>
      </c>
      <c r="AE149" s="436">
        <f>G149*O149</f>
        <v>5699</v>
      </c>
      <c r="AF149" s="436">
        <f>G149*P149</f>
        <v>0</v>
      </c>
      <c r="AG149" s="436">
        <f>N149*O149</f>
        <v>7123.75</v>
      </c>
      <c r="AH149" s="436">
        <f>N149*P149</f>
        <v>0</v>
      </c>
      <c r="AI149" s="436">
        <f t="shared" si="56"/>
        <v>1424.75</v>
      </c>
      <c r="AJ149" s="436">
        <f t="shared" si="56"/>
        <v>0</v>
      </c>
      <c r="AK149" s="437">
        <f>V149*O149</f>
        <v>712.375</v>
      </c>
      <c r="AL149" s="437">
        <f>V149*P149</f>
        <v>0</v>
      </c>
      <c r="AM149" s="437">
        <f>W149</f>
        <v>0</v>
      </c>
      <c r="AN149" s="437">
        <f>S149*O149</f>
        <v>0</v>
      </c>
      <c r="AO149" s="437">
        <f>S149*P149</f>
        <v>0</v>
      </c>
      <c r="AP149" s="437">
        <f t="shared" si="60"/>
        <v>7123.75</v>
      </c>
      <c r="AQ149" s="437">
        <f t="shared" si="60"/>
        <v>0</v>
      </c>
      <c r="AR149" s="436"/>
      <c r="AS149" s="437">
        <f t="shared" si="36"/>
        <v>7123.75</v>
      </c>
    </row>
    <row r="150" spans="1:45" s="438" customFormat="1" ht="24.95" customHeight="1">
      <c r="A150" s="1134"/>
      <c r="B150" s="1134"/>
      <c r="C150" s="1139"/>
      <c r="D150" s="1134"/>
      <c r="E150" s="1134"/>
      <c r="F150" s="1134"/>
      <c r="G150" s="1112"/>
      <c r="H150" s="1134"/>
      <c r="I150" s="449">
        <f>G149*I149</f>
        <v>1424.75</v>
      </c>
      <c r="J150" s="1134"/>
      <c r="K150" s="1134"/>
      <c r="L150" s="1112"/>
      <c r="M150" s="1112"/>
      <c r="N150" s="1112"/>
      <c r="O150" s="1112"/>
      <c r="P150" s="1112"/>
      <c r="Q150" s="1112"/>
      <c r="R150" s="1112"/>
      <c r="S150" s="1112"/>
      <c r="T150" s="1134"/>
      <c r="U150" s="1138"/>
      <c r="V150" s="1112"/>
      <c r="W150" s="1112"/>
      <c r="X150" s="1112"/>
      <c r="Y150" s="1112"/>
      <c r="Z150" s="1112"/>
      <c r="AA150" s="1109"/>
      <c r="AB150" s="1109"/>
      <c r="AC150" s="1112"/>
      <c r="AD150" s="1112"/>
      <c r="AE150" s="436">
        <f>G150*O150</f>
        <v>0</v>
      </c>
      <c r="AF150" s="436">
        <f>G150*P150</f>
        <v>0</v>
      </c>
      <c r="AG150" s="436">
        <f>N150*O150</f>
        <v>0</v>
      </c>
      <c r="AH150" s="436">
        <f>N150*P150</f>
        <v>0</v>
      </c>
      <c r="AI150" s="436">
        <f t="shared" si="56"/>
        <v>0</v>
      </c>
      <c r="AJ150" s="436">
        <f t="shared" si="56"/>
        <v>0</v>
      </c>
      <c r="AK150" s="437">
        <f>V150*O150</f>
        <v>0</v>
      </c>
      <c r="AL150" s="437">
        <f>V150*P150</f>
        <v>0</v>
      </c>
      <c r="AM150" s="437">
        <f>W150</f>
        <v>0</v>
      </c>
      <c r="AN150" s="437">
        <f>S150*O150</f>
        <v>0</v>
      </c>
      <c r="AO150" s="437">
        <f>S150*P150</f>
        <v>0</v>
      </c>
      <c r="AP150" s="437">
        <f t="shared" si="60"/>
        <v>0</v>
      </c>
      <c r="AQ150" s="437">
        <f t="shared" si="60"/>
        <v>0</v>
      </c>
      <c r="AR150" s="436"/>
      <c r="AS150" s="437">
        <f t="shared" si="36"/>
        <v>0</v>
      </c>
    </row>
    <row r="151" spans="1:45" s="438" customFormat="1" ht="24.95" customHeight="1">
      <c r="A151" s="1134"/>
      <c r="B151" s="1134"/>
      <c r="C151" s="1139" t="s">
        <v>522</v>
      </c>
      <c r="D151" s="1134" t="s">
        <v>523</v>
      </c>
      <c r="E151" s="1134" t="s">
        <v>524</v>
      </c>
      <c r="F151" s="1134">
        <v>13</v>
      </c>
      <c r="G151" s="1112">
        <v>6567</v>
      </c>
      <c r="H151" s="1134"/>
      <c r="I151" s="435">
        <v>0.25</v>
      </c>
      <c r="J151" s="1134"/>
      <c r="K151" s="1134"/>
      <c r="L151" s="1112"/>
      <c r="M151" s="1112"/>
      <c r="N151" s="1112">
        <f>G151+H152+I152+L152</f>
        <v>8208.75</v>
      </c>
      <c r="O151" s="1112">
        <v>1</v>
      </c>
      <c r="P151" s="1112"/>
      <c r="Q151" s="1112"/>
      <c r="R151" s="1112"/>
      <c r="S151" s="1112"/>
      <c r="T151" s="1134">
        <v>12</v>
      </c>
      <c r="U151" s="1138">
        <v>0.2</v>
      </c>
      <c r="V151" s="1112">
        <f>N151*U151</f>
        <v>1641.75</v>
      </c>
      <c r="W151" s="1112"/>
      <c r="X151" s="1112">
        <f>(N151+V151)*O151</f>
        <v>9850.5</v>
      </c>
      <c r="Y151" s="1112">
        <f>AB151</f>
        <v>10149.5</v>
      </c>
      <c r="Z151" s="1112">
        <f>X151+Y151</f>
        <v>20000</v>
      </c>
      <c r="AA151" s="1109">
        <f>20000*O151</f>
        <v>20000</v>
      </c>
      <c r="AB151" s="1109">
        <f>AA151-X151</f>
        <v>10149.5</v>
      </c>
      <c r="AC151" s="1112">
        <f>6500*O151</f>
        <v>6500</v>
      </c>
      <c r="AD151" s="1112">
        <f>X151-AC151</f>
        <v>3350.5</v>
      </c>
      <c r="AE151" s="436">
        <f t="shared" si="52"/>
        <v>6567</v>
      </c>
      <c r="AF151" s="436">
        <f t="shared" si="53"/>
        <v>0</v>
      </c>
      <c r="AG151" s="436">
        <f t="shared" si="54"/>
        <v>8208.75</v>
      </c>
      <c r="AH151" s="436">
        <f t="shared" si="55"/>
        <v>0</v>
      </c>
      <c r="AI151" s="436">
        <f t="shared" si="56"/>
        <v>1641.75</v>
      </c>
      <c r="AJ151" s="436">
        <f t="shared" si="56"/>
        <v>0</v>
      </c>
      <c r="AK151" s="437">
        <f t="shared" si="57"/>
        <v>1641.75</v>
      </c>
      <c r="AL151" s="437">
        <f t="shared" si="58"/>
        <v>0</v>
      </c>
      <c r="AM151" s="437">
        <f t="shared" si="59"/>
        <v>0</v>
      </c>
      <c r="AN151" s="437">
        <f t="shared" si="48"/>
        <v>0</v>
      </c>
      <c r="AO151" s="437">
        <f t="shared" si="49"/>
        <v>0</v>
      </c>
      <c r="AP151" s="437">
        <f t="shared" si="60"/>
        <v>8208.75</v>
      </c>
      <c r="AQ151" s="437">
        <f t="shared" si="60"/>
        <v>0</v>
      </c>
      <c r="AR151" s="436"/>
      <c r="AS151" s="437">
        <f t="shared" si="36"/>
        <v>8208.75</v>
      </c>
    </row>
    <row r="152" spans="1:45" s="438" customFormat="1" ht="24.95" customHeight="1">
      <c r="A152" s="1134"/>
      <c r="B152" s="1134"/>
      <c r="C152" s="1139"/>
      <c r="D152" s="1134"/>
      <c r="E152" s="1134"/>
      <c r="F152" s="1134"/>
      <c r="G152" s="1112"/>
      <c r="H152" s="1134"/>
      <c r="I152" s="449">
        <f>G151*I151</f>
        <v>1641.75</v>
      </c>
      <c r="J152" s="1134"/>
      <c r="K152" s="1134"/>
      <c r="L152" s="1112"/>
      <c r="M152" s="1112"/>
      <c r="N152" s="1112"/>
      <c r="O152" s="1112"/>
      <c r="P152" s="1112"/>
      <c r="Q152" s="1112"/>
      <c r="R152" s="1112"/>
      <c r="S152" s="1112"/>
      <c r="T152" s="1134"/>
      <c r="U152" s="1138"/>
      <c r="V152" s="1112"/>
      <c r="W152" s="1112"/>
      <c r="X152" s="1112"/>
      <c r="Y152" s="1112"/>
      <c r="Z152" s="1112"/>
      <c r="AA152" s="1109"/>
      <c r="AB152" s="1109"/>
      <c r="AC152" s="1112"/>
      <c r="AD152" s="1112"/>
      <c r="AE152" s="436">
        <f t="shared" si="52"/>
        <v>0</v>
      </c>
      <c r="AF152" s="436">
        <f t="shared" si="53"/>
        <v>0</v>
      </c>
      <c r="AG152" s="436">
        <f t="shared" si="54"/>
        <v>0</v>
      </c>
      <c r="AH152" s="436">
        <f t="shared" si="55"/>
        <v>0</v>
      </c>
      <c r="AI152" s="436">
        <f t="shared" si="56"/>
        <v>0</v>
      </c>
      <c r="AJ152" s="436">
        <f t="shared" si="56"/>
        <v>0</v>
      </c>
      <c r="AK152" s="437">
        <f t="shared" si="57"/>
        <v>0</v>
      </c>
      <c r="AL152" s="437">
        <f t="shared" si="58"/>
        <v>0</v>
      </c>
      <c r="AM152" s="437">
        <f t="shared" si="59"/>
        <v>0</v>
      </c>
      <c r="AN152" s="437">
        <f t="shared" si="48"/>
        <v>0</v>
      </c>
      <c r="AO152" s="437">
        <f t="shared" si="49"/>
        <v>0</v>
      </c>
      <c r="AP152" s="437">
        <f t="shared" si="60"/>
        <v>0</v>
      </c>
      <c r="AQ152" s="437">
        <f t="shared" si="60"/>
        <v>0</v>
      </c>
      <c r="AR152" s="436"/>
      <c r="AS152" s="437">
        <f t="shared" si="36"/>
        <v>0</v>
      </c>
    </row>
    <row r="153" spans="1:45" s="438" customFormat="1" ht="24.95" customHeight="1">
      <c r="A153" s="1134"/>
      <c r="B153" s="1134"/>
      <c r="C153" s="1139" t="s">
        <v>522</v>
      </c>
      <c r="D153" s="1134" t="s">
        <v>1036</v>
      </c>
      <c r="E153" s="1134" t="s">
        <v>557</v>
      </c>
      <c r="F153" s="1134">
        <v>11</v>
      </c>
      <c r="G153" s="1112">
        <v>5699</v>
      </c>
      <c r="H153" s="1134"/>
      <c r="I153" s="435">
        <v>0.25</v>
      </c>
      <c r="J153" s="1134"/>
      <c r="K153" s="1134"/>
      <c r="L153" s="1134"/>
      <c r="M153" s="1134"/>
      <c r="N153" s="1112">
        <f>G153+H154+I154+L154</f>
        <v>7123.75</v>
      </c>
      <c r="O153" s="1112">
        <v>1</v>
      </c>
      <c r="P153" s="1112"/>
      <c r="Q153" s="1134"/>
      <c r="R153" s="1134"/>
      <c r="S153" s="1134"/>
      <c r="T153" s="1134">
        <v>3</v>
      </c>
      <c r="U153" s="1138">
        <v>0.1</v>
      </c>
      <c r="V153" s="1112">
        <f>N153*U153</f>
        <v>712.375</v>
      </c>
      <c r="W153" s="1112"/>
      <c r="X153" s="1112">
        <f>(N153+V153)*O153</f>
        <v>7836.125</v>
      </c>
      <c r="Y153" s="1112">
        <f>AB153</f>
        <v>12163.875</v>
      </c>
      <c r="Z153" s="1112">
        <f>X153+Y153</f>
        <v>20000</v>
      </c>
      <c r="AA153" s="1109">
        <f>20000*O153</f>
        <v>20000</v>
      </c>
      <c r="AB153" s="1109">
        <f>AA153-X153</f>
        <v>12163.875</v>
      </c>
      <c r="AC153" s="1112">
        <f>6500*O153</f>
        <v>6500</v>
      </c>
      <c r="AD153" s="1112">
        <f>X153-AC153</f>
        <v>1336.125</v>
      </c>
      <c r="AE153" s="436">
        <f t="shared" si="52"/>
        <v>5699</v>
      </c>
      <c r="AF153" s="436">
        <f t="shared" si="53"/>
        <v>0</v>
      </c>
      <c r="AG153" s="436">
        <f t="shared" si="54"/>
        <v>7123.75</v>
      </c>
      <c r="AH153" s="436">
        <f t="shared" si="55"/>
        <v>0</v>
      </c>
      <c r="AI153" s="436">
        <f t="shared" si="56"/>
        <v>1424.75</v>
      </c>
      <c r="AJ153" s="436">
        <f t="shared" si="56"/>
        <v>0</v>
      </c>
      <c r="AK153" s="437">
        <f t="shared" si="57"/>
        <v>712.375</v>
      </c>
      <c r="AL153" s="437">
        <f t="shared" si="58"/>
        <v>0</v>
      </c>
      <c r="AM153" s="437">
        <f t="shared" si="59"/>
        <v>0</v>
      </c>
      <c r="AN153" s="437">
        <f t="shared" si="48"/>
        <v>0</v>
      </c>
      <c r="AO153" s="437">
        <f t="shared" si="49"/>
        <v>0</v>
      </c>
      <c r="AP153" s="437">
        <f t="shared" si="60"/>
        <v>7123.75</v>
      </c>
      <c r="AQ153" s="437">
        <f t="shared" si="60"/>
        <v>0</v>
      </c>
      <c r="AR153" s="436"/>
      <c r="AS153" s="437">
        <f t="shared" si="36"/>
        <v>7123.75</v>
      </c>
    </row>
    <row r="154" spans="1:45" s="438" customFormat="1" ht="24.95" customHeight="1">
      <c r="A154" s="1134"/>
      <c r="B154" s="1134"/>
      <c r="C154" s="1139"/>
      <c r="D154" s="1134"/>
      <c r="E154" s="1134"/>
      <c r="F154" s="1134"/>
      <c r="G154" s="1112"/>
      <c r="H154" s="1134"/>
      <c r="I154" s="449">
        <f>G153*I153</f>
        <v>1424.75</v>
      </c>
      <c r="J154" s="1134"/>
      <c r="K154" s="1134"/>
      <c r="L154" s="1134"/>
      <c r="M154" s="1134"/>
      <c r="N154" s="1112"/>
      <c r="O154" s="1112"/>
      <c r="P154" s="1112"/>
      <c r="Q154" s="1134"/>
      <c r="R154" s="1134"/>
      <c r="S154" s="1134"/>
      <c r="T154" s="1134"/>
      <c r="U154" s="1138"/>
      <c r="V154" s="1112"/>
      <c r="W154" s="1112"/>
      <c r="X154" s="1112"/>
      <c r="Y154" s="1112"/>
      <c r="Z154" s="1112"/>
      <c r="AA154" s="1109"/>
      <c r="AB154" s="1109"/>
      <c r="AC154" s="1112"/>
      <c r="AD154" s="1112"/>
      <c r="AE154" s="436">
        <f t="shared" si="52"/>
        <v>0</v>
      </c>
      <c r="AF154" s="436">
        <f t="shared" si="53"/>
        <v>0</v>
      </c>
      <c r="AG154" s="436">
        <f t="shared" si="54"/>
        <v>0</v>
      </c>
      <c r="AH154" s="436">
        <f t="shared" si="55"/>
        <v>0</v>
      </c>
      <c r="AI154" s="436">
        <f t="shared" si="56"/>
        <v>0</v>
      </c>
      <c r="AJ154" s="436">
        <f t="shared" si="56"/>
        <v>0</v>
      </c>
      <c r="AK154" s="437">
        <f t="shared" si="57"/>
        <v>0</v>
      </c>
      <c r="AL154" s="437">
        <f t="shared" si="58"/>
        <v>0</v>
      </c>
      <c r="AM154" s="437">
        <f t="shared" si="59"/>
        <v>0</v>
      </c>
      <c r="AN154" s="437">
        <f t="shared" si="48"/>
        <v>0</v>
      </c>
      <c r="AO154" s="437">
        <f t="shared" si="49"/>
        <v>0</v>
      </c>
      <c r="AP154" s="437">
        <f t="shared" si="60"/>
        <v>0</v>
      </c>
      <c r="AQ154" s="437">
        <f t="shared" si="60"/>
        <v>0</v>
      </c>
      <c r="AR154" s="436"/>
      <c r="AS154" s="437">
        <f t="shared" si="36"/>
        <v>0</v>
      </c>
    </row>
    <row r="155" spans="1:45" s="438" customFormat="1" ht="23.25" customHeight="1">
      <c r="A155" s="1134"/>
      <c r="B155" s="1134"/>
      <c r="C155" s="1139" t="s">
        <v>522</v>
      </c>
      <c r="D155" s="1171" t="s">
        <v>525</v>
      </c>
      <c r="E155" s="1171" t="s">
        <v>491</v>
      </c>
      <c r="F155" s="1134">
        <v>12</v>
      </c>
      <c r="G155" s="1112">
        <v>6133</v>
      </c>
      <c r="H155" s="1134"/>
      <c r="I155" s="435">
        <v>0.25</v>
      </c>
      <c r="J155" s="1134"/>
      <c r="K155" s="1134"/>
      <c r="L155" s="1112"/>
      <c r="M155" s="1112"/>
      <c r="N155" s="1112">
        <f>G155+H156+I156+L156</f>
        <v>7666.25</v>
      </c>
      <c r="O155" s="1112"/>
      <c r="P155" s="1112">
        <v>0.25</v>
      </c>
      <c r="Q155" s="1112"/>
      <c r="R155" s="1112"/>
      <c r="S155" s="1112"/>
      <c r="T155" s="1134">
        <v>8</v>
      </c>
      <c r="U155" s="1138">
        <v>0.1</v>
      </c>
      <c r="V155" s="1112">
        <f>N155*U155</f>
        <v>766.625</v>
      </c>
      <c r="W155" s="1112"/>
      <c r="X155" s="1112">
        <f>(N155+V155)*P155</f>
        <v>2108.21875</v>
      </c>
      <c r="Y155" s="1113">
        <f>AB155</f>
        <v>2891.78125</v>
      </c>
      <c r="Z155" s="1113">
        <f>X155+Y155</f>
        <v>5000</v>
      </c>
      <c r="AA155" s="1110">
        <f>20000*P155</f>
        <v>5000</v>
      </c>
      <c r="AB155" s="1110">
        <f>AA155-X155</f>
        <v>2891.78125</v>
      </c>
      <c r="AC155" s="1112">
        <f>6500*P155</f>
        <v>1625</v>
      </c>
      <c r="AD155" s="1112">
        <f>X155-AC155</f>
        <v>483.21875</v>
      </c>
      <c r="AE155" s="436">
        <f t="shared" si="52"/>
        <v>0</v>
      </c>
      <c r="AF155" s="436">
        <f t="shared" si="53"/>
        <v>1533.25</v>
      </c>
      <c r="AG155" s="436">
        <f t="shared" si="54"/>
        <v>0</v>
      </c>
      <c r="AH155" s="436">
        <f t="shared" si="55"/>
        <v>1916.5625</v>
      </c>
      <c r="AI155" s="436">
        <f t="shared" si="56"/>
        <v>0</v>
      </c>
      <c r="AJ155" s="436">
        <f t="shared" si="56"/>
        <v>383.3125</v>
      </c>
      <c r="AK155" s="437">
        <f t="shared" si="57"/>
        <v>0</v>
      </c>
      <c r="AL155" s="437">
        <f t="shared" si="58"/>
        <v>191.65625</v>
      </c>
      <c r="AM155" s="437">
        <f t="shared" si="59"/>
        <v>0</v>
      </c>
      <c r="AN155" s="437">
        <f t="shared" si="48"/>
        <v>0</v>
      </c>
      <c r="AO155" s="437">
        <f t="shared" si="49"/>
        <v>0</v>
      </c>
      <c r="AP155" s="437">
        <f t="shared" si="60"/>
        <v>0</v>
      </c>
      <c r="AQ155" s="437">
        <f t="shared" si="60"/>
        <v>1916.5625</v>
      </c>
      <c r="AR155" s="436"/>
      <c r="AS155" s="437">
        <f t="shared" si="36"/>
        <v>1916.5625</v>
      </c>
    </row>
    <row r="156" spans="1:45" s="438" customFormat="1">
      <c r="A156" s="1134"/>
      <c r="B156" s="1134"/>
      <c r="C156" s="1139"/>
      <c r="D156" s="1172"/>
      <c r="E156" s="1172"/>
      <c r="F156" s="1134"/>
      <c r="G156" s="1112"/>
      <c r="H156" s="1134"/>
      <c r="I156" s="449">
        <f>G155*I155</f>
        <v>1533.25</v>
      </c>
      <c r="J156" s="1134"/>
      <c r="K156" s="1134"/>
      <c r="L156" s="1112"/>
      <c r="M156" s="1112"/>
      <c r="N156" s="1112"/>
      <c r="O156" s="1112"/>
      <c r="P156" s="1112"/>
      <c r="Q156" s="1112"/>
      <c r="R156" s="1112"/>
      <c r="S156" s="1112"/>
      <c r="T156" s="1134"/>
      <c r="U156" s="1138"/>
      <c r="V156" s="1112"/>
      <c r="W156" s="1112"/>
      <c r="X156" s="1112"/>
      <c r="Y156" s="1114"/>
      <c r="Z156" s="1114"/>
      <c r="AA156" s="1111"/>
      <c r="AB156" s="1111"/>
      <c r="AC156" s="1112"/>
      <c r="AD156" s="1112"/>
      <c r="AE156" s="436">
        <f t="shared" si="52"/>
        <v>0</v>
      </c>
      <c r="AF156" s="436">
        <f t="shared" si="53"/>
        <v>0</v>
      </c>
      <c r="AG156" s="436">
        <f t="shared" si="54"/>
        <v>0</v>
      </c>
      <c r="AH156" s="436">
        <f t="shared" si="55"/>
        <v>0</v>
      </c>
      <c r="AI156" s="436">
        <f t="shared" si="56"/>
        <v>0</v>
      </c>
      <c r="AJ156" s="436">
        <f t="shared" si="56"/>
        <v>0</v>
      </c>
      <c r="AK156" s="437">
        <f t="shared" si="57"/>
        <v>0</v>
      </c>
      <c r="AL156" s="437">
        <f t="shared" si="58"/>
        <v>0</v>
      </c>
      <c r="AM156" s="437">
        <f t="shared" si="59"/>
        <v>0</v>
      </c>
      <c r="AN156" s="437">
        <f t="shared" si="48"/>
        <v>0</v>
      </c>
      <c r="AO156" s="437">
        <f t="shared" si="49"/>
        <v>0</v>
      </c>
      <c r="AP156" s="437">
        <f t="shared" si="60"/>
        <v>0</v>
      </c>
      <c r="AQ156" s="437">
        <f t="shared" si="60"/>
        <v>0</v>
      </c>
      <c r="AR156" s="436"/>
      <c r="AS156" s="437">
        <f t="shared" si="36"/>
        <v>0</v>
      </c>
    </row>
    <row r="157" spans="1:45" s="438" customFormat="1" ht="23.25" customHeight="1">
      <c r="A157" s="1134"/>
      <c r="B157" s="1134"/>
      <c r="C157" s="1139" t="s">
        <v>522</v>
      </c>
      <c r="D157" s="1134" t="s">
        <v>526</v>
      </c>
      <c r="E157" s="1134" t="s">
        <v>527</v>
      </c>
      <c r="F157" s="1134">
        <v>13</v>
      </c>
      <c r="G157" s="1112">
        <v>6567</v>
      </c>
      <c r="H157" s="1134"/>
      <c r="I157" s="435">
        <v>0.25</v>
      </c>
      <c r="J157" s="1134"/>
      <c r="K157" s="1134"/>
      <c r="L157" s="1112"/>
      <c r="M157" s="1112"/>
      <c r="N157" s="1112">
        <f>G157+H158+I158+L158</f>
        <v>8208.75</v>
      </c>
      <c r="O157" s="1112"/>
      <c r="P157" s="1112">
        <v>0.25</v>
      </c>
      <c r="Q157" s="1112"/>
      <c r="R157" s="1112"/>
      <c r="S157" s="1112"/>
      <c r="T157" s="1134">
        <v>7</v>
      </c>
      <c r="U157" s="1138">
        <v>0.1</v>
      </c>
      <c r="V157" s="1112">
        <f>N157*U157</f>
        <v>820.875</v>
      </c>
      <c r="W157" s="1112"/>
      <c r="X157" s="1112">
        <f>(N157+V157)*P157</f>
        <v>2257.40625</v>
      </c>
      <c r="Y157" s="1113">
        <f>AB157</f>
        <v>2742.59375</v>
      </c>
      <c r="Z157" s="1113">
        <f>X157+Y157</f>
        <v>5000</v>
      </c>
      <c r="AA157" s="1110">
        <f>20000*P157</f>
        <v>5000</v>
      </c>
      <c r="AB157" s="1110">
        <f>AA157-X157</f>
        <v>2742.59375</v>
      </c>
      <c r="AC157" s="1112">
        <f>6500*P157</f>
        <v>1625</v>
      </c>
      <c r="AD157" s="1112">
        <f>X157-AC157</f>
        <v>632.40625</v>
      </c>
      <c r="AE157" s="436">
        <f t="shared" si="52"/>
        <v>0</v>
      </c>
      <c r="AF157" s="436">
        <f t="shared" si="53"/>
        <v>1641.75</v>
      </c>
      <c r="AG157" s="436">
        <f t="shared" si="54"/>
        <v>0</v>
      </c>
      <c r="AH157" s="436">
        <f t="shared" si="55"/>
        <v>2052.1875</v>
      </c>
      <c r="AI157" s="436">
        <f t="shared" si="56"/>
        <v>0</v>
      </c>
      <c r="AJ157" s="436">
        <f t="shared" si="56"/>
        <v>410.4375</v>
      </c>
      <c r="AK157" s="437">
        <f t="shared" si="57"/>
        <v>0</v>
      </c>
      <c r="AL157" s="437">
        <f t="shared" si="58"/>
        <v>205.21875</v>
      </c>
      <c r="AM157" s="437">
        <f t="shared" si="59"/>
        <v>0</v>
      </c>
      <c r="AN157" s="437">
        <f t="shared" si="48"/>
        <v>0</v>
      </c>
      <c r="AO157" s="437">
        <f t="shared" si="49"/>
        <v>0</v>
      </c>
      <c r="AP157" s="437">
        <f t="shared" si="60"/>
        <v>0</v>
      </c>
      <c r="AQ157" s="437">
        <f t="shared" si="60"/>
        <v>2052.1875</v>
      </c>
      <c r="AR157" s="436"/>
      <c r="AS157" s="437">
        <f t="shared" si="36"/>
        <v>2052.1875</v>
      </c>
    </row>
    <row r="158" spans="1:45" s="438" customFormat="1">
      <c r="A158" s="1134"/>
      <c r="B158" s="1134"/>
      <c r="C158" s="1139"/>
      <c r="D158" s="1134"/>
      <c r="E158" s="1134"/>
      <c r="F158" s="1134"/>
      <c r="G158" s="1112"/>
      <c r="H158" s="1134"/>
      <c r="I158" s="452">
        <f>G157*I157</f>
        <v>1641.75</v>
      </c>
      <c r="J158" s="1134"/>
      <c r="K158" s="1134"/>
      <c r="L158" s="1112"/>
      <c r="M158" s="1112"/>
      <c r="N158" s="1112"/>
      <c r="O158" s="1112"/>
      <c r="P158" s="1112"/>
      <c r="Q158" s="1112"/>
      <c r="R158" s="1112"/>
      <c r="S158" s="1112"/>
      <c r="T158" s="1134"/>
      <c r="U158" s="1138"/>
      <c r="V158" s="1112"/>
      <c r="W158" s="1112"/>
      <c r="X158" s="1112"/>
      <c r="Y158" s="1114"/>
      <c r="Z158" s="1114"/>
      <c r="AA158" s="1111"/>
      <c r="AB158" s="1111"/>
      <c r="AC158" s="1112"/>
      <c r="AD158" s="1112"/>
      <c r="AE158" s="436">
        <f t="shared" si="52"/>
        <v>0</v>
      </c>
      <c r="AF158" s="436">
        <f t="shared" si="53"/>
        <v>0</v>
      </c>
      <c r="AG158" s="436">
        <f t="shared" si="54"/>
        <v>0</v>
      </c>
      <c r="AH158" s="436">
        <f t="shared" si="55"/>
        <v>0</v>
      </c>
      <c r="AI158" s="436">
        <f t="shared" si="56"/>
        <v>0</v>
      </c>
      <c r="AJ158" s="436">
        <f t="shared" si="56"/>
        <v>0</v>
      </c>
      <c r="AK158" s="437">
        <f t="shared" si="57"/>
        <v>0</v>
      </c>
      <c r="AL158" s="437">
        <f t="shared" si="58"/>
        <v>0</v>
      </c>
      <c r="AM158" s="437">
        <f t="shared" si="59"/>
        <v>0</v>
      </c>
      <c r="AN158" s="437">
        <f t="shared" si="48"/>
        <v>0</v>
      </c>
      <c r="AO158" s="437">
        <f t="shared" si="49"/>
        <v>0</v>
      </c>
      <c r="AP158" s="437">
        <f t="shared" si="60"/>
        <v>0</v>
      </c>
      <c r="AQ158" s="437">
        <f t="shared" si="60"/>
        <v>0</v>
      </c>
      <c r="AR158" s="436"/>
      <c r="AS158" s="437">
        <f t="shared" ref="AS158:AS221" si="61">AP158+AQ158-AR158</f>
        <v>0</v>
      </c>
    </row>
    <row r="159" spans="1:45" s="446" customFormat="1" ht="24.95" customHeight="1">
      <c r="A159" s="441"/>
      <c r="B159" s="441"/>
      <c r="C159" s="442" t="s">
        <v>318</v>
      </c>
      <c r="D159" s="443"/>
      <c r="E159" s="441"/>
      <c r="F159" s="441"/>
      <c r="G159" s="444">
        <f>SUM(G141:G158)</f>
        <v>56499</v>
      </c>
      <c r="H159" s="441">
        <f>H142</f>
        <v>1750.25</v>
      </c>
      <c r="I159" s="445">
        <f>I142+I144+I146+I148+I150+I152+I154+I156+I158</f>
        <v>15875</v>
      </c>
      <c r="J159" s="441"/>
      <c r="K159" s="441"/>
      <c r="L159" s="441"/>
      <c r="M159" s="441"/>
      <c r="N159" s="444">
        <f>SUM(N141:N158)</f>
        <v>74124.25</v>
      </c>
      <c r="O159" s="444">
        <f>SUM(O141:O158)</f>
        <v>6</v>
      </c>
      <c r="P159" s="444">
        <f>SUM(P141:P158)</f>
        <v>0.5</v>
      </c>
      <c r="Q159" s="444"/>
      <c r="R159" s="444"/>
      <c r="S159" s="444"/>
      <c r="T159" s="444"/>
      <c r="U159" s="444"/>
      <c r="V159" s="444">
        <f t="shared" ref="V159:AD159" si="62">SUM(V141:V158)</f>
        <v>13254.775</v>
      </c>
      <c r="W159" s="444">
        <f t="shared" si="62"/>
        <v>0</v>
      </c>
      <c r="X159" s="444">
        <f t="shared" si="62"/>
        <v>63610.775000000001</v>
      </c>
      <c r="Y159" s="444">
        <f t="shared" si="62"/>
        <v>66389.225000000006</v>
      </c>
      <c r="Z159" s="444">
        <f t="shared" si="62"/>
        <v>130000</v>
      </c>
      <c r="AA159" s="499">
        <f t="shared" si="62"/>
        <v>130000</v>
      </c>
      <c r="AB159" s="499">
        <f t="shared" si="62"/>
        <v>66389.225000000006</v>
      </c>
      <c r="AC159" s="444">
        <f t="shared" si="62"/>
        <v>42250</v>
      </c>
      <c r="AD159" s="444">
        <f t="shared" si="62"/>
        <v>21360.775000000001</v>
      </c>
      <c r="AE159" s="436"/>
      <c r="AF159" s="436"/>
      <c r="AG159" s="436"/>
      <c r="AH159" s="436"/>
      <c r="AI159" s="436"/>
      <c r="AJ159" s="436"/>
      <c r="AK159" s="437"/>
      <c r="AL159" s="437"/>
      <c r="AM159" s="437"/>
      <c r="AN159" s="437"/>
      <c r="AO159" s="437"/>
      <c r="AP159" s="437">
        <f t="shared" si="60"/>
        <v>0</v>
      </c>
      <c r="AQ159" s="437">
        <f t="shared" si="60"/>
        <v>0</v>
      </c>
      <c r="AR159" s="436"/>
      <c r="AS159" s="437">
        <f t="shared" si="61"/>
        <v>0</v>
      </c>
    </row>
    <row r="160" spans="1:45" s="446" customFormat="1" ht="24.95" customHeight="1">
      <c r="A160" s="441"/>
      <c r="B160" s="441"/>
      <c r="C160" s="1136" t="s">
        <v>528</v>
      </c>
      <c r="D160" s="1136"/>
      <c r="E160" s="441"/>
      <c r="F160" s="441"/>
      <c r="G160" s="441"/>
      <c r="H160" s="441"/>
      <c r="I160" s="441"/>
      <c r="J160" s="441"/>
      <c r="K160" s="441"/>
      <c r="L160" s="441"/>
      <c r="M160" s="441"/>
      <c r="N160" s="441"/>
      <c r="O160" s="441"/>
      <c r="P160" s="441"/>
      <c r="Q160" s="441"/>
      <c r="R160" s="441"/>
      <c r="S160" s="441"/>
      <c r="T160" s="441"/>
      <c r="U160" s="441"/>
      <c r="V160" s="441"/>
      <c r="W160" s="441"/>
      <c r="X160" s="441"/>
      <c r="Y160" s="441"/>
      <c r="Z160" s="441"/>
      <c r="AA160" s="503"/>
      <c r="AB160" s="503"/>
      <c r="AC160" s="441"/>
      <c r="AD160" s="441"/>
      <c r="AE160" s="436">
        <f t="shared" si="52"/>
        <v>0</v>
      </c>
      <c r="AF160" s="436">
        <f t="shared" si="53"/>
        <v>0</v>
      </c>
      <c r="AG160" s="436">
        <f t="shared" si="54"/>
        <v>0</v>
      </c>
      <c r="AH160" s="436">
        <f t="shared" si="55"/>
        <v>0</v>
      </c>
      <c r="AI160" s="436">
        <f t="shared" si="56"/>
        <v>0</v>
      </c>
      <c r="AJ160" s="436">
        <f t="shared" si="56"/>
        <v>0</v>
      </c>
      <c r="AK160" s="437">
        <f t="shared" si="57"/>
        <v>0</v>
      </c>
      <c r="AL160" s="437">
        <f t="shared" si="58"/>
        <v>0</v>
      </c>
      <c r="AM160" s="437">
        <f t="shared" si="59"/>
        <v>0</v>
      </c>
      <c r="AN160" s="437">
        <f t="shared" si="48"/>
        <v>0</v>
      </c>
      <c r="AO160" s="437">
        <f t="shared" si="49"/>
        <v>0</v>
      </c>
      <c r="AP160" s="437">
        <f t="shared" si="60"/>
        <v>0</v>
      </c>
      <c r="AQ160" s="437">
        <f t="shared" si="60"/>
        <v>0</v>
      </c>
      <c r="AR160" s="436"/>
      <c r="AS160" s="437">
        <f t="shared" si="61"/>
        <v>0</v>
      </c>
    </row>
    <row r="161" spans="1:45" s="438" customFormat="1" ht="24.95" customHeight="1">
      <c r="A161" s="1134"/>
      <c r="B161" s="1134"/>
      <c r="C161" s="1139" t="s">
        <v>1037</v>
      </c>
      <c r="D161" s="1134" t="s">
        <v>337</v>
      </c>
      <c r="E161" s="1134" t="s">
        <v>1038</v>
      </c>
      <c r="F161" s="1134">
        <v>10</v>
      </c>
      <c r="G161" s="1112">
        <v>5265</v>
      </c>
      <c r="H161" s="1134"/>
      <c r="I161" s="1134"/>
      <c r="J161" s="1134"/>
      <c r="K161" s="1134"/>
      <c r="L161" s="435">
        <v>0.15</v>
      </c>
      <c r="M161" s="1138"/>
      <c r="N161" s="1112">
        <f>G161+H162+I162+L162</f>
        <v>6054.75</v>
      </c>
      <c r="O161" s="1112"/>
      <c r="P161" s="1112">
        <v>0.5</v>
      </c>
      <c r="Q161" s="1134"/>
      <c r="R161" s="1138"/>
      <c r="S161" s="1134"/>
      <c r="T161" s="1134">
        <v>4</v>
      </c>
      <c r="U161" s="1138">
        <v>0.1</v>
      </c>
      <c r="V161" s="1112">
        <f>N161*U161</f>
        <v>605.47500000000002</v>
      </c>
      <c r="W161" s="1112"/>
      <c r="X161" s="1112">
        <f>(N161+V161)*P161+W161</f>
        <v>3330.1125000000002</v>
      </c>
      <c r="Y161" s="1113">
        <f>AB161</f>
        <v>6669.8874999999998</v>
      </c>
      <c r="Z161" s="1113">
        <f>X161+Y161</f>
        <v>10000</v>
      </c>
      <c r="AA161" s="1110">
        <f>20000*P161</f>
        <v>10000</v>
      </c>
      <c r="AB161" s="1110">
        <f>AA161-X161</f>
        <v>6669.8874999999998</v>
      </c>
      <c r="AC161" s="1112">
        <f>6500*P161</f>
        <v>3250</v>
      </c>
      <c r="AD161" s="1112">
        <f>X161-AC161</f>
        <v>80.112500000000182</v>
      </c>
      <c r="AE161" s="436">
        <f t="shared" si="52"/>
        <v>0</v>
      </c>
      <c r="AF161" s="436">
        <f t="shared" si="53"/>
        <v>2632.5</v>
      </c>
      <c r="AG161" s="436">
        <f t="shared" si="54"/>
        <v>0</v>
      </c>
      <c r="AH161" s="436">
        <f t="shared" si="55"/>
        <v>3027.375</v>
      </c>
      <c r="AI161" s="436">
        <f t="shared" si="56"/>
        <v>0</v>
      </c>
      <c r="AJ161" s="436">
        <f t="shared" si="56"/>
        <v>394.875</v>
      </c>
      <c r="AK161" s="437">
        <f t="shared" si="57"/>
        <v>0</v>
      </c>
      <c r="AL161" s="437">
        <f t="shared" si="58"/>
        <v>302.73750000000001</v>
      </c>
      <c r="AM161" s="437">
        <f t="shared" si="59"/>
        <v>0</v>
      </c>
      <c r="AN161" s="437">
        <f t="shared" si="48"/>
        <v>0</v>
      </c>
      <c r="AO161" s="437">
        <f t="shared" si="49"/>
        <v>0</v>
      </c>
      <c r="AP161" s="437">
        <f t="shared" si="60"/>
        <v>0</v>
      </c>
      <c r="AQ161" s="437">
        <f t="shared" si="60"/>
        <v>3027.375</v>
      </c>
      <c r="AR161" s="436"/>
      <c r="AS161" s="437">
        <f t="shared" si="61"/>
        <v>3027.375</v>
      </c>
    </row>
    <row r="162" spans="1:45" s="438" customFormat="1" ht="24.95" customHeight="1">
      <c r="A162" s="1134"/>
      <c r="B162" s="1134"/>
      <c r="C162" s="1139"/>
      <c r="D162" s="1134"/>
      <c r="E162" s="1134"/>
      <c r="F162" s="1134"/>
      <c r="G162" s="1112"/>
      <c r="H162" s="1134"/>
      <c r="I162" s="1134"/>
      <c r="J162" s="1134"/>
      <c r="K162" s="1134"/>
      <c r="L162" s="439">
        <f>(G161+H162+I162)*L161</f>
        <v>789.75</v>
      </c>
      <c r="M162" s="1134"/>
      <c r="N162" s="1112"/>
      <c r="O162" s="1112"/>
      <c r="P162" s="1112"/>
      <c r="Q162" s="1134"/>
      <c r="R162" s="1134"/>
      <c r="S162" s="1134"/>
      <c r="T162" s="1134"/>
      <c r="U162" s="1138"/>
      <c r="V162" s="1112"/>
      <c r="W162" s="1112"/>
      <c r="X162" s="1112"/>
      <c r="Y162" s="1114"/>
      <c r="Z162" s="1114"/>
      <c r="AA162" s="1111"/>
      <c r="AB162" s="1111"/>
      <c r="AC162" s="1112"/>
      <c r="AD162" s="1112"/>
      <c r="AE162" s="436">
        <f t="shared" si="52"/>
        <v>0</v>
      </c>
      <c r="AF162" s="436">
        <f t="shared" si="53"/>
        <v>0</v>
      </c>
      <c r="AG162" s="436">
        <f t="shared" si="54"/>
        <v>0</v>
      </c>
      <c r="AH162" s="436">
        <f t="shared" si="55"/>
        <v>0</v>
      </c>
      <c r="AI162" s="436">
        <f t="shared" si="56"/>
        <v>0</v>
      </c>
      <c r="AJ162" s="436">
        <f t="shared" si="56"/>
        <v>0</v>
      </c>
      <c r="AK162" s="437">
        <f t="shared" si="57"/>
        <v>0</v>
      </c>
      <c r="AL162" s="437">
        <f t="shared" si="58"/>
        <v>0</v>
      </c>
      <c r="AM162" s="437">
        <f t="shared" si="59"/>
        <v>0</v>
      </c>
      <c r="AN162" s="437">
        <f t="shared" si="48"/>
        <v>0</v>
      </c>
      <c r="AO162" s="437">
        <f t="shared" si="49"/>
        <v>0</v>
      </c>
      <c r="AP162" s="437">
        <f t="shared" si="60"/>
        <v>0</v>
      </c>
      <c r="AQ162" s="437">
        <f t="shared" si="60"/>
        <v>0</v>
      </c>
      <c r="AR162" s="436"/>
      <c r="AS162" s="437">
        <f t="shared" si="61"/>
        <v>0</v>
      </c>
    </row>
    <row r="163" spans="1:45" s="438" customFormat="1" ht="24.95" customHeight="1">
      <c r="A163" s="1134"/>
      <c r="B163" s="1134"/>
      <c r="C163" s="1139" t="s">
        <v>504</v>
      </c>
      <c r="D163" s="1134" t="s">
        <v>531</v>
      </c>
      <c r="E163" s="1134" t="s">
        <v>532</v>
      </c>
      <c r="F163" s="1134">
        <v>14</v>
      </c>
      <c r="G163" s="1112">
        <v>7001</v>
      </c>
      <c r="H163" s="1134"/>
      <c r="I163" s="1134"/>
      <c r="J163" s="1134"/>
      <c r="K163" s="1134"/>
      <c r="L163" s="435">
        <v>0.15</v>
      </c>
      <c r="M163" s="1138"/>
      <c r="N163" s="1112">
        <f>G163+H164+I164+L164</f>
        <v>8051.15</v>
      </c>
      <c r="O163" s="1112"/>
      <c r="P163" s="1112">
        <v>0.5</v>
      </c>
      <c r="Q163" s="1134"/>
      <c r="R163" s="1138"/>
      <c r="S163" s="1134"/>
      <c r="T163" s="1134">
        <v>42</v>
      </c>
      <c r="U163" s="1138">
        <v>0.3</v>
      </c>
      <c r="V163" s="1112">
        <f>N163*U163</f>
        <v>2415.3449999999998</v>
      </c>
      <c r="W163" s="1112"/>
      <c r="X163" s="1112">
        <f>(N163+R164+V163)*P163</f>
        <v>5233.2474999999995</v>
      </c>
      <c r="Y163" s="1113">
        <f>AB163</f>
        <v>4766.7525000000005</v>
      </c>
      <c r="Z163" s="1113">
        <f>X163+Y163</f>
        <v>10000</v>
      </c>
      <c r="AA163" s="1110">
        <f>20000*P163</f>
        <v>10000</v>
      </c>
      <c r="AB163" s="1110">
        <f>AA163-X163</f>
        <v>4766.7525000000005</v>
      </c>
      <c r="AC163" s="1112">
        <f>6500*P163</f>
        <v>3250</v>
      </c>
      <c r="AD163" s="1112">
        <f>X163-AC163</f>
        <v>1983.2474999999995</v>
      </c>
      <c r="AE163" s="436">
        <f t="shared" si="52"/>
        <v>0</v>
      </c>
      <c r="AF163" s="436">
        <f t="shared" si="53"/>
        <v>3500.5</v>
      </c>
      <c r="AG163" s="436">
        <f t="shared" si="54"/>
        <v>0</v>
      </c>
      <c r="AH163" s="436">
        <f t="shared" si="55"/>
        <v>4025.5749999999998</v>
      </c>
      <c r="AI163" s="436">
        <f t="shared" si="56"/>
        <v>0</v>
      </c>
      <c r="AJ163" s="436">
        <f t="shared" si="56"/>
        <v>525.07499999999982</v>
      </c>
      <c r="AK163" s="437">
        <f t="shared" si="57"/>
        <v>0</v>
      </c>
      <c r="AL163" s="437">
        <f t="shared" si="58"/>
        <v>1207.6724999999999</v>
      </c>
      <c r="AM163" s="437">
        <f t="shared" si="59"/>
        <v>0</v>
      </c>
      <c r="AN163" s="437">
        <f t="shared" si="48"/>
        <v>0</v>
      </c>
      <c r="AO163" s="437">
        <f t="shared" si="49"/>
        <v>0</v>
      </c>
      <c r="AP163" s="437">
        <f t="shared" si="60"/>
        <v>0</v>
      </c>
      <c r="AQ163" s="437">
        <f t="shared" si="60"/>
        <v>4025.5749999999998</v>
      </c>
      <c r="AR163" s="436"/>
      <c r="AS163" s="437">
        <f t="shared" si="61"/>
        <v>4025.5749999999998</v>
      </c>
    </row>
    <row r="164" spans="1:45" s="438" customFormat="1" ht="24.95" customHeight="1">
      <c r="A164" s="1134"/>
      <c r="B164" s="1134"/>
      <c r="C164" s="1139"/>
      <c r="D164" s="1134"/>
      <c r="E164" s="1134"/>
      <c r="F164" s="1134"/>
      <c r="G164" s="1112"/>
      <c r="H164" s="1134"/>
      <c r="I164" s="1134"/>
      <c r="J164" s="1134"/>
      <c r="K164" s="1134"/>
      <c r="L164" s="439">
        <f>(G163+H164+I164)*L163</f>
        <v>1050.1499999999999</v>
      </c>
      <c r="M164" s="1134"/>
      <c r="N164" s="1112"/>
      <c r="O164" s="1112"/>
      <c r="P164" s="1112"/>
      <c r="Q164" s="1134"/>
      <c r="R164" s="1134"/>
      <c r="S164" s="1134"/>
      <c r="T164" s="1134"/>
      <c r="U164" s="1138"/>
      <c r="V164" s="1112"/>
      <c r="W164" s="1112"/>
      <c r="X164" s="1112"/>
      <c r="Y164" s="1114"/>
      <c r="Z164" s="1114"/>
      <c r="AA164" s="1111"/>
      <c r="AB164" s="1111"/>
      <c r="AC164" s="1112"/>
      <c r="AD164" s="1112"/>
      <c r="AE164" s="436">
        <f t="shared" si="52"/>
        <v>0</v>
      </c>
      <c r="AF164" s="436">
        <f t="shared" si="53"/>
        <v>0</v>
      </c>
      <c r="AG164" s="436">
        <f t="shared" si="54"/>
        <v>0</v>
      </c>
      <c r="AH164" s="436">
        <f t="shared" si="55"/>
        <v>0</v>
      </c>
      <c r="AI164" s="436">
        <f t="shared" si="56"/>
        <v>0</v>
      </c>
      <c r="AJ164" s="436">
        <f t="shared" si="56"/>
        <v>0</v>
      </c>
      <c r="AK164" s="437">
        <f t="shared" si="57"/>
        <v>0</v>
      </c>
      <c r="AL164" s="437">
        <f t="shared" si="58"/>
        <v>0</v>
      </c>
      <c r="AM164" s="437">
        <f t="shared" si="59"/>
        <v>0</v>
      </c>
      <c r="AN164" s="437">
        <f t="shared" si="48"/>
        <v>0</v>
      </c>
      <c r="AO164" s="437">
        <f t="shared" si="49"/>
        <v>0</v>
      </c>
      <c r="AP164" s="437">
        <f t="shared" si="60"/>
        <v>0</v>
      </c>
      <c r="AQ164" s="437">
        <f t="shared" si="60"/>
        <v>0</v>
      </c>
      <c r="AR164" s="436"/>
      <c r="AS164" s="437">
        <f t="shared" si="61"/>
        <v>0</v>
      </c>
    </row>
    <row r="165" spans="1:45" s="438" customFormat="1" ht="24.95" customHeight="1">
      <c r="A165" s="1134"/>
      <c r="B165" s="1134"/>
      <c r="C165" s="1139" t="s">
        <v>504</v>
      </c>
      <c r="D165" s="1134"/>
      <c r="E165" s="1134" t="s">
        <v>325</v>
      </c>
      <c r="F165" s="1134">
        <v>11</v>
      </c>
      <c r="G165" s="1112">
        <v>5699</v>
      </c>
      <c r="H165" s="1134"/>
      <c r="I165" s="1134"/>
      <c r="J165" s="1134"/>
      <c r="K165" s="1134"/>
      <c r="L165" s="435">
        <v>0.15</v>
      </c>
      <c r="M165" s="1138"/>
      <c r="N165" s="1112">
        <f>G165+H166+I166+L166</f>
        <v>6553.85</v>
      </c>
      <c r="O165" s="1112"/>
      <c r="P165" s="1112">
        <v>0.5</v>
      </c>
      <c r="Q165" s="1134"/>
      <c r="R165" s="1138"/>
      <c r="S165" s="1134"/>
      <c r="T165" s="1134">
        <v>0</v>
      </c>
      <c r="U165" s="1138">
        <v>0</v>
      </c>
      <c r="V165" s="1112">
        <f>N165*U165</f>
        <v>0</v>
      </c>
      <c r="W165" s="1112"/>
      <c r="X165" s="1112">
        <f>(N165+R166+V165)*P165</f>
        <v>3276.9250000000002</v>
      </c>
      <c r="Y165" s="1113">
        <f>AB165</f>
        <v>6723.0749999999998</v>
      </c>
      <c r="Z165" s="1113">
        <f>X165+Y165</f>
        <v>10000</v>
      </c>
      <c r="AA165" s="1110">
        <f>20000*P165</f>
        <v>10000</v>
      </c>
      <c r="AB165" s="1110">
        <f>AA165-X165</f>
        <v>6723.0749999999998</v>
      </c>
      <c r="AC165" s="1112">
        <f>6500*P165</f>
        <v>3250</v>
      </c>
      <c r="AD165" s="1112">
        <f>X165-AC165</f>
        <v>26.925000000000182</v>
      </c>
      <c r="AE165" s="436">
        <f t="shared" si="52"/>
        <v>0</v>
      </c>
      <c r="AF165" s="436">
        <f t="shared" si="53"/>
        <v>2849.5</v>
      </c>
      <c r="AG165" s="436">
        <f t="shared" si="54"/>
        <v>0</v>
      </c>
      <c r="AH165" s="436">
        <f t="shared" si="55"/>
        <v>3276.9250000000002</v>
      </c>
      <c r="AI165" s="436">
        <f t="shared" si="56"/>
        <v>0</v>
      </c>
      <c r="AJ165" s="436">
        <f t="shared" si="56"/>
        <v>427.42500000000018</v>
      </c>
      <c r="AK165" s="437">
        <f t="shared" si="57"/>
        <v>0</v>
      </c>
      <c r="AL165" s="437">
        <f t="shared" si="58"/>
        <v>0</v>
      </c>
      <c r="AM165" s="437">
        <f t="shared" si="59"/>
        <v>0</v>
      </c>
      <c r="AN165" s="437">
        <f t="shared" si="48"/>
        <v>0</v>
      </c>
      <c r="AO165" s="437">
        <f t="shared" si="49"/>
        <v>0</v>
      </c>
      <c r="AP165" s="437">
        <f t="shared" si="60"/>
        <v>0</v>
      </c>
      <c r="AQ165" s="437">
        <f t="shared" si="60"/>
        <v>3276.9250000000002</v>
      </c>
      <c r="AR165" s="436"/>
      <c r="AS165" s="437">
        <f t="shared" si="61"/>
        <v>3276.9250000000002</v>
      </c>
    </row>
    <row r="166" spans="1:45" s="438" customFormat="1" ht="24.95" customHeight="1">
      <c r="A166" s="1134"/>
      <c r="B166" s="1134"/>
      <c r="C166" s="1139"/>
      <c r="D166" s="1134"/>
      <c r="E166" s="1134"/>
      <c r="F166" s="1134"/>
      <c r="G166" s="1112"/>
      <c r="H166" s="1134"/>
      <c r="I166" s="1134"/>
      <c r="J166" s="1134"/>
      <c r="K166" s="1134"/>
      <c r="L166" s="439">
        <f>(G165+H166+I166)*L165</f>
        <v>854.85</v>
      </c>
      <c r="M166" s="1134"/>
      <c r="N166" s="1112"/>
      <c r="O166" s="1112"/>
      <c r="P166" s="1112"/>
      <c r="Q166" s="1134"/>
      <c r="R166" s="1134"/>
      <c r="S166" s="1134"/>
      <c r="T166" s="1134"/>
      <c r="U166" s="1138"/>
      <c r="V166" s="1112"/>
      <c r="W166" s="1112"/>
      <c r="X166" s="1112"/>
      <c r="Y166" s="1114"/>
      <c r="Z166" s="1114"/>
      <c r="AA166" s="1111"/>
      <c r="AB166" s="1111"/>
      <c r="AC166" s="1112"/>
      <c r="AD166" s="1112"/>
      <c r="AE166" s="436">
        <f t="shared" si="52"/>
        <v>0</v>
      </c>
      <c r="AF166" s="436">
        <f t="shared" si="53"/>
        <v>0</v>
      </c>
      <c r="AG166" s="436">
        <f t="shared" si="54"/>
        <v>0</v>
      </c>
      <c r="AH166" s="436">
        <f t="shared" si="55"/>
        <v>0</v>
      </c>
      <c r="AI166" s="436">
        <f t="shared" si="56"/>
        <v>0</v>
      </c>
      <c r="AJ166" s="436">
        <f t="shared" si="56"/>
        <v>0</v>
      </c>
      <c r="AK166" s="437">
        <f t="shared" si="57"/>
        <v>0</v>
      </c>
      <c r="AL166" s="437">
        <f t="shared" si="58"/>
        <v>0</v>
      </c>
      <c r="AM166" s="437">
        <f t="shared" si="59"/>
        <v>0</v>
      </c>
      <c r="AN166" s="437">
        <f t="shared" si="48"/>
        <v>0</v>
      </c>
      <c r="AO166" s="437">
        <f t="shared" si="49"/>
        <v>0</v>
      </c>
      <c r="AP166" s="437">
        <f t="shared" si="60"/>
        <v>0</v>
      </c>
      <c r="AQ166" s="437">
        <f t="shared" si="60"/>
        <v>0</v>
      </c>
      <c r="AR166" s="436"/>
      <c r="AS166" s="437">
        <f t="shared" si="61"/>
        <v>0</v>
      </c>
    </row>
    <row r="167" spans="1:45" s="438" customFormat="1" ht="24.95" customHeight="1">
      <c r="A167" s="1134"/>
      <c r="B167" s="1134"/>
      <c r="C167" s="1139" t="s">
        <v>504</v>
      </c>
      <c r="D167" s="1134" t="s">
        <v>1039</v>
      </c>
      <c r="E167" s="1134" t="s">
        <v>1040</v>
      </c>
      <c r="F167" s="1134">
        <v>11</v>
      </c>
      <c r="G167" s="1112">
        <v>5699</v>
      </c>
      <c r="H167" s="1134"/>
      <c r="I167" s="1134"/>
      <c r="J167" s="1134"/>
      <c r="K167" s="1134"/>
      <c r="L167" s="435">
        <v>0.15</v>
      </c>
      <c r="M167" s="1138"/>
      <c r="N167" s="1112">
        <f>G167+H168+I168+L168</f>
        <v>6553.85</v>
      </c>
      <c r="O167" s="1112">
        <v>1</v>
      </c>
      <c r="P167" s="1112"/>
      <c r="Q167" s="1134"/>
      <c r="R167" s="1138"/>
      <c r="S167" s="1134"/>
      <c r="T167" s="1134">
        <v>4</v>
      </c>
      <c r="U167" s="1138">
        <v>0.1</v>
      </c>
      <c r="V167" s="1112">
        <f>N167*U167</f>
        <v>655.3850000000001</v>
      </c>
      <c r="W167" s="1112"/>
      <c r="X167" s="1112">
        <f>N167+R168+V167</f>
        <v>7209.2350000000006</v>
      </c>
      <c r="Y167" s="1112">
        <f>AB167</f>
        <v>12790.764999999999</v>
      </c>
      <c r="Z167" s="1112">
        <f>X167+Y167</f>
        <v>20000</v>
      </c>
      <c r="AA167" s="1109">
        <f>20000*O167</f>
        <v>20000</v>
      </c>
      <c r="AB167" s="1109">
        <f>AA167-X167</f>
        <v>12790.764999999999</v>
      </c>
      <c r="AC167" s="1112">
        <f>6500*O167</f>
        <v>6500</v>
      </c>
      <c r="AD167" s="1112">
        <f>X167-AC167</f>
        <v>709.23500000000058</v>
      </c>
      <c r="AE167" s="436">
        <f t="shared" si="52"/>
        <v>5699</v>
      </c>
      <c r="AF167" s="436">
        <f t="shared" si="53"/>
        <v>0</v>
      </c>
      <c r="AG167" s="436">
        <f t="shared" si="54"/>
        <v>6553.85</v>
      </c>
      <c r="AH167" s="436">
        <f t="shared" si="55"/>
        <v>0</v>
      </c>
      <c r="AI167" s="436">
        <f t="shared" si="56"/>
        <v>854.85000000000036</v>
      </c>
      <c r="AJ167" s="436">
        <f t="shared" si="56"/>
        <v>0</v>
      </c>
      <c r="AK167" s="437">
        <f t="shared" si="57"/>
        <v>655.3850000000001</v>
      </c>
      <c r="AL167" s="437">
        <f t="shared" si="58"/>
        <v>0</v>
      </c>
      <c r="AM167" s="437">
        <f t="shared" si="59"/>
        <v>0</v>
      </c>
      <c r="AN167" s="437">
        <f t="shared" si="48"/>
        <v>0</v>
      </c>
      <c r="AO167" s="437">
        <f t="shared" si="49"/>
        <v>0</v>
      </c>
      <c r="AP167" s="437">
        <f t="shared" si="60"/>
        <v>6553.85</v>
      </c>
      <c r="AQ167" s="437">
        <f t="shared" si="60"/>
        <v>0</v>
      </c>
      <c r="AR167" s="436"/>
      <c r="AS167" s="437">
        <f t="shared" si="61"/>
        <v>6553.85</v>
      </c>
    </row>
    <row r="168" spans="1:45" s="438" customFormat="1" ht="24.95" customHeight="1">
      <c r="A168" s="1134"/>
      <c r="B168" s="1134"/>
      <c r="C168" s="1139"/>
      <c r="D168" s="1134"/>
      <c r="E168" s="1134"/>
      <c r="F168" s="1134"/>
      <c r="G168" s="1112"/>
      <c r="H168" s="1134"/>
      <c r="I168" s="1134"/>
      <c r="J168" s="1134"/>
      <c r="K168" s="1134"/>
      <c r="L168" s="439">
        <f>(G167+H168+I168)*L167</f>
        <v>854.85</v>
      </c>
      <c r="M168" s="1134"/>
      <c r="N168" s="1112"/>
      <c r="O168" s="1112"/>
      <c r="P168" s="1112"/>
      <c r="Q168" s="1134"/>
      <c r="R168" s="1134"/>
      <c r="S168" s="1134"/>
      <c r="T168" s="1134"/>
      <c r="U168" s="1138"/>
      <c r="V168" s="1112"/>
      <c r="W168" s="1112"/>
      <c r="X168" s="1112"/>
      <c r="Y168" s="1112"/>
      <c r="Z168" s="1112"/>
      <c r="AA168" s="1109"/>
      <c r="AB168" s="1109"/>
      <c r="AC168" s="1112"/>
      <c r="AD168" s="1112"/>
      <c r="AE168" s="436">
        <f t="shared" si="52"/>
        <v>0</v>
      </c>
      <c r="AF168" s="436">
        <f t="shared" si="53"/>
        <v>0</v>
      </c>
      <c r="AG168" s="436">
        <f t="shared" si="54"/>
        <v>0</v>
      </c>
      <c r="AH168" s="436">
        <f t="shared" si="55"/>
        <v>0</v>
      </c>
      <c r="AI168" s="436">
        <f t="shared" si="56"/>
        <v>0</v>
      </c>
      <c r="AJ168" s="436">
        <f t="shared" si="56"/>
        <v>0</v>
      </c>
      <c r="AK168" s="437">
        <f t="shared" si="57"/>
        <v>0</v>
      </c>
      <c r="AL168" s="437">
        <f t="shared" si="58"/>
        <v>0</v>
      </c>
      <c r="AM168" s="437">
        <f t="shared" si="59"/>
        <v>0</v>
      </c>
      <c r="AN168" s="437">
        <f t="shared" si="48"/>
        <v>0</v>
      </c>
      <c r="AO168" s="437">
        <f t="shared" si="49"/>
        <v>0</v>
      </c>
      <c r="AP168" s="437">
        <f t="shared" si="60"/>
        <v>0</v>
      </c>
      <c r="AQ168" s="437">
        <f t="shared" si="60"/>
        <v>0</v>
      </c>
      <c r="AR168" s="436"/>
      <c r="AS168" s="437">
        <f t="shared" si="61"/>
        <v>0</v>
      </c>
    </row>
    <row r="169" spans="1:45" s="446" customFormat="1" ht="24.95" customHeight="1">
      <c r="A169" s="441"/>
      <c r="B169" s="441"/>
      <c r="C169" s="442" t="s">
        <v>318</v>
      </c>
      <c r="D169" s="443"/>
      <c r="E169" s="441"/>
      <c r="F169" s="441"/>
      <c r="G169" s="444">
        <f>SUM(G161:G168)</f>
        <v>23664</v>
      </c>
      <c r="H169" s="444"/>
      <c r="I169" s="445"/>
      <c r="J169" s="441"/>
      <c r="K169" s="441"/>
      <c r="L169" s="451">
        <f>L162+L164+L166+L168</f>
        <v>3549.6</v>
      </c>
      <c r="M169" s="441"/>
      <c r="N169" s="444">
        <f>SUM(N161:N168)</f>
        <v>27213.599999999999</v>
      </c>
      <c r="O169" s="444">
        <f t="shared" ref="O169:X169" si="63">SUM(O161:O168)</f>
        <v>1</v>
      </c>
      <c r="P169" s="444">
        <f t="shared" si="63"/>
        <v>1.5</v>
      </c>
      <c r="Q169" s="444"/>
      <c r="R169" s="444"/>
      <c r="S169" s="444"/>
      <c r="T169" s="444"/>
      <c r="U169" s="444">
        <f t="shared" si="63"/>
        <v>0.5</v>
      </c>
      <c r="V169" s="444">
        <f t="shared" si="63"/>
        <v>3676.2049999999999</v>
      </c>
      <c r="W169" s="444">
        <f t="shared" si="63"/>
        <v>0</v>
      </c>
      <c r="X169" s="444">
        <f t="shared" si="63"/>
        <v>19049.52</v>
      </c>
      <c r="Y169" s="444">
        <f t="shared" ref="Y169:AD169" si="64">SUM(Y161:Y168)</f>
        <v>30950.48</v>
      </c>
      <c r="Z169" s="444">
        <f t="shared" si="64"/>
        <v>50000</v>
      </c>
      <c r="AA169" s="499">
        <f t="shared" si="64"/>
        <v>50000</v>
      </c>
      <c r="AB169" s="499">
        <f t="shared" si="64"/>
        <v>30950.48</v>
      </c>
      <c r="AC169" s="444">
        <f t="shared" si="64"/>
        <v>16250</v>
      </c>
      <c r="AD169" s="444">
        <f t="shared" si="64"/>
        <v>2799.5200000000004</v>
      </c>
      <c r="AE169" s="436"/>
      <c r="AF169" s="436"/>
      <c r="AG169" s="436"/>
      <c r="AH169" s="436"/>
      <c r="AI169" s="436"/>
      <c r="AJ169" s="436"/>
      <c r="AK169" s="437"/>
      <c r="AL169" s="437"/>
      <c r="AM169" s="437"/>
      <c r="AN169" s="437"/>
      <c r="AO169" s="437"/>
      <c r="AP169" s="437">
        <f t="shared" si="60"/>
        <v>0</v>
      </c>
      <c r="AQ169" s="437">
        <f t="shared" si="60"/>
        <v>0</v>
      </c>
      <c r="AR169" s="436"/>
      <c r="AS169" s="437">
        <f t="shared" si="61"/>
        <v>0</v>
      </c>
    </row>
    <row r="170" spans="1:45" s="446" customFormat="1" ht="24.95" customHeight="1">
      <c r="A170" s="441"/>
      <c r="B170" s="441"/>
      <c r="C170" s="1136" t="s">
        <v>533</v>
      </c>
      <c r="D170" s="1136"/>
      <c r="E170" s="441"/>
      <c r="F170" s="441"/>
      <c r="G170" s="441"/>
      <c r="H170" s="441"/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  <c r="U170" s="441"/>
      <c r="V170" s="441"/>
      <c r="W170" s="441"/>
      <c r="X170" s="441"/>
      <c r="Y170" s="441"/>
      <c r="Z170" s="441"/>
      <c r="AA170" s="503"/>
      <c r="AB170" s="503"/>
      <c r="AC170" s="441"/>
      <c r="AD170" s="441"/>
      <c r="AE170" s="436">
        <f t="shared" si="52"/>
        <v>0</v>
      </c>
      <c r="AF170" s="436">
        <f t="shared" si="53"/>
        <v>0</v>
      </c>
      <c r="AG170" s="436">
        <f t="shared" si="54"/>
        <v>0</v>
      </c>
      <c r="AH170" s="436">
        <f t="shared" si="55"/>
        <v>0</v>
      </c>
      <c r="AI170" s="436">
        <f t="shared" si="56"/>
        <v>0</v>
      </c>
      <c r="AJ170" s="436">
        <f t="shared" si="56"/>
        <v>0</v>
      </c>
      <c r="AK170" s="437">
        <f t="shared" si="57"/>
        <v>0</v>
      </c>
      <c r="AL170" s="437">
        <f t="shared" si="58"/>
        <v>0</v>
      </c>
      <c r="AM170" s="437">
        <f t="shared" si="59"/>
        <v>0</v>
      </c>
      <c r="AN170" s="437">
        <f t="shared" si="48"/>
        <v>0</v>
      </c>
      <c r="AO170" s="437">
        <f t="shared" si="49"/>
        <v>0</v>
      </c>
      <c r="AP170" s="437">
        <f t="shared" si="60"/>
        <v>0</v>
      </c>
      <c r="AQ170" s="437">
        <f t="shared" si="60"/>
        <v>0</v>
      </c>
      <c r="AR170" s="436"/>
      <c r="AS170" s="437">
        <f t="shared" si="61"/>
        <v>0</v>
      </c>
    </row>
    <row r="171" spans="1:45" s="446" customFormat="1" ht="24.95" customHeight="1">
      <c r="A171" s="441"/>
      <c r="B171" s="441"/>
      <c r="C171" s="1136" t="s">
        <v>534</v>
      </c>
      <c r="D171" s="1136"/>
      <c r="E171" s="441"/>
      <c r="F171" s="441"/>
      <c r="G171" s="441"/>
      <c r="H171" s="441"/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  <c r="Y171" s="441"/>
      <c r="Z171" s="441"/>
      <c r="AA171" s="503"/>
      <c r="AB171" s="503"/>
      <c r="AC171" s="441"/>
      <c r="AD171" s="441"/>
      <c r="AE171" s="436">
        <f t="shared" si="52"/>
        <v>0</v>
      </c>
      <c r="AF171" s="436">
        <f t="shared" si="53"/>
        <v>0</v>
      </c>
      <c r="AG171" s="436">
        <f t="shared" si="54"/>
        <v>0</v>
      </c>
      <c r="AH171" s="436">
        <f t="shared" si="55"/>
        <v>0</v>
      </c>
      <c r="AI171" s="436">
        <f t="shared" si="56"/>
        <v>0</v>
      </c>
      <c r="AJ171" s="436">
        <f t="shared" si="56"/>
        <v>0</v>
      </c>
      <c r="AK171" s="437">
        <f t="shared" si="57"/>
        <v>0</v>
      </c>
      <c r="AL171" s="437">
        <f t="shared" si="58"/>
        <v>0</v>
      </c>
      <c r="AM171" s="437">
        <f t="shared" si="59"/>
        <v>0</v>
      </c>
      <c r="AN171" s="437">
        <f t="shared" si="48"/>
        <v>0</v>
      </c>
      <c r="AO171" s="437">
        <f t="shared" si="49"/>
        <v>0</v>
      </c>
      <c r="AP171" s="437">
        <f t="shared" si="60"/>
        <v>0</v>
      </c>
      <c r="AQ171" s="437">
        <f t="shared" si="60"/>
        <v>0</v>
      </c>
      <c r="AR171" s="436"/>
      <c r="AS171" s="437">
        <f t="shared" si="61"/>
        <v>0</v>
      </c>
    </row>
    <row r="172" spans="1:45" s="438" customFormat="1" ht="24.95" customHeight="1">
      <c r="A172" s="1134"/>
      <c r="B172" s="1134"/>
      <c r="C172" s="1139" t="s">
        <v>535</v>
      </c>
      <c r="D172" s="1134" t="s">
        <v>536</v>
      </c>
      <c r="E172" s="1134" t="s">
        <v>537</v>
      </c>
      <c r="F172" s="1134">
        <v>13</v>
      </c>
      <c r="G172" s="1112">
        <v>6567</v>
      </c>
      <c r="H172" s="435">
        <v>0.1</v>
      </c>
      <c r="I172" s="1134"/>
      <c r="J172" s="1134"/>
      <c r="K172" s="1134"/>
      <c r="L172" s="435">
        <v>0.15</v>
      </c>
      <c r="M172" s="1138"/>
      <c r="N172" s="1112">
        <f>G172+H173+I173+L173</f>
        <v>8307.2549999999992</v>
      </c>
      <c r="O172" s="1112">
        <v>1</v>
      </c>
      <c r="P172" s="1134"/>
      <c r="Q172" s="1134"/>
      <c r="R172" s="1134"/>
      <c r="S172" s="1134"/>
      <c r="T172" s="1134">
        <v>34</v>
      </c>
      <c r="U172" s="1138">
        <v>0.3</v>
      </c>
      <c r="V172" s="1112">
        <f>N172*U172</f>
        <v>2492.1764999999996</v>
      </c>
      <c r="W172" s="1112"/>
      <c r="X172" s="1112">
        <f>(N172+R173+V172)*O172</f>
        <v>10799.431499999999</v>
      </c>
      <c r="Y172" s="1112">
        <f>AB172</f>
        <v>9200.5685000000012</v>
      </c>
      <c r="Z172" s="1112">
        <f>X172+Y172</f>
        <v>20000</v>
      </c>
      <c r="AA172" s="1109">
        <f>20000*O172</f>
        <v>20000</v>
      </c>
      <c r="AB172" s="1109">
        <f>AA172-X172</f>
        <v>9200.5685000000012</v>
      </c>
      <c r="AC172" s="1112">
        <f>6500*O172</f>
        <v>6500</v>
      </c>
      <c r="AD172" s="1112">
        <f>X172-AC172</f>
        <v>4299.4314999999988</v>
      </c>
      <c r="AE172" s="436">
        <f t="shared" si="52"/>
        <v>6567</v>
      </c>
      <c r="AF172" s="436">
        <f t="shared" si="53"/>
        <v>0</v>
      </c>
      <c r="AG172" s="436">
        <f t="shared" si="54"/>
        <v>8307.2549999999992</v>
      </c>
      <c r="AH172" s="436">
        <f t="shared" si="55"/>
        <v>0</v>
      </c>
      <c r="AI172" s="436">
        <f t="shared" si="56"/>
        <v>1740.2549999999992</v>
      </c>
      <c r="AJ172" s="436">
        <f t="shared" si="56"/>
        <v>0</v>
      </c>
      <c r="AK172" s="437">
        <f t="shared" si="57"/>
        <v>2492.1764999999996</v>
      </c>
      <c r="AL172" s="437">
        <f t="shared" si="58"/>
        <v>0</v>
      </c>
      <c r="AM172" s="437">
        <f t="shared" si="59"/>
        <v>0</v>
      </c>
      <c r="AN172" s="437">
        <f t="shared" si="48"/>
        <v>0</v>
      </c>
      <c r="AO172" s="437">
        <f t="shared" si="49"/>
        <v>0</v>
      </c>
      <c r="AP172" s="437">
        <f t="shared" si="60"/>
        <v>8307.2549999999992</v>
      </c>
      <c r="AQ172" s="437">
        <f t="shared" si="60"/>
        <v>0</v>
      </c>
      <c r="AR172" s="436"/>
      <c r="AS172" s="437">
        <f t="shared" si="61"/>
        <v>8307.2549999999992</v>
      </c>
    </row>
    <row r="173" spans="1:45" s="438" customFormat="1" ht="24.95" customHeight="1">
      <c r="A173" s="1134"/>
      <c r="B173" s="1134"/>
      <c r="C173" s="1139"/>
      <c r="D173" s="1134"/>
      <c r="E173" s="1134"/>
      <c r="F173" s="1134"/>
      <c r="G173" s="1112"/>
      <c r="H173" s="439">
        <f>G172*H172</f>
        <v>656.7</v>
      </c>
      <c r="I173" s="1134"/>
      <c r="J173" s="1134"/>
      <c r="K173" s="1134"/>
      <c r="L173" s="439">
        <f>(G172+H173)*L172</f>
        <v>1083.5549999999998</v>
      </c>
      <c r="M173" s="1134"/>
      <c r="N173" s="1112"/>
      <c r="O173" s="1165"/>
      <c r="P173" s="1134"/>
      <c r="Q173" s="1134"/>
      <c r="R173" s="1134"/>
      <c r="S173" s="1134"/>
      <c r="T173" s="1134"/>
      <c r="U173" s="1138"/>
      <c r="V173" s="1112"/>
      <c r="W173" s="1112"/>
      <c r="X173" s="1112"/>
      <c r="Y173" s="1112"/>
      <c r="Z173" s="1112"/>
      <c r="AA173" s="1109"/>
      <c r="AB173" s="1109"/>
      <c r="AC173" s="1112"/>
      <c r="AD173" s="1112"/>
      <c r="AE173" s="436">
        <f t="shared" si="52"/>
        <v>0</v>
      </c>
      <c r="AF173" s="436">
        <f t="shared" si="53"/>
        <v>0</v>
      </c>
      <c r="AG173" s="436">
        <f t="shared" si="54"/>
        <v>0</v>
      </c>
      <c r="AH173" s="436">
        <f t="shared" si="55"/>
        <v>0</v>
      </c>
      <c r="AI173" s="436">
        <f t="shared" si="56"/>
        <v>0</v>
      </c>
      <c r="AJ173" s="436">
        <f t="shared" si="56"/>
        <v>0</v>
      </c>
      <c r="AK173" s="437">
        <f t="shared" si="57"/>
        <v>0</v>
      </c>
      <c r="AL173" s="437">
        <f t="shared" si="58"/>
        <v>0</v>
      </c>
      <c r="AM173" s="437">
        <f t="shared" si="59"/>
        <v>0</v>
      </c>
      <c r="AN173" s="437">
        <f t="shared" si="48"/>
        <v>0</v>
      </c>
      <c r="AO173" s="437">
        <f t="shared" si="49"/>
        <v>0</v>
      </c>
      <c r="AP173" s="437">
        <f t="shared" si="60"/>
        <v>0</v>
      </c>
      <c r="AQ173" s="437">
        <f t="shared" si="60"/>
        <v>0</v>
      </c>
      <c r="AR173" s="436"/>
      <c r="AS173" s="437">
        <f t="shared" si="61"/>
        <v>0</v>
      </c>
    </row>
    <row r="174" spans="1:45" s="438" customFormat="1" ht="24.95" customHeight="1">
      <c r="A174" s="1134"/>
      <c r="B174" s="1134"/>
      <c r="C174" s="1139" t="s">
        <v>538</v>
      </c>
      <c r="D174" s="1134" t="s">
        <v>539</v>
      </c>
      <c r="E174" s="1134" t="s">
        <v>540</v>
      </c>
      <c r="F174" s="1134">
        <v>13</v>
      </c>
      <c r="G174" s="1112">
        <v>6567</v>
      </c>
      <c r="H174" s="1134"/>
      <c r="I174" s="1134"/>
      <c r="J174" s="1134"/>
      <c r="K174" s="1134"/>
      <c r="L174" s="435">
        <v>0.15</v>
      </c>
      <c r="M174" s="1138"/>
      <c r="N174" s="1112">
        <f>G174+H175+I175+L175</f>
        <v>7552.05</v>
      </c>
      <c r="O174" s="1112">
        <v>1</v>
      </c>
      <c r="P174" s="1134"/>
      <c r="Q174" s="1134"/>
      <c r="R174" s="1134"/>
      <c r="S174" s="1134"/>
      <c r="T174" s="1134">
        <v>26</v>
      </c>
      <c r="U174" s="1138">
        <v>0.3</v>
      </c>
      <c r="V174" s="1112">
        <f>N174*U174</f>
        <v>2265.6149999999998</v>
      </c>
      <c r="W174" s="1112"/>
      <c r="X174" s="1112">
        <f>(N174+R175+V174)*O174</f>
        <v>9817.6650000000009</v>
      </c>
      <c r="Y174" s="1112">
        <f>AB174</f>
        <v>10182.334999999999</v>
      </c>
      <c r="Z174" s="1112">
        <f>X174+Y174</f>
        <v>20000</v>
      </c>
      <c r="AA174" s="1109">
        <f>20000*O174</f>
        <v>20000</v>
      </c>
      <c r="AB174" s="1109">
        <f>AA174-X174</f>
        <v>10182.334999999999</v>
      </c>
      <c r="AC174" s="1112">
        <f>6500*O174</f>
        <v>6500</v>
      </c>
      <c r="AD174" s="1112">
        <f>X174-AC174</f>
        <v>3317.6650000000009</v>
      </c>
      <c r="AE174" s="436">
        <f t="shared" si="52"/>
        <v>6567</v>
      </c>
      <c r="AF174" s="436">
        <f t="shared" si="53"/>
        <v>0</v>
      </c>
      <c r="AG174" s="436">
        <f t="shared" si="54"/>
        <v>7552.05</v>
      </c>
      <c r="AH174" s="436">
        <f t="shared" si="55"/>
        <v>0</v>
      </c>
      <c r="AI174" s="436">
        <f t="shared" si="56"/>
        <v>985.05000000000018</v>
      </c>
      <c r="AJ174" s="436">
        <f t="shared" si="56"/>
        <v>0</v>
      </c>
      <c r="AK174" s="437">
        <f t="shared" si="57"/>
        <v>2265.6149999999998</v>
      </c>
      <c r="AL174" s="437">
        <f t="shared" si="58"/>
        <v>0</v>
      </c>
      <c r="AM174" s="437">
        <f t="shared" si="59"/>
        <v>0</v>
      </c>
      <c r="AN174" s="437">
        <f t="shared" si="48"/>
        <v>0</v>
      </c>
      <c r="AO174" s="437">
        <f t="shared" si="49"/>
        <v>0</v>
      </c>
      <c r="AP174" s="437">
        <f t="shared" si="60"/>
        <v>7552.05</v>
      </c>
      <c r="AQ174" s="437">
        <f t="shared" si="60"/>
        <v>0</v>
      </c>
      <c r="AR174" s="436"/>
      <c r="AS174" s="437">
        <f t="shared" si="61"/>
        <v>7552.05</v>
      </c>
    </row>
    <row r="175" spans="1:45" s="438" customFormat="1" ht="24.95" customHeight="1">
      <c r="A175" s="1134"/>
      <c r="B175" s="1134"/>
      <c r="C175" s="1139"/>
      <c r="D175" s="1134"/>
      <c r="E175" s="1134"/>
      <c r="F175" s="1134"/>
      <c r="G175" s="1134"/>
      <c r="H175" s="1134"/>
      <c r="I175" s="1134"/>
      <c r="J175" s="1134"/>
      <c r="K175" s="1134"/>
      <c r="L175" s="452">
        <f>(G174+H175+I175)*L174</f>
        <v>985.05</v>
      </c>
      <c r="M175" s="1134"/>
      <c r="N175" s="1112"/>
      <c r="O175" s="1134"/>
      <c r="P175" s="1134"/>
      <c r="Q175" s="1134"/>
      <c r="R175" s="1134"/>
      <c r="S175" s="1134"/>
      <c r="T175" s="1134"/>
      <c r="U175" s="1138"/>
      <c r="V175" s="1112"/>
      <c r="W175" s="1112"/>
      <c r="X175" s="1112"/>
      <c r="Y175" s="1112"/>
      <c r="Z175" s="1112"/>
      <c r="AA175" s="1109"/>
      <c r="AB175" s="1109"/>
      <c r="AC175" s="1112"/>
      <c r="AD175" s="1112"/>
      <c r="AE175" s="436">
        <f t="shared" si="52"/>
        <v>0</v>
      </c>
      <c r="AF175" s="436">
        <f t="shared" si="53"/>
        <v>0</v>
      </c>
      <c r="AG175" s="436">
        <f t="shared" si="54"/>
        <v>0</v>
      </c>
      <c r="AH175" s="436">
        <f t="shared" si="55"/>
        <v>0</v>
      </c>
      <c r="AI175" s="436">
        <f t="shared" si="56"/>
        <v>0</v>
      </c>
      <c r="AJ175" s="436">
        <f t="shared" si="56"/>
        <v>0</v>
      </c>
      <c r="AK175" s="437">
        <f t="shared" si="57"/>
        <v>0</v>
      </c>
      <c r="AL175" s="437">
        <f t="shared" si="58"/>
        <v>0</v>
      </c>
      <c r="AM175" s="437">
        <f t="shared" si="59"/>
        <v>0</v>
      </c>
      <c r="AN175" s="437">
        <f t="shared" si="48"/>
        <v>0</v>
      </c>
      <c r="AO175" s="437">
        <f t="shared" si="49"/>
        <v>0</v>
      </c>
      <c r="AP175" s="437">
        <f t="shared" si="60"/>
        <v>0</v>
      </c>
      <c r="AQ175" s="437">
        <f t="shared" si="60"/>
        <v>0</v>
      </c>
      <c r="AR175" s="436"/>
      <c r="AS175" s="437">
        <f t="shared" si="61"/>
        <v>0</v>
      </c>
    </row>
    <row r="176" spans="1:45" s="446" customFormat="1" ht="24.95" customHeight="1">
      <c r="A176" s="441"/>
      <c r="B176" s="441"/>
      <c r="C176" s="442" t="s">
        <v>318</v>
      </c>
      <c r="D176" s="443"/>
      <c r="E176" s="441"/>
      <c r="F176" s="441"/>
      <c r="G176" s="444">
        <f>SUM(G172:G175)</f>
        <v>13134</v>
      </c>
      <c r="H176" s="444">
        <f>H173</f>
        <v>656.7</v>
      </c>
      <c r="I176" s="441"/>
      <c r="J176" s="441"/>
      <c r="K176" s="441"/>
      <c r="L176" s="444">
        <f>L173+L175</f>
        <v>2068.6049999999996</v>
      </c>
      <c r="M176" s="441"/>
      <c r="N176" s="444">
        <f>SUM(N172:N175)</f>
        <v>15859.305</v>
      </c>
      <c r="O176" s="444">
        <f>SUM(O172:O175)</f>
        <v>2</v>
      </c>
      <c r="P176" s="444">
        <f>SUM(P172:P175)</f>
        <v>0</v>
      </c>
      <c r="Q176" s="444"/>
      <c r="R176" s="444"/>
      <c r="S176" s="444"/>
      <c r="T176" s="444"/>
      <c r="U176" s="444"/>
      <c r="V176" s="444">
        <f t="shared" ref="V176:AD176" si="65">SUM(V172:V175)</f>
        <v>4757.7914999999994</v>
      </c>
      <c r="W176" s="444">
        <f t="shared" si="65"/>
        <v>0</v>
      </c>
      <c r="X176" s="444">
        <f t="shared" si="65"/>
        <v>20617.0965</v>
      </c>
      <c r="Y176" s="444">
        <f t="shared" si="65"/>
        <v>19382.9035</v>
      </c>
      <c r="Z176" s="444">
        <f t="shared" si="65"/>
        <v>40000</v>
      </c>
      <c r="AA176" s="499">
        <f t="shared" si="65"/>
        <v>40000</v>
      </c>
      <c r="AB176" s="499">
        <f t="shared" si="65"/>
        <v>19382.9035</v>
      </c>
      <c r="AC176" s="444">
        <f t="shared" si="65"/>
        <v>13000</v>
      </c>
      <c r="AD176" s="444">
        <f t="shared" si="65"/>
        <v>7617.0964999999997</v>
      </c>
      <c r="AE176" s="436"/>
      <c r="AF176" s="436"/>
      <c r="AG176" s="436"/>
      <c r="AH176" s="436"/>
      <c r="AI176" s="436"/>
      <c r="AJ176" s="436"/>
      <c r="AK176" s="437"/>
      <c r="AL176" s="437"/>
      <c r="AM176" s="437"/>
      <c r="AN176" s="437"/>
      <c r="AO176" s="437"/>
      <c r="AP176" s="437">
        <f t="shared" si="60"/>
        <v>0</v>
      </c>
      <c r="AQ176" s="437">
        <f t="shared" si="60"/>
        <v>0</v>
      </c>
      <c r="AR176" s="436"/>
      <c r="AS176" s="437">
        <f t="shared" si="61"/>
        <v>0</v>
      </c>
    </row>
    <row r="177" spans="1:45" s="446" customFormat="1" ht="24.95" customHeight="1">
      <c r="A177" s="441"/>
      <c r="B177" s="441"/>
      <c r="C177" s="1136" t="s">
        <v>541</v>
      </c>
      <c r="D177" s="1136"/>
      <c r="E177" s="441"/>
      <c r="F177" s="441"/>
      <c r="G177" s="441"/>
      <c r="H177" s="441"/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  <c r="Y177" s="441"/>
      <c r="Z177" s="441"/>
      <c r="AA177" s="503"/>
      <c r="AB177" s="503"/>
      <c r="AC177" s="441"/>
      <c r="AD177" s="441"/>
      <c r="AE177" s="436">
        <f t="shared" si="52"/>
        <v>0</v>
      </c>
      <c r="AF177" s="436">
        <f t="shared" si="53"/>
        <v>0</v>
      </c>
      <c r="AG177" s="436">
        <f t="shared" si="54"/>
        <v>0</v>
      </c>
      <c r="AH177" s="436">
        <f t="shared" si="55"/>
        <v>0</v>
      </c>
      <c r="AI177" s="436">
        <f t="shared" si="56"/>
        <v>0</v>
      </c>
      <c r="AJ177" s="436">
        <f t="shared" si="56"/>
        <v>0</v>
      </c>
      <c r="AK177" s="437">
        <f t="shared" si="57"/>
        <v>0</v>
      </c>
      <c r="AL177" s="437">
        <f t="shared" si="58"/>
        <v>0</v>
      </c>
      <c r="AM177" s="437">
        <f t="shared" si="59"/>
        <v>0</v>
      </c>
      <c r="AN177" s="437">
        <f t="shared" si="48"/>
        <v>0</v>
      </c>
      <c r="AO177" s="437">
        <f t="shared" si="49"/>
        <v>0</v>
      </c>
      <c r="AP177" s="437">
        <f t="shared" si="60"/>
        <v>0</v>
      </c>
      <c r="AQ177" s="437">
        <f t="shared" si="60"/>
        <v>0</v>
      </c>
      <c r="AR177" s="436"/>
      <c r="AS177" s="437">
        <f t="shared" si="61"/>
        <v>0</v>
      </c>
    </row>
    <row r="178" spans="1:45" s="438" customFormat="1" ht="24.95" customHeight="1">
      <c r="A178" s="1134"/>
      <c r="B178" s="1134"/>
      <c r="C178" s="1139" t="s">
        <v>542</v>
      </c>
      <c r="D178" s="1134" t="s">
        <v>543</v>
      </c>
      <c r="E178" s="1134" t="s">
        <v>544</v>
      </c>
      <c r="F178" s="1134">
        <v>12</v>
      </c>
      <c r="G178" s="1112">
        <v>6133</v>
      </c>
      <c r="H178" s="1134"/>
      <c r="I178" s="1134"/>
      <c r="J178" s="1134"/>
      <c r="K178" s="1134"/>
      <c r="L178" s="435">
        <v>0.15</v>
      </c>
      <c r="M178" s="1138"/>
      <c r="N178" s="1112">
        <f>G178+H179+I179+L179</f>
        <v>7052.95</v>
      </c>
      <c r="O178" s="1112"/>
      <c r="P178" s="1112">
        <v>0.5</v>
      </c>
      <c r="Q178" s="1134"/>
      <c r="R178" s="1134"/>
      <c r="S178" s="1134"/>
      <c r="T178" s="1134">
        <v>12</v>
      </c>
      <c r="U178" s="1138">
        <v>0.2</v>
      </c>
      <c r="V178" s="1112">
        <f>N178*U178</f>
        <v>1410.5900000000001</v>
      </c>
      <c r="W178" s="1112"/>
      <c r="X178" s="1112">
        <f>(N178+R179+V178)*P178</f>
        <v>4231.7700000000004</v>
      </c>
      <c r="Y178" s="1113">
        <f>AB178</f>
        <v>5768.23</v>
      </c>
      <c r="Z178" s="1113">
        <f>X178+Y178</f>
        <v>10000</v>
      </c>
      <c r="AA178" s="1110">
        <f>20000*P178</f>
        <v>10000</v>
      </c>
      <c r="AB178" s="1110">
        <f>AA178-X178</f>
        <v>5768.23</v>
      </c>
      <c r="AC178" s="1112">
        <f>6500*P178</f>
        <v>3250</v>
      </c>
      <c r="AD178" s="1112">
        <f>X178-AC178</f>
        <v>981.77000000000044</v>
      </c>
      <c r="AE178" s="436">
        <f t="shared" si="52"/>
        <v>0</v>
      </c>
      <c r="AF178" s="436">
        <f t="shared" si="53"/>
        <v>3066.5</v>
      </c>
      <c r="AG178" s="436">
        <f t="shared" si="54"/>
        <v>0</v>
      </c>
      <c r="AH178" s="436">
        <f t="shared" si="55"/>
        <v>3526.4749999999999</v>
      </c>
      <c r="AI178" s="436">
        <f t="shared" si="56"/>
        <v>0</v>
      </c>
      <c r="AJ178" s="436">
        <f t="shared" si="56"/>
        <v>459.97499999999991</v>
      </c>
      <c r="AK178" s="437">
        <f t="shared" si="57"/>
        <v>0</v>
      </c>
      <c r="AL178" s="437">
        <f t="shared" si="58"/>
        <v>705.29500000000007</v>
      </c>
      <c r="AM178" s="437">
        <f t="shared" si="59"/>
        <v>0</v>
      </c>
      <c r="AN178" s="437">
        <f t="shared" si="48"/>
        <v>0</v>
      </c>
      <c r="AO178" s="437">
        <f t="shared" si="49"/>
        <v>0</v>
      </c>
      <c r="AP178" s="437">
        <f t="shared" si="60"/>
        <v>0</v>
      </c>
      <c r="AQ178" s="437">
        <f t="shared" si="60"/>
        <v>3526.4749999999999</v>
      </c>
      <c r="AR178" s="436"/>
      <c r="AS178" s="437">
        <f t="shared" si="61"/>
        <v>3526.4749999999999</v>
      </c>
    </row>
    <row r="179" spans="1:45" s="438" customFormat="1" ht="24.95" customHeight="1">
      <c r="A179" s="1134"/>
      <c r="B179" s="1134"/>
      <c r="C179" s="1139"/>
      <c r="D179" s="1134"/>
      <c r="E179" s="1134"/>
      <c r="F179" s="1134"/>
      <c r="G179" s="1134"/>
      <c r="H179" s="1134"/>
      <c r="I179" s="1134"/>
      <c r="J179" s="1134"/>
      <c r="K179" s="1134"/>
      <c r="L179" s="449">
        <f>G178*L178</f>
        <v>919.94999999999993</v>
      </c>
      <c r="M179" s="1134"/>
      <c r="N179" s="1112"/>
      <c r="O179" s="1112"/>
      <c r="P179" s="1112"/>
      <c r="Q179" s="1134"/>
      <c r="R179" s="1134"/>
      <c r="S179" s="1134"/>
      <c r="T179" s="1134"/>
      <c r="U179" s="1138"/>
      <c r="V179" s="1112"/>
      <c r="W179" s="1112"/>
      <c r="X179" s="1112"/>
      <c r="Y179" s="1114"/>
      <c r="Z179" s="1114"/>
      <c r="AA179" s="1111"/>
      <c r="AB179" s="1111"/>
      <c r="AC179" s="1112"/>
      <c r="AD179" s="1112"/>
      <c r="AE179" s="436">
        <f t="shared" si="52"/>
        <v>0</v>
      </c>
      <c r="AF179" s="436">
        <f t="shared" si="53"/>
        <v>0</v>
      </c>
      <c r="AG179" s="436">
        <f t="shared" si="54"/>
        <v>0</v>
      </c>
      <c r="AH179" s="436">
        <f t="shared" si="55"/>
        <v>0</v>
      </c>
      <c r="AI179" s="436">
        <f t="shared" si="56"/>
        <v>0</v>
      </c>
      <c r="AJ179" s="436">
        <f t="shared" si="56"/>
        <v>0</v>
      </c>
      <c r="AK179" s="437">
        <f t="shared" si="57"/>
        <v>0</v>
      </c>
      <c r="AL179" s="437">
        <f t="shared" si="58"/>
        <v>0</v>
      </c>
      <c r="AM179" s="437">
        <f t="shared" si="59"/>
        <v>0</v>
      </c>
      <c r="AN179" s="437">
        <f t="shared" si="48"/>
        <v>0</v>
      </c>
      <c r="AO179" s="437">
        <f t="shared" si="49"/>
        <v>0</v>
      </c>
      <c r="AP179" s="437">
        <f t="shared" si="60"/>
        <v>0</v>
      </c>
      <c r="AQ179" s="437">
        <f t="shared" si="60"/>
        <v>0</v>
      </c>
      <c r="AR179" s="436"/>
      <c r="AS179" s="437">
        <f t="shared" si="61"/>
        <v>0</v>
      </c>
    </row>
    <row r="180" spans="1:45" s="446" customFormat="1" ht="24.95" customHeight="1">
      <c r="A180" s="441"/>
      <c r="B180" s="441"/>
      <c r="C180" s="442" t="s">
        <v>318</v>
      </c>
      <c r="D180" s="443"/>
      <c r="E180" s="441"/>
      <c r="F180" s="441"/>
      <c r="G180" s="444">
        <f>SUM(G178:G179)</f>
        <v>6133</v>
      </c>
      <c r="H180" s="444"/>
      <c r="I180" s="444"/>
      <c r="J180" s="444"/>
      <c r="K180" s="444"/>
      <c r="L180" s="444">
        <f>SUM(L178:L179)</f>
        <v>920.09999999999991</v>
      </c>
      <c r="M180" s="444"/>
      <c r="N180" s="444">
        <f>SUM(N178:N179)</f>
        <v>7052.95</v>
      </c>
      <c r="O180" s="444">
        <f>SUM(O178:O179)</f>
        <v>0</v>
      </c>
      <c r="P180" s="444">
        <f>SUM(P178:P179)</f>
        <v>0.5</v>
      </c>
      <c r="Q180" s="444"/>
      <c r="R180" s="444"/>
      <c r="S180" s="444"/>
      <c r="T180" s="444"/>
      <c r="U180" s="444"/>
      <c r="V180" s="444">
        <f t="shared" ref="V180:AD180" si="66">SUM(V178:V179)</f>
        <v>1410.5900000000001</v>
      </c>
      <c r="W180" s="444">
        <f t="shared" si="66"/>
        <v>0</v>
      </c>
      <c r="X180" s="444">
        <f t="shared" si="66"/>
        <v>4231.7700000000004</v>
      </c>
      <c r="Y180" s="444">
        <f t="shared" si="66"/>
        <v>5768.23</v>
      </c>
      <c r="Z180" s="444">
        <f t="shared" si="66"/>
        <v>10000</v>
      </c>
      <c r="AA180" s="499">
        <f t="shared" si="66"/>
        <v>10000</v>
      </c>
      <c r="AB180" s="499">
        <f t="shared" si="66"/>
        <v>5768.23</v>
      </c>
      <c r="AC180" s="444">
        <f t="shared" si="66"/>
        <v>3250</v>
      </c>
      <c r="AD180" s="444">
        <f t="shared" si="66"/>
        <v>981.77000000000044</v>
      </c>
      <c r="AE180" s="436"/>
      <c r="AF180" s="436"/>
      <c r="AG180" s="436"/>
      <c r="AH180" s="436"/>
      <c r="AI180" s="436"/>
      <c r="AJ180" s="436"/>
      <c r="AK180" s="437"/>
      <c r="AL180" s="437"/>
      <c r="AM180" s="437"/>
      <c r="AN180" s="437"/>
      <c r="AO180" s="437"/>
      <c r="AP180" s="437">
        <f t="shared" si="60"/>
        <v>0</v>
      </c>
      <c r="AQ180" s="437">
        <f t="shared" si="60"/>
        <v>0</v>
      </c>
      <c r="AR180" s="436"/>
      <c r="AS180" s="437">
        <f t="shared" si="61"/>
        <v>0</v>
      </c>
    </row>
    <row r="181" spans="1:45" s="446" customFormat="1" ht="24.95" customHeight="1">
      <c r="A181" s="441"/>
      <c r="B181" s="441"/>
      <c r="C181" s="1136" t="s">
        <v>545</v>
      </c>
      <c r="D181" s="1136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503"/>
      <c r="AB181" s="503"/>
      <c r="AC181" s="441"/>
      <c r="AD181" s="441"/>
      <c r="AE181" s="436">
        <f t="shared" si="52"/>
        <v>0</v>
      </c>
      <c r="AF181" s="436">
        <f t="shared" si="53"/>
        <v>0</v>
      </c>
      <c r="AG181" s="436">
        <f t="shared" si="54"/>
        <v>0</v>
      </c>
      <c r="AH181" s="436">
        <f t="shared" si="55"/>
        <v>0</v>
      </c>
      <c r="AI181" s="436">
        <f t="shared" si="56"/>
        <v>0</v>
      </c>
      <c r="AJ181" s="436">
        <f t="shared" si="56"/>
        <v>0</v>
      </c>
      <c r="AK181" s="437">
        <f t="shared" si="57"/>
        <v>0</v>
      </c>
      <c r="AL181" s="437">
        <f t="shared" si="58"/>
        <v>0</v>
      </c>
      <c r="AM181" s="437">
        <f t="shared" si="59"/>
        <v>0</v>
      </c>
      <c r="AN181" s="437">
        <f t="shared" si="48"/>
        <v>0</v>
      </c>
      <c r="AO181" s="437">
        <f t="shared" si="49"/>
        <v>0</v>
      </c>
      <c r="AP181" s="437">
        <f t="shared" si="60"/>
        <v>0</v>
      </c>
      <c r="AQ181" s="437">
        <f t="shared" si="60"/>
        <v>0</v>
      </c>
      <c r="AR181" s="436"/>
      <c r="AS181" s="437">
        <f t="shared" si="61"/>
        <v>0</v>
      </c>
    </row>
    <row r="182" spans="1:45" s="438" customFormat="1" ht="24.95" customHeight="1">
      <c r="A182" s="1134"/>
      <c r="B182" s="1134"/>
      <c r="C182" s="1139" t="s">
        <v>546</v>
      </c>
      <c r="D182" s="1134" t="s">
        <v>1041</v>
      </c>
      <c r="E182" s="1134" t="s">
        <v>547</v>
      </c>
      <c r="F182" s="1134">
        <v>13</v>
      </c>
      <c r="G182" s="1112">
        <v>6567</v>
      </c>
      <c r="H182" s="435">
        <v>0.1</v>
      </c>
      <c r="I182" s="1134"/>
      <c r="J182" s="1134"/>
      <c r="K182" s="1134"/>
      <c r="L182" s="435">
        <v>0.15</v>
      </c>
      <c r="M182" s="1138"/>
      <c r="N182" s="1112">
        <f>G182+H183+I183+L183</f>
        <v>8307.2549999999992</v>
      </c>
      <c r="O182" s="1112">
        <v>1</v>
      </c>
      <c r="P182" s="1134"/>
      <c r="Q182" s="1134"/>
      <c r="R182" s="1134"/>
      <c r="S182" s="1134"/>
      <c r="T182" s="1134">
        <v>31</v>
      </c>
      <c r="U182" s="1138">
        <v>0.3</v>
      </c>
      <c r="V182" s="1112">
        <f>N182*U182</f>
        <v>2492.1764999999996</v>
      </c>
      <c r="W182" s="1112"/>
      <c r="X182" s="1112">
        <f>(N182+R183+V182)*O182</f>
        <v>10799.431499999999</v>
      </c>
      <c r="Y182" s="1112">
        <f>AB182</f>
        <v>9200.5685000000012</v>
      </c>
      <c r="Z182" s="1112">
        <f>X182+Y182</f>
        <v>20000</v>
      </c>
      <c r="AA182" s="1109">
        <f>20000*O182</f>
        <v>20000</v>
      </c>
      <c r="AB182" s="1109">
        <f>AA182-X182</f>
        <v>9200.5685000000012</v>
      </c>
      <c r="AC182" s="1112">
        <f>6500*O182</f>
        <v>6500</v>
      </c>
      <c r="AD182" s="1112">
        <f>X182-AC182</f>
        <v>4299.4314999999988</v>
      </c>
      <c r="AE182" s="436">
        <f t="shared" si="52"/>
        <v>6567</v>
      </c>
      <c r="AF182" s="436">
        <f t="shared" si="53"/>
        <v>0</v>
      </c>
      <c r="AG182" s="436">
        <f t="shared" si="54"/>
        <v>8307.2549999999992</v>
      </c>
      <c r="AH182" s="436">
        <f t="shared" si="55"/>
        <v>0</v>
      </c>
      <c r="AI182" s="436">
        <f t="shared" si="56"/>
        <v>1740.2549999999992</v>
      </c>
      <c r="AJ182" s="436">
        <f t="shared" si="56"/>
        <v>0</v>
      </c>
      <c r="AK182" s="437">
        <f t="shared" si="57"/>
        <v>2492.1764999999996</v>
      </c>
      <c r="AL182" s="437">
        <f t="shared" si="58"/>
        <v>0</v>
      </c>
      <c r="AM182" s="437">
        <f t="shared" si="59"/>
        <v>0</v>
      </c>
      <c r="AN182" s="437">
        <f t="shared" si="48"/>
        <v>0</v>
      </c>
      <c r="AO182" s="437">
        <f t="shared" si="49"/>
        <v>0</v>
      </c>
      <c r="AP182" s="437">
        <f t="shared" si="60"/>
        <v>8307.2549999999992</v>
      </c>
      <c r="AQ182" s="437">
        <f t="shared" si="60"/>
        <v>0</v>
      </c>
      <c r="AR182" s="436"/>
      <c r="AS182" s="437">
        <f t="shared" si="61"/>
        <v>8307.2549999999992</v>
      </c>
    </row>
    <row r="183" spans="1:45" s="438" customFormat="1" ht="24.95" customHeight="1">
      <c r="A183" s="1134"/>
      <c r="B183" s="1134"/>
      <c r="C183" s="1139"/>
      <c r="D183" s="1134"/>
      <c r="E183" s="1134"/>
      <c r="F183" s="1134"/>
      <c r="G183" s="1112"/>
      <c r="H183" s="439">
        <f>G182*H182</f>
        <v>656.7</v>
      </c>
      <c r="I183" s="1134"/>
      <c r="J183" s="1134"/>
      <c r="K183" s="1134"/>
      <c r="L183" s="439">
        <f>(G182+H183)*L182</f>
        <v>1083.5549999999998</v>
      </c>
      <c r="M183" s="1134"/>
      <c r="N183" s="1112"/>
      <c r="O183" s="1165"/>
      <c r="P183" s="1134"/>
      <c r="Q183" s="1134"/>
      <c r="R183" s="1134"/>
      <c r="S183" s="1134"/>
      <c r="T183" s="1134"/>
      <c r="U183" s="1138"/>
      <c r="V183" s="1112"/>
      <c r="W183" s="1112"/>
      <c r="X183" s="1112"/>
      <c r="Y183" s="1112"/>
      <c r="Z183" s="1112"/>
      <c r="AA183" s="1109"/>
      <c r="AB183" s="1109"/>
      <c r="AC183" s="1112"/>
      <c r="AD183" s="1112"/>
      <c r="AE183" s="436">
        <f t="shared" si="52"/>
        <v>0</v>
      </c>
      <c r="AF183" s="436">
        <f t="shared" si="53"/>
        <v>0</v>
      </c>
      <c r="AG183" s="436">
        <f t="shared" si="54"/>
        <v>0</v>
      </c>
      <c r="AH183" s="436">
        <f t="shared" si="55"/>
        <v>0</v>
      </c>
      <c r="AI183" s="436">
        <f t="shared" si="56"/>
        <v>0</v>
      </c>
      <c r="AJ183" s="436">
        <f t="shared" si="56"/>
        <v>0</v>
      </c>
      <c r="AK183" s="437">
        <f t="shared" si="57"/>
        <v>0</v>
      </c>
      <c r="AL183" s="437">
        <f t="shared" si="58"/>
        <v>0</v>
      </c>
      <c r="AM183" s="437">
        <f t="shared" si="59"/>
        <v>0</v>
      </c>
      <c r="AN183" s="437">
        <f t="shared" si="48"/>
        <v>0</v>
      </c>
      <c r="AO183" s="437">
        <f t="shared" si="49"/>
        <v>0</v>
      </c>
      <c r="AP183" s="437">
        <f t="shared" si="60"/>
        <v>0</v>
      </c>
      <c r="AQ183" s="437">
        <f t="shared" si="60"/>
        <v>0</v>
      </c>
      <c r="AR183" s="436"/>
      <c r="AS183" s="437">
        <f t="shared" si="61"/>
        <v>0</v>
      </c>
    </row>
    <row r="184" spans="1:45" s="446" customFormat="1" ht="24.95" customHeight="1">
      <c r="A184" s="441"/>
      <c r="B184" s="441"/>
      <c r="C184" s="442" t="s">
        <v>318</v>
      </c>
      <c r="D184" s="443"/>
      <c r="E184" s="441"/>
      <c r="F184" s="441"/>
      <c r="G184" s="444">
        <f>SUM(G182)</f>
        <v>6567</v>
      </c>
      <c r="H184" s="444">
        <f>H183</f>
        <v>656.7</v>
      </c>
      <c r="I184" s="441"/>
      <c r="J184" s="441"/>
      <c r="K184" s="441"/>
      <c r="L184" s="444">
        <f>L183</f>
        <v>1083.5549999999998</v>
      </c>
      <c r="M184" s="441"/>
      <c r="N184" s="444">
        <f>SUM(N182)</f>
        <v>8307.2549999999992</v>
      </c>
      <c r="O184" s="444">
        <f>SUM(O182)</f>
        <v>1</v>
      </c>
      <c r="P184" s="444">
        <f>SUM(P182)</f>
        <v>0</v>
      </c>
      <c r="Q184" s="444"/>
      <c r="R184" s="444"/>
      <c r="S184" s="444"/>
      <c r="T184" s="444"/>
      <c r="U184" s="444"/>
      <c r="V184" s="444">
        <f t="shared" ref="V184:AD184" si="67">SUM(V182)</f>
        <v>2492.1764999999996</v>
      </c>
      <c r="W184" s="444">
        <f t="shared" si="67"/>
        <v>0</v>
      </c>
      <c r="X184" s="444">
        <f t="shared" si="67"/>
        <v>10799.431499999999</v>
      </c>
      <c r="Y184" s="444">
        <f t="shared" si="67"/>
        <v>9200.5685000000012</v>
      </c>
      <c r="Z184" s="444">
        <f t="shared" si="67"/>
        <v>20000</v>
      </c>
      <c r="AA184" s="499">
        <f t="shared" si="67"/>
        <v>20000</v>
      </c>
      <c r="AB184" s="499">
        <f t="shared" si="67"/>
        <v>9200.5685000000012</v>
      </c>
      <c r="AC184" s="444">
        <f t="shared" si="67"/>
        <v>6500</v>
      </c>
      <c r="AD184" s="444">
        <f t="shared" si="67"/>
        <v>4299.4314999999988</v>
      </c>
      <c r="AE184" s="436"/>
      <c r="AF184" s="436"/>
      <c r="AG184" s="436"/>
      <c r="AH184" s="436"/>
      <c r="AI184" s="436"/>
      <c r="AJ184" s="436"/>
      <c r="AK184" s="437"/>
      <c r="AL184" s="437"/>
      <c r="AM184" s="437"/>
      <c r="AN184" s="437"/>
      <c r="AO184" s="437"/>
      <c r="AP184" s="437">
        <f t="shared" si="60"/>
        <v>0</v>
      </c>
      <c r="AQ184" s="437">
        <f t="shared" si="60"/>
        <v>0</v>
      </c>
      <c r="AR184" s="436"/>
      <c r="AS184" s="437">
        <f t="shared" si="61"/>
        <v>0</v>
      </c>
    </row>
    <row r="185" spans="1:45" s="446" customFormat="1" ht="24.95" customHeight="1">
      <c r="A185" s="441"/>
      <c r="B185" s="441"/>
      <c r="C185" s="1136" t="s">
        <v>548</v>
      </c>
      <c r="D185" s="1136"/>
      <c r="E185" s="441"/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503"/>
      <c r="AB185" s="503"/>
      <c r="AC185" s="441"/>
      <c r="AD185" s="441"/>
      <c r="AE185" s="436">
        <f t="shared" si="52"/>
        <v>0</v>
      </c>
      <c r="AF185" s="436">
        <f t="shared" si="53"/>
        <v>0</v>
      </c>
      <c r="AG185" s="436">
        <f t="shared" si="54"/>
        <v>0</v>
      </c>
      <c r="AH185" s="436">
        <f t="shared" si="55"/>
        <v>0</v>
      </c>
      <c r="AI185" s="436">
        <f t="shared" si="56"/>
        <v>0</v>
      </c>
      <c r="AJ185" s="436">
        <f t="shared" si="56"/>
        <v>0</v>
      </c>
      <c r="AK185" s="437">
        <f t="shared" si="57"/>
        <v>0</v>
      </c>
      <c r="AL185" s="437">
        <f t="shared" si="58"/>
        <v>0</v>
      </c>
      <c r="AM185" s="437">
        <f t="shared" si="59"/>
        <v>0</v>
      </c>
      <c r="AN185" s="437">
        <f t="shared" si="48"/>
        <v>0</v>
      </c>
      <c r="AO185" s="437">
        <f t="shared" si="49"/>
        <v>0</v>
      </c>
      <c r="AP185" s="437">
        <f t="shared" si="60"/>
        <v>0</v>
      </c>
      <c r="AQ185" s="437">
        <f t="shared" si="60"/>
        <v>0</v>
      </c>
      <c r="AR185" s="436"/>
      <c r="AS185" s="437">
        <f t="shared" si="61"/>
        <v>0</v>
      </c>
    </row>
    <row r="186" spans="1:45" s="446" customFormat="1" ht="24.95" customHeight="1">
      <c r="A186" s="1134"/>
      <c r="B186" s="1134"/>
      <c r="C186" s="1139"/>
      <c r="D186" s="1134"/>
      <c r="E186" s="1134"/>
      <c r="F186" s="1134"/>
      <c r="G186" s="1112"/>
      <c r="H186" s="1112"/>
      <c r="I186" s="1112"/>
      <c r="J186" s="1112"/>
      <c r="K186" s="1112"/>
      <c r="L186" s="1112"/>
      <c r="M186" s="1112"/>
      <c r="N186" s="1112"/>
      <c r="O186" s="1112"/>
      <c r="P186" s="1112"/>
      <c r="Q186" s="1112"/>
      <c r="R186" s="1112"/>
      <c r="S186" s="1112"/>
      <c r="T186" s="1134"/>
      <c r="U186" s="1138"/>
      <c r="V186" s="1112"/>
      <c r="W186" s="1112"/>
      <c r="X186" s="1112"/>
      <c r="Y186" s="1112"/>
      <c r="Z186" s="1112"/>
      <c r="AA186" s="1109"/>
      <c r="AB186" s="1109"/>
      <c r="AC186" s="1112"/>
      <c r="AD186" s="1112"/>
      <c r="AE186" s="453"/>
      <c r="AF186" s="453"/>
      <c r="AG186" s="453"/>
      <c r="AH186" s="453"/>
      <c r="AI186" s="453"/>
      <c r="AJ186" s="453"/>
      <c r="AK186" s="454"/>
      <c r="AL186" s="454"/>
      <c r="AM186" s="454"/>
      <c r="AN186" s="454"/>
      <c r="AO186" s="454"/>
      <c r="AP186" s="454"/>
      <c r="AQ186" s="454"/>
      <c r="AR186" s="453"/>
      <c r="AS186" s="454"/>
    </row>
    <row r="187" spans="1:45" s="438" customFormat="1" ht="24.95" customHeight="1">
      <c r="A187" s="1134"/>
      <c r="B187" s="1134"/>
      <c r="C187" s="1139"/>
      <c r="D187" s="1134"/>
      <c r="E187" s="1134"/>
      <c r="F187" s="1134"/>
      <c r="G187" s="1112"/>
      <c r="H187" s="1112"/>
      <c r="I187" s="1112"/>
      <c r="J187" s="1112"/>
      <c r="K187" s="1112"/>
      <c r="L187" s="1112"/>
      <c r="M187" s="1112"/>
      <c r="N187" s="1112"/>
      <c r="O187" s="1112"/>
      <c r="P187" s="1112"/>
      <c r="Q187" s="1112"/>
      <c r="R187" s="1112"/>
      <c r="S187" s="1112"/>
      <c r="T187" s="1134"/>
      <c r="U187" s="1138"/>
      <c r="V187" s="1112"/>
      <c r="W187" s="1112"/>
      <c r="X187" s="1112"/>
      <c r="Y187" s="1112"/>
      <c r="Z187" s="1112"/>
      <c r="AA187" s="1109"/>
      <c r="AB187" s="1109"/>
      <c r="AC187" s="1112"/>
      <c r="AD187" s="1112"/>
      <c r="AE187" s="436"/>
      <c r="AF187" s="436"/>
      <c r="AG187" s="436"/>
      <c r="AH187" s="436"/>
      <c r="AI187" s="436"/>
      <c r="AJ187" s="436"/>
      <c r="AK187" s="437"/>
      <c r="AL187" s="437"/>
      <c r="AM187" s="437"/>
      <c r="AN187" s="437"/>
      <c r="AO187" s="437"/>
      <c r="AP187" s="437"/>
      <c r="AQ187" s="437"/>
      <c r="AR187" s="436"/>
      <c r="AS187" s="437"/>
    </row>
    <row r="188" spans="1:45" s="446" customFormat="1" ht="24.95" customHeight="1">
      <c r="A188" s="441"/>
      <c r="B188" s="441"/>
      <c r="C188" s="442" t="s">
        <v>318</v>
      </c>
      <c r="D188" s="443"/>
      <c r="E188" s="441"/>
      <c r="F188" s="441"/>
      <c r="G188" s="444">
        <f>SUM(G186:G187)</f>
        <v>0</v>
      </c>
      <c r="H188" s="441"/>
      <c r="I188" s="441"/>
      <c r="J188" s="441"/>
      <c r="K188" s="441"/>
      <c r="L188" s="441"/>
      <c r="M188" s="441"/>
      <c r="N188" s="444">
        <f>SUM(N186:N187)</f>
        <v>0</v>
      </c>
      <c r="O188" s="444">
        <f>SUM(O186:O187)</f>
        <v>0</v>
      </c>
      <c r="P188" s="444">
        <f>SUM(P186:P187)</f>
        <v>0</v>
      </c>
      <c r="Q188" s="444"/>
      <c r="R188" s="444"/>
      <c r="S188" s="444"/>
      <c r="T188" s="444"/>
      <c r="U188" s="444"/>
      <c r="V188" s="444">
        <f t="shared" ref="V188:AB188" si="68">SUM(V186:V187)</f>
        <v>0</v>
      </c>
      <c r="W188" s="444">
        <f t="shared" si="68"/>
        <v>0</v>
      </c>
      <c r="X188" s="444">
        <f t="shared" si="68"/>
        <v>0</v>
      </c>
      <c r="Y188" s="444">
        <f t="shared" si="68"/>
        <v>0</v>
      </c>
      <c r="Z188" s="444">
        <f t="shared" si="68"/>
        <v>0</v>
      </c>
      <c r="AA188" s="499">
        <f t="shared" si="68"/>
        <v>0</v>
      </c>
      <c r="AB188" s="499">
        <f t="shared" si="68"/>
        <v>0</v>
      </c>
      <c r="AC188" s="444"/>
      <c r="AD188" s="444"/>
      <c r="AE188" s="436"/>
      <c r="AF188" s="436"/>
      <c r="AG188" s="436"/>
      <c r="AH188" s="436"/>
      <c r="AI188" s="436"/>
      <c r="AJ188" s="436"/>
      <c r="AK188" s="437"/>
      <c r="AL188" s="437"/>
      <c r="AM188" s="437"/>
      <c r="AN188" s="437"/>
      <c r="AO188" s="437"/>
      <c r="AP188" s="437">
        <f t="shared" si="60"/>
        <v>0</v>
      </c>
      <c r="AQ188" s="437">
        <f t="shared" si="60"/>
        <v>0</v>
      </c>
      <c r="AR188" s="436"/>
      <c r="AS188" s="437">
        <f t="shared" si="61"/>
        <v>0</v>
      </c>
    </row>
    <row r="189" spans="1:45" s="446" customFormat="1" ht="24.75" customHeight="1">
      <c r="A189" s="441"/>
      <c r="B189" s="441"/>
      <c r="C189" s="1136" t="s">
        <v>549</v>
      </c>
      <c r="D189" s="1137"/>
      <c r="E189" s="441"/>
      <c r="F189" s="441"/>
      <c r="G189" s="441"/>
      <c r="H189" s="441"/>
      <c r="I189" s="441"/>
      <c r="J189" s="441"/>
      <c r="K189" s="441"/>
      <c r="L189" s="441"/>
      <c r="M189" s="441"/>
      <c r="N189" s="444">
        <f>N23+N67+N95+N121+N127+N133+N139+N159+N169+N176+N180+N184</f>
        <v>554268.42183750006</v>
      </c>
      <c r="O189" s="444">
        <f>O23+O67+O95+O121+O127+O133+O139+O159+O169+O176+O180+O184+O188</f>
        <v>41.75</v>
      </c>
      <c r="P189" s="444">
        <f>P23+P67+P95+P121+P127+P133+P139+P159+P169+P176+P180+P184+P188</f>
        <v>10.25</v>
      </c>
      <c r="Q189" s="444"/>
      <c r="R189" s="444"/>
      <c r="S189" s="444"/>
      <c r="T189" s="444"/>
      <c r="U189" s="444"/>
      <c r="V189" s="444">
        <f t="shared" ref="V189:AD189" si="69">V23+V67+V95+V121+V127+V133+V139+V159+V169+V176+V180+V184+V188</f>
        <v>112519.22830874997</v>
      </c>
      <c r="W189" s="444">
        <f t="shared" si="69"/>
        <v>2470</v>
      </c>
      <c r="X189" s="444">
        <f t="shared" si="69"/>
        <v>501563.56264625012</v>
      </c>
      <c r="Y189" s="444">
        <f t="shared" si="69"/>
        <v>532079.78119374998</v>
      </c>
      <c r="Z189" s="444">
        <f t="shared" si="69"/>
        <v>1033643.34384</v>
      </c>
      <c r="AA189" s="499">
        <f t="shared" si="69"/>
        <v>1040000</v>
      </c>
      <c r="AB189" s="499">
        <f t="shared" si="69"/>
        <v>538436.43735374999</v>
      </c>
      <c r="AC189" s="444">
        <f t="shared" si="69"/>
        <v>232375</v>
      </c>
      <c r="AD189" s="444">
        <f t="shared" si="69"/>
        <v>103789.38100000002</v>
      </c>
      <c r="AE189" s="444"/>
      <c r="AF189" s="436"/>
      <c r="AG189" s="436"/>
      <c r="AH189" s="436"/>
      <c r="AI189" s="436"/>
      <c r="AJ189" s="436"/>
      <c r="AK189" s="437"/>
      <c r="AL189" s="437"/>
      <c r="AM189" s="437"/>
      <c r="AN189" s="437"/>
      <c r="AO189" s="437"/>
      <c r="AP189" s="437">
        <f t="shared" si="60"/>
        <v>0</v>
      </c>
      <c r="AQ189" s="437">
        <f t="shared" si="60"/>
        <v>0</v>
      </c>
      <c r="AR189" s="436"/>
      <c r="AS189" s="437">
        <f t="shared" si="61"/>
        <v>0</v>
      </c>
    </row>
    <row r="190" spans="1:45" s="456" customFormat="1" ht="24.95" customHeight="1">
      <c r="A190" s="455"/>
      <c r="B190" s="455"/>
      <c r="C190" s="1135" t="s">
        <v>550</v>
      </c>
      <c r="D190" s="1135"/>
      <c r="E190" s="455"/>
      <c r="F190" s="455"/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55"/>
      <c r="R190" s="455"/>
      <c r="S190" s="455"/>
      <c r="T190" s="455"/>
      <c r="U190" s="455"/>
      <c r="V190" s="455"/>
      <c r="W190" s="455"/>
      <c r="X190" s="455"/>
      <c r="Y190" s="455"/>
      <c r="Z190" s="455"/>
      <c r="AA190" s="504"/>
      <c r="AB190" s="504"/>
      <c r="AC190" s="455"/>
      <c r="AD190" s="455"/>
      <c r="AE190" s="436"/>
      <c r="AF190" s="436"/>
      <c r="AG190" s="436"/>
      <c r="AH190" s="436"/>
      <c r="AI190" s="436"/>
      <c r="AJ190" s="436"/>
      <c r="AK190" s="437"/>
      <c r="AL190" s="437"/>
      <c r="AM190" s="437"/>
      <c r="AN190" s="437"/>
      <c r="AO190" s="437"/>
      <c r="AP190" s="437">
        <f t="shared" si="60"/>
        <v>0</v>
      </c>
      <c r="AQ190" s="437">
        <f t="shared" si="60"/>
        <v>0</v>
      </c>
      <c r="AR190" s="436"/>
      <c r="AS190" s="437">
        <f t="shared" si="61"/>
        <v>0</v>
      </c>
    </row>
    <row r="191" spans="1:45" s="438" customFormat="1" ht="24.95" customHeight="1">
      <c r="A191" s="1134"/>
      <c r="B191" s="1134"/>
      <c r="C191" s="1139" t="s">
        <v>551</v>
      </c>
      <c r="D191" s="1134" t="s">
        <v>337</v>
      </c>
      <c r="E191" s="1134" t="s">
        <v>552</v>
      </c>
      <c r="F191" s="1134">
        <v>10</v>
      </c>
      <c r="G191" s="1112">
        <v>5265</v>
      </c>
      <c r="H191" s="1112"/>
      <c r="I191" s="1112"/>
      <c r="J191" s="1112"/>
      <c r="K191" s="1112"/>
      <c r="L191" s="435">
        <v>0.15</v>
      </c>
      <c r="M191" s="1138"/>
      <c r="N191" s="1112">
        <f>G191+I192+L192+K192</f>
        <v>6054.75</v>
      </c>
      <c r="O191" s="1112">
        <v>1</v>
      </c>
      <c r="P191" s="1112"/>
      <c r="Q191" s="1112"/>
      <c r="R191" s="1138"/>
      <c r="S191" s="1112"/>
      <c r="T191" s="1145">
        <v>1</v>
      </c>
      <c r="U191" s="1138">
        <v>0</v>
      </c>
      <c r="V191" s="1112">
        <f>N191*U191</f>
        <v>0</v>
      </c>
      <c r="W191" s="1112">
        <f>AD191</f>
        <v>445.25</v>
      </c>
      <c r="X191" s="1112">
        <f>(N191+V191)*O191+W191</f>
        <v>6500</v>
      </c>
      <c r="Y191" s="1112">
        <f>AB191</f>
        <v>13500</v>
      </c>
      <c r="Z191" s="1112">
        <f>X191+Y191</f>
        <v>20000</v>
      </c>
      <c r="AA191" s="1109">
        <f>20000*O191</f>
        <v>20000</v>
      </c>
      <c r="AB191" s="1109">
        <f>AA191-X191</f>
        <v>13500</v>
      </c>
      <c r="AC191" s="1112">
        <f>6500*O191</f>
        <v>6500</v>
      </c>
      <c r="AD191" s="1112">
        <f>AC191-(N191*O191)</f>
        <v>445.25</v>
      </c>
      <c r="AE191" s="436">
        <f>G191*O191</f>
        <v>5265</v>
      </c>
      <c r="AF191" s="436">
        <f>G191*P191</f>
        <v>0</v>
      </c>
      <c r="AG191" s="436">
        <f>N191*O191</f>
        <v>6054.75</v>
      </c>
      <c r="AH191" s="436">
        <f>N191*P191</f>
        <v>0</v>
      </c>
      <c r="AI191" s="436">
        <f>AG191-AE191</f>
        <v>789.75</v>
      </c>
      <c r="AJ191" s="436">
        <f t="shared" ref="AJ191:AJ225" si="70">AH191-AF191</f>
        <v>0</v>
      </c>
      <c r="AK191" s="437">
        <f>V191*O191</f>
        <v>0</v>
      </c>
      <c r="AL191" s="437">
        <f>V191*P191</f>
        <v>0</v>
      </c>
      <c r="AM191" s="437">
        <f>W191</f>
        <v>445.25</v>
      </c>
      <c r="AN191" s="437">
        <f t="shared" si="48"/>
        <v>0</v>
      </c>
      <c r="AO191" s="437">
        <f t="shared" si="49"/>
        <v>0</v>
      </c>
      <c r="AP191" s="437">
        <f t="shared" ref="AP191:AQ229" si="71">AG191</f>
        <v>6054.75</v>
      </c>
      <c r="AQ191" s="437">
        <f t="shared" si="71"/>
        <v>0</v>
      </c>
      <c r="AR191" s="436"/>
      <c r="AS191" s="437">
        <f t="shared" si="61"/>
        <v>6054.75</v>
      </c>
    </row>
    <row r="192" spans="1:45" s="438" customFormat="1" ht="24.95" customHeight="1">
      <c r="A192" s="1134"/>
      <c r="B192" s="1134"/>
      <c r="C192" s="1139"/>
      <c r="D192" s="1134"/>
      <c r="E192" s="1134"/>
      <c r="F192" s="1134"/>
      <c r="G192" s="1112"/>
      <c r="H192" s="1112"/>
      <c r="I192" s="1112"/>
      <c r="J192" s="1112"/>
      <c r="K192" s="1112"/>
      <c r="L192" s="439">
        <f>(G191+H192)*L191</f>
        <v>789.75</v>
      </c>
      <c r="M192" s="1134"/>
      <c r="N192" s="1112"/>
      <c r="O192" s="1112"/>
      <c r="P192" s="1112"/>
      <c r="Q192" s="1112"/>
      <c r="R192" s="1134"/>
      <c r="S192" s="1112"/>
      <c r="T192" s="1145"/>
      <c r="U192" s="1138"/>
      <c r="V192" s="1112"/>
      <c r="W192" s="1112"/>
      <c r="X192" s="1112"/>
      <c r="Y192" s="1112"/>
      <c r="Z192" s="1112"/>
      <c r="AA192" s="1109"/>
      <c r="AB192" s="1109"/>
      <c r="AC192" s="1112"/>
      <c r="AD192" s="1112"/>
      <c r="AE192" s="436">
        <f>G192*O192</f>
        <v>0</v>
      </c>
      <c r="AF192" s="436">
        <f>G192*P192</f>
        <v>0</v>
      </c>
      <c r="AG192" s="436">
        <f>N192*O192</f>
        <v>0</v>
      </c>
      <c r="AH192" s="436">
        <f>N192*P192</f>
        <v>0</v>
      </c>
      <c r="AI192" s="436">
        <f>AG192-AE192</f>
        <v>0</v>
      </c>
      <c r="AJ192" s="436">
        <f t="shared" si="70"/>
        <v>0</v>
      </c>
      <c r="AK192" s="437">
        <f>V192*O192</f>
        <v>0</v>
      </c>
      <c r="AL192" s="437">
        <f>V192*P192</f>
        <v>0</v>
      </c>
      <c r="AM192" s="437">
        <f>W192</f>
        <v>0</v>
      </c>
      <c r="AN192" s="437">
        <f t="shared" si="48"/>
        <v>0</v>
      </c>
      <c r="AO192" s="437">
        <f t="shared" si="49"/>
        <v>0</v>
      </c>
      <c r="AP192" s="437">
        <f t="shared" si="71"/>
        <v>0</v>
      </c>
      <c r="AQ192" s="437">
        <f t="shared" si="71"/>
        <v>0</v>
      </c>
      <c r="AR192" s="436"/>
      <c r="AS192" s="437">
        <f t="shared" si="61"/>
        <v>0</v>
      </c>
    </row>
    <row r="193" spans="1:45" s="446" customFormat="1" ht="24.95" customHeight="1">
      <c r="A193" s="441"/>
      <c r="B193" s="441"/>
      <c r="C193" s="442" t="s">
        <v>558</v>
      </c>
      <c r="D193" s="443"/>
      <c r="E193" s="441"/>
      <c r="F193" s="441"/>
      <c r="G193" s="444">
        <f>SUM(G191:G192)</f>
        <v>5265</v>
      </c>
      <c r="H193" s="444"/>
      <c r="I193" s="444"/>
      <c r="J193" s="444"/>
      <c r="K193" s="444"/>
      <c r="L193" s="444"/>
      <c r="M193" s="444"/>
      <c r="N193" s="444">
        <f>SUM(N191:N192)</f>
        <v>6054.75</v>
      </c>
      <c r="O193" s="444">
        <f>SUM(O191:O192)</f>
        <v>1</v>
      </c>
      <c r="P193" s="444"/>
      <c r="Q193" s="444"/>
      <c r="R193" s="444"/>
      <c r="S193" s="444"/>
      <c r="T193" s="444"/>
      <c r="U193" s="444"/>
      <c r="V193" s="444">
        <f t="shared" ref="V193:AD193" si="72">SUM(V191:V192)</f>
        <v>0</v>
      </c>
      <c r="W193" s="444">
        <f t="shared" si="72"/>
        <v>445.25</v>
      </c>
      <c r="X193" s="444">
        <f t="shared" si="72"/>
        <v>6500</v>
      </c>
      <c r="Y193" s="444">
        <f t="shared" si="72"/>
        <v>13500</v>
      </c>
      <c r="Z193" s="444">
        <f t="shared" si="72"/>
        <v>20000</v>
      </c>
      <c r="AA193" s="499">
        <f t="shared" si="72"/>
        <v>20000</v>
      </c>
      <c r="AB193" s="499">
        <f t="shared" si="72"/>
        <v>13500</v>
      </c>
      <c r="AC193" s="444">
        <f t="shared" si="72"/>
        <v>6500</v>
      </c>
      <c r="AD193" s="444">
        <f t="shared" si="72"/>
        <v>445.25</v>
      </c>
      <c r="AE193" s="436"/>
      <c r="AF193" s="436"/>
      <c r="AG193" s="436"/>
      <c r="AH193" s="436"/>
      <c r="AI193" s="436"/>
      <c r="AJ193" s="436"/>
      <c r="AK193" s="437"/>
      <c r="AL193" s="437"/>
      <c r="AM193" s="437"/>
      <c r="AN193" s="437"/>
      <c r="AO193" s="437"/>
      <c r="AP193" s="437">
        <f t="shared" si="71"/>
        <v>0</v>
      </c>
      <c r="AQ193" s="437">
        <f t="shared" si="71"/>
        <v>0</v>
      </c>
      <c r="AR193" s="436"/>
      <c r="AS193" s="437">
        <f t="shared" si="61"/>
        <v>0</v>
      </c>
    </row>
    <row r="194" spans="1:45" s="456" customFormat="1" ht="24.95" customHeight="1">
      <c r="A194" s="455"/>
      <c r="B194" s="455"/>
      <c r="C194" s="1135" t="s">
        <v>559</v>
      </c>
      <c r="D194" s="1135"/>
      <c r="E194" s="455"/>
      <c r="F194" s="455"/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504"/>
      <c r="AB194" s="504"/>
      <c r="AC194" s="455"/>
      <c r="AD194" s="455"/>
      <c r="AE194" s="436">
        <f t="shared" ref="AE194:AE201" si="73">G194*O194</f>
        <v>0</v>
      </c>
      <c r="AF194" s="436">
        <f t="shared" ref="AF194:AF201" si="74">G194*P194</f>
        <v>0</v>
      </c>
      <c r="AG194" s="436">
        <f t="shared" ref="AG194:AG201" si="75">N194*O194</f>
        <v>0</v>
      </c>
      <c r="AH194" s="436">
        <f t="shared" ref="AH194:AH201" si="76">N194*P194</f>
        <v>0</v>
      </c>
      <c r="AI194" s="436">
        <f t="shared" ref="AI194:AI201" si="77">AG194-AE194</f>
        <v>0</v>
      </c>
      <c r="AJ194" s="436">
        <f t="shared" si="70"/>
        <v>0</v>
      </c>
      <c r="AK194" s="437">
        <f t="shared" ref="AK194:AK201" si="78">V194*O194</f>
        <v>0</v>
      </c>
      <c r="AL194" s="437">
        <f t="shared" ref="AL194:AL201" si="79">V194*P194</f>
        <v>0</v>
      </c>
      <c r="AM194" s="437">
        <f t="shared" ref="AM194:AM201" si="80">W194</f>
        <v>0</v>
      </c>
      <c r="AN194" s="437">
        <f t="shared" ref="AN194:AN201" si="81">S194*O194</f>
        <v>0</v>
      </c>
      <c r="AO194" s="437">
        <f t="shared" ref="AO194:AO201" si="82">S194*P194</f>
        <v>0</v>
      </c>
      <c r="AP194" s="437">
        <f t="shared" si="71"/>
        <v>0</v>
      </c>
      <c r="AQ194" s="437">
        <f t="shared" si="71"/>
        <v>0</v>
      </c>
      <c r="AR194" s="436"/>
      <c r="AS194" s="437">
        <f t="shared" si="61"/>
        <v>0</v>
      </c>
    </row>
    <row r="195" spans="1:45" s="456" customFormat="1" ht="24.95" customHeight="1">
      <c r="A195" s="455"/>
      <c r="B195" s="455"/>
      <c r="C195" s="1136" t="s">
        <v>560</v>
      </c>
      <c r="D195" s="1136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504"/>
      <c r="AB195" s="504"/>
      <c r="AC195" s="455"/>
      <c r="AD195" s="455"/>
      <c r="AE195" s="436">
        <f t="shared" si="73"/>
        <v>0</v>
      </c>
      <c r="AF195" s="436">
        <f t="shared" si="74"/>
        <v>0</v>
      </c>
      <c r="AG195" s="436">
        <f t="shared" si="75"/>
        <v>0</v>
      </c>
      <c r="AH195" s="436">
        <f t="shared" si="76"/>
        <v>0</v>
      </c>
      <c r="AI195" s="436">
        <f t="shared" si="77"/>
        <v>0</v>
      </c>
      <c r="AJ195" s="436">
        <f t="shared" si="70"/>
        <v>0</v>
      </c>
      <c r="AK195" s="437">
        <f t="shared" si="78"/>
        <v>0</v>
      </c>
      <c r="AL195" s="437">
        <f t="shared" si="79"/>
        <v>0</v>
      </c>
      <c r="AM195" s="437">
        <f t="shared" si="80"/>
        <v>0</v>
      </c>
      <c r="AN195" s="437">
        <f t="shared" si="81"/>
        <v>0</v>
      </c>
      <c r="AO195" s="437">
        <f t="shared" si="82"/>
        <v>0</v>
      </c>
      <c r="AP195" s="437">
        <f t="shared" si="71"/>
        <v>0</v>
      </c>
      <c r="AQ195" s="437">
        <f t="shared" si="71"/>
        <v>0</v>
      </c>
      <c r="AR195" s="436"/>
      <c r="AS195" s="437">
        <f t="shared" si="61"/>
        <v>0</v>
      </c>
    </row>
    <row r="196" spans="1:45" s="438" customFormat="1" ht="24.95" customHeight="1">
      <c r="A196" s="1134"/>
      <c r="B196" s="1134"/>
      <c r="C196" s="1139" t="s">
        <v>561</v>
      </c>
      <c r="D196" s="1134" t="s">
        <v>1042</v>
      </c>
      <c r="E196" s="1134" t="s">
        <v>563</v>
      </c>
      <c r="F196" s="1134">
        <v>11</v>
      </c>
      <c r="G196" s="1112">
        <v>5699</v>
      </c>
      <c r="H196" s="434">
        <v>0.28299999999999997</v>
      </c>
      <c r="I196" s="1140"/>
      <c r="J196" s="1140"/>
      <c r="K196" s="435">
        <v>0.15</v>
      </c>
      <c r="L196" s="1140"/>
      <c r="M196" s="1140"/>
      <c r="N196" s="1112">
        <f>G196+H197+K197</f>
        <v>7372.5690000000004</v>
      </c>
      <c r="O196" s="1112">
        <v>1</v>
      </c>
      <c r="P196" s="1140"/>
      <c r="Q196" s="1140"/>
      <c r="R196" s="1140"/>
      <c r="S196" s="1140"/>
      <c r="T196" s="1134">
        <v>26</v>
      </c>
      <c r="U196" s="1138">
        <v>0.3</v>
      </c>
      <c r="V196" s="1112">
        <f>N196*U196*O196</f>
        <v>2211.7707</v>
      </c>
      <c r="W196" s="1112"/>
      <c r="X196" s="1112">
        <f>(N196+V196)*O196</f>
        <v>9584.3397000000004</v>
      </c>
      <c r="Y196" s="1112">
        <f>AB196</f>
        <v>3915.6602999999996</v>
      </c>
      <c r="Z196" s="1112">
        <f>X196+Y196</f>
        <v>13500</v>
      </c>
      <c r="AA196" s="1109">
        <f>13500*O196</f>
        <v>13500</v>
      </c>
      <c r="AB196" s="1109">
        <f>AA196-X196</f>
        <v>3915.6602999999996</v>
      </c>
      <c r="AC196" s="1112">
        <f>6500*O196</f>
        <v>6500</v>
      </c>
      <c r="AD196" s="1112"/>
      <c r="AE196" s="436">
        <f t="shared" si="73"/>
        <v>5699</v>
      </c>
      <c r="AF196" s="436">
        <f t="shared" si="74"/>
        <v>0</v>
      </c>
      <c r="AG196" s="436">
        <f t="shared" si="75"/>
        <v>7372.5690000000004</v>
      </c>
      <c r="AH196" s="436">
        <f t="shared" si="76"/>
        <v>0</v>
      </c>
      <c r="AI196" s="436">
        <f t="shared" si="77"/>
        <v>1673.5690000000004</v>
      </c>
      <c r="AJ196" s="436">
        <f t="shared" si="70"/>
        <v>0</v>
      </c>
      <c r="AK196" s="437">
        <f t="shared" si="78"/>
        <v>2211.7707</v>
      </c>
      <c r="AL196" s="437">
        <f t="shared" si="79"/>
        <v>0</v>
      </c>
      <c r="AM196" s="437">
        <f t="shared" si="80"/>
        <v>0</v>
      </c>
      <c r="AN196" s="437">
        <f t="shared" si="81"/>
        <v>0</v>
      </c>
      <c r="AO196" s="437">
        <f t="shared" si="82"/>
        <v>0</v>
      </c>
      <c r="AP196" s="437">
        <f t="shared" si="71"/>
        <v>7372.5690000000004</v>
      </c>
      <c r="AQ196" s="437">
        <f t="shared" si="71"/>
        <v>0</v>
      </c>
      <c r="AR196" s="436"/>
      <c r="AS196" s="437">
        <f t="shared" si="61"/>
        <v>7372.5690000000004</v>
      </c>
    </row>
    <row r="197" spans="1:45" s="438" customFormat="1" ht="24.95" customHeight="1">
      <c r="A197" s="1134"/>
      <c r="B197" s="1134"/>
      <c r="C197" s="1139"/>
      <c r="D197" s="1134"/>
      <c r="E197" s="1134"/>
      <c r="F197" s="1134"/>
      <c r="G197" s="1112"/>
      <c r="H197" s="439">
        <f>2893*H196</f>
        <v>818.71899999999994</v>
      </c>
      <c r="I197" s="1140"/>
      <c r="J197" s="1140"/>
      <c r="K197" s="449">
        <f>G196*K196</f>
        <v>854.85</v>
      </c>
      <c r="L197" s="1140"/>
      <c r="M197" s="1140"/>
      <c r="N197" s="1112"/>
      <c r="O197" s="1112"/>
      <c r="P197" s="1140"/>
      <c r="Q197" s="1140"/>
      <c r="R197" s="1140"/>
      <c r="S197" s="1140"/>
      <c r="T197" s="1134"/>
      <c r="U197" s="1138"/>
      <c r="V197" s="1112"/>
      <c r="W197" s="1112"/>
      <c r="X197" s="1112"/>
      <c r="Y197" s="1112"/>
      <c r="Z197" s="1112"/>
      <c r="AA197" s="1109"/>
      <c r="AB197" s="1109"/>
      <c r="AC197" s="1112"/>
      <c r="AD197" s="1112"/>
      <c r="AE197" s="436">
        <f t="shared" si="73"/>
        <v>0</v>
      </c>
      <c r="AF197" s="436">
        <f t="shared" si="74"/>
        <v>0</v>
      </c>
      <c r="AG197" s="436">
        <f t="shared" si="75"/>
        <v>0</v>
      </c>
      <c r="AH197" s="436">
        <f t="shared" si="76"/>
        <v>0</v>
      </c>
      <c r="AI197" s="436">
        <f t="shared" si="77"/>
        <v>0</v>
      </c>
      <c r="AJ197" s="436">
        <f t="shared" si="70"/>
        <v>0</v>
      </c>
      <c r="AK197" s="437">
        <f t="shared" si="78"/>
        <v>0</v>
      </c>
      <c r="AL197" s="437">
        <f t="shared" si="79"/>
        <v>0</v>
      </c>
      <c r="AM197" s="437">
        <f t="shared" si="80"/>
        <v>0</v>
      </c>
      <c r="AN197" s="437">
        <f t="shared" si="81"/>
        <v>0</v>
      </c>
      <c r="AO197" s="437">
        <f t="shared" si="82"/>
        <v>0</v>
      </c>
      <c r="AP197" s="437">
        <f t="shared" si="71"/>
        <v>0</v>
      </c>
      <c r="AQ197" s="437">
        <f t="shared" si="71"/>
        <v>0</v>
      </c>
      <c r="AR197" s="436"/>
      <c r="AS197" s="437">
        <f t="shared" si="61"/>
        <v>0</v>
      </c>
    </row>
    <row r="198" spans="1:45" s="438" customFormat="1" ht="24.95" customHeight="1">
      <c r="A198" s="1134"/>
      <c r="B198" s="1134"/>
      <c r="C198" s="1139" t="s">
        <v>564</v>
      </c>
      <c r="D198" s="1134" t="s">
        <v>337</v>
      </c>
      <c r="E198" s="1134" t="s">
        <v>565</v>
      </c>
      <c r="F198" s="1134">
        <v>6</v>
      </c>
      <c r="G198" s="1112">
        <v>4195</v>
      </c>
      <c r="H198" s="1112"/>
      <c r="I198" s="1112"/>
      <c r="J198" s="1112"/>
      <c r="K198" s="1112"/>
      <c r="L198" s="1112"/>
      <c r="M198" s="1112"/>
      <c r="N198" s="1112">
        <f>G198+H199</f>
        <v>4195</v>
      </c>
      <c r="O198" s="1112">
        <v>1</v>
      </c>
      <c r="P198" s="1112"/>
      <c r="Q198" s="1112"/>
      <c r="R198" s="1112"/>
      <c r="S198" s="1112"/>
      <c r="T198" s="1134">
        <v>2</v>
      </c>
      <c r="U198" s="1138">
        <v>0</v>
      </c>
      <c r="V198" s="1112">
        <f>N198*U198</f>
        <v>0</v>
      </c>
      <c r="W198" s="1112">
        <f>AD198</f>
        <v>2305</v>
      </c>
      <c r="X198" s="1112">
        <f>(N198+V198)*O198+W198</f>
        <v>6500</v>
      </c>
      <c r="Y198" s="1112">
        <f>AB198</f>
        <v>7000</v>
      </c>
      <c r="Z198" s="1112">
        <f>X198+Y198</f>
        <v>13500</v>
      </c>
      <c r="AA198" s="1109">
        <f>13500*O198</f>
        <v>13500</v>
      </c>
      <c r="AB198" s="1109">
        <f>AA198-X198</f>
        <v>7000</v>
      </c>
      <c r="AC198" s="1112">
        <f>6500*O198</f>
        <v>6500</v>
      </c>
      <c r="AD198" s="1112">
        <f>AC198-(N198*O198)-V198</f>
        <v>2305</v>
      </c>
      <c r="AE198" s="436">
        <f t="shared" si="73"/>
        <v>4195</v>
      </c>
      <c r="AF198" s="436">
        <f t="shared" si="74"/>
        <v>0</v>
      </c>
      <c r="AG198" s="436">
        <f t="shared" si="75"/>
        <v>4195</v>
      </c>
      <c r="AH198" s="436">
        <f t="shared" si="76"/>
        <v>0</v>
      </c>
      <c r="AI198" s="436">
        <f t="shared" si="77"/>
        <v>0</v>
      </c>
      <c r="AJ198" s="436">
        <f t="shared" si="70"/>
        <v>0</v>
      </c>
      <c r="AK198" s="437">
        <f t="shared" si="78"/>
        <v>0</v>
      </c>
      <c r="AL198" s="437">
        <f t="shared" si="79"/>
        <v>0</v>
      </c>
      <c r="AM198" s="437">
        <f t="shared" si="80"/>
        <v>2305</v>
      </c>
      <c r="AN198" s="437">
        <f t="shared" si="81"/>
        <v>0</v>
      </c>
      <c r="AO198" s="437">
        <f t="shared" si="82"/>
        <v>0</v>
      </c>
      <c r="AP198" s="437">
        <f t="shared" si="71"/>
        <v>4195</v>
      </c>
      <c r="AQ198" s="437">
        <f t="shared" si="71"/>
        <v>0</v>
      </c>
      <c r="AR198" s="436"/>
      <c r="AS198" s="437">
        <f t="shared" si="61"/>
        <v>4195</v>
      </c>
    </row>
    <row r="199" spans="1:45" s="438" customFormat="1" ht="24.95" customHeight="1">
      <c r="A199" s="1134"/>
      <c r="B199" s="1134"/>
      <c r="C199" s="1139"/>
      <c r="D199" s="1134"/>
      <c r="E199" s="1134"/>
      <c r="F199" s="1134"/>
      <c r="G199" s="1112"/>
      <c r="H199" s="1112"/>
      <c r="I199" s="1112"/>
      <c r="J199" s="1112"/>
      <c r="K199" s="1112"/>
      <c r="L199" s="1112"/>
      <c r="M199" s="1112"/>
      <c r="N199" s="1112"/>
      <c r="O199" s="1112"/>
      <c r="P199" s="1112"/>
      <c r="Q199" s="1112"/>
      <c r="R199" s="1112"/>
      <c r="S199" s="1112"/>
      <c r="T199" s="1134"/>
      <c r="U199" s="1138"/>
      <c r="V199" s="1112"/>
      <c r="W199" s="1112"/>
      <c r="X199" s="1112"/>
      <c r="Y199" s="1112"/>
      <c r="Z199" s="1112"/>
      <c r="AA199" s="1109"/>
      <c r="AB199" s="1109"/>
      <c r="AC199" s="1112"/>
      <c r="AD199" s="1112"/>
      <c r="AE199" s="436">
        <f t="shared" si="73"/>
        <v>0</v>
      </c>
      <c r="AF199" s="436">
        <f t="shared" si="74"/>
        <v>0</v>
      </c>
      <c r="AG199" s="436">
        <f t="shared" si="75"/>
        <v>0</v>
      </c>
      <c r="AH199" s="436">
        <f t="shared" si="76"/>
        <v>0</v>
      </c>
      <c r="AI199" s="436">
        <f t="shared" si="77"/>
        <v>0</v>
      </c>
      <c r="AJ199" s="436">
        <f t="shared" si="70"/>
        <v>0</v>
      </c>
      <c r="AK199" s="437">
        <f t="shared" si="78"/>
        <v>0</v>
      </c>
      <c r="AL199" s="437">
        <f t="shared" si="79"/>
        <v>0</v>
      </c>
      <c r="AM199" s="437">
        <f t="shared" si="80"/>
        <v>0</v>
      </c>
      <c r="AN199" s="437">
        <f t="shared" si="81"/>
        <v>0</v>
      </c>
      <c r="AO199" s="437">
        <f t="shared" si="82"/>
        <v>0</v>
      </c>
      <c r="AP199" s="437">
        <f t="shared" si="71"/>
        <v>0</v>
      </c>
      <c r="AQ199" s="437">
        <f t="shared" si="71"/>
        <v>0</v>
      </c>
      <c r="AR199" s="436"/>
      <c r="AS199" s="437">
        <f t="shared" si="61"/>
        <v>0</v>
      </c>
    </row>
    <row r="200" spans="1:45" s="438" customFormat="1" ht="24.95" customHeight="1">
      <c r="A200" s="1134"/>
      <c r="B200" s="1134"/>
      <c r="C200" s="1139" t="s">
        <v>566</v>
      </c>
      <c r="D200" s="1134" t="s">
        <v>337</v>
      </c>
      <c r="E200" s="1134" t="s">
        <v>567</v>
      </c>
      <c r="F200" s="1134">
        <v>6</v>
      </c>
      <c r="G200" s="1112">
        <v>4195</v>
      </c>
      <c r="H200" s="1112"/>
      <c r="I200" s="1112"/>
      <c r="J200" s="1112"/>
      <c r="K200" s="1112"/>
      <c r="L200" s="1112"/>
      <c r="M200" s="1112"/>
      <c r="N200" s="1112">
        <f>G200+I201+L201</f>
        <v>4195</v>
      </c>
      <c r="O200" s="1112"/>
      <c r="P200" s="1112">
        <v>0.5</v>
      </c>
      <c r="Q200" s="1112"/>
      <c r="R200" s="1112"/>
      <c r="S200" s="1112"/>
      <c r="T200" s="1140">
        <v>39</v>
      </c>
      <c r="U200" s="1138">
        <v>0.3</v>
      </c>
      <c r="V200" s="1112">
        <f>N200*U200</f>
        <v>1258.5</v>
      </c>
      <c r="W200" s="1112">
        <f>AD200</f>
        <v>523.25</v>
      </c>
      <c r="X200" s="1112">
        <f>(N200+V200)*P200+W200</f>
        <v>3250</v>
      </c>
      <c r="Y200" s="1113">
        <f>AB200</f>
        <v>3500</v>
      </c>
      <c r="Z200" s="1113">
        <f>X200+Y200</f>
        <v>6750</v>
      </c>
      <c r="AA200" s="1110">
        <f>13500*P200</f>
        <v>6750</v>
      </c>
      <c r="AB200" s="1110">
        <f>AA200-X200</f>
        <v>3500</v>
      </c>
      <c r="AC200" s="1112">
        <f>6500*P200</f>
        <v>3250</v>
      </c>
      <c r="AD200" s="1112">
        <f>AC200-(N200*P200)-(V200*P200)</f>
        <v>523.25</v>
      </c>
      <c r="AE200" s="436">
        <f t="shared" si="73"/>
        <v>0</v>
      </c>
      <c r="AF200" s="436">
        <f t="shared" si="74"/>
        <v>2097.5</v>
      </c>
      <c r="AG200" s="436">
        <f t="shared" si="75"/>
        <v>0</v>
      </c>
      <c r="AH200" s="436">
        <f t="shared" si="76"/>
        <v>2097.5</v>
      </c>
      <c r="AI200" s="436">
        <f t="shared" si="77"/>
        <v>0</v>
      </c>
      <c r="AJ200" s="436">
        <f t="shared" si="70"/>
        <v>0</v>
      </c>
      <c r="AK200" s="437">
        <f t="shared" si="78"/>
        <v>0</v>
      </c>
      <c r="AL200" s="437">
        <f t="shared" si="79"/>
        <v>629.25</v>
      </c>
      <c r="AM200" s="437">
        <f t="shared" si="80"/>
        <v>523.25</v>
      </c>
      <c r="AN200" s="437">
        <f t="shared" si="81"/>
        <v>0</v>
      </c>
      <c r="AO200" s="437">
        <f t="shared" si="82"/>
        <v>0</v>
      </c>
      <c r="AP200" s="437">
        <f t="shared" si="71"/>
        <v>0</v>
      </c>
      <c r="AQ200" s="437">
        <f t="shared" si="71"/>
        <v>2097.5</v>
      </c>
      <c r="AR200" s="436"/>
      <c r="AS200" s="437">
        <f t="shared" si="61"/>
        <v>2097.5</v>
      </c>
    </row>
    <row r="201" spans="1:45" s="438" customFormat="1" ht="24.95" customHeight="1">
      <c r="A201" s="1134"/>
      <c r="B201" s="1134"/>
      <c r="C201" s="1139"/>
      <c r="D201" s="1134"/>
      <c r="E201" s="1134"/>
      <c r="F201" s="1134"/>
      <c r="G201" s="1112"/>
      <c r="H201" s="1112"/>
      <c r="I201" s="1112"/>
      <c r="J201" s="1112"/>
      <c r="K201" s="1112"/>
      <c r="L201" s="1112"/>
      <c r="M201" s="1112"/>
      <c r="N201" s="1112"/>
      <c r="O201" s="1112"/>
      <c r="P201" s="1112"/>
      <c r="Q201" s="1112"/>
      <c r="R201" s="1112"/>
      <c r="S201" s="1112"/>
      <c r="T201" s="1140"/>
      <c r="U201" s="1138"/>
      <c r="V201" s="1112"/>
      <c r="W201" s="1112"/>
      <c r="X201" s="1112"/>
      <c r="Y201" s="1114"/>
      <c r="Z201" s="1114"/>
      <c r="AA201" s="1111"/>
      <c r="AB201" s="1111"/>
      <c r="AC201" s="1112"/>
      <c r="AD201" s="1112"/>
      <c r="AE201" s="436">
        <f t="shared" si="73"/>
        <v>0</v>
      </c>
      <c r="AF201" s="436">
        <f t="shared" si="74"/>
        <v>0</v>
      </c>
      <c r="AG201" s="436">
        <f t="shared" si="75"/>
        <v>0</v>
      </c>
      <c r="AH201" s="436">
        <f t="shared" si="76"/>
        <v>0</v>
      </c>
      <c r="AI201" s="436">
        <f t="shared" si="77"/>
        <v>0</v>
      </c>
      <c r="AJ201" s="436">
        <f t="shared" si="70"/>
        <v>0</v>
      </c>
      <c r="AK201" s="437">
        <f t="shared" si="78"/>
        <v>0</v>
      </c>
      <c r="AL201" s="437">
        <f t="shared" si="79"/>
        <v>0</v>
      </c>
      <c r="AM201" s="437">
        <f t="shared" si="80"/>
        <v>0</v>
      </c>
      <c r="AN201" s="437">
        <f t="shared" si="81"/>
        <v>0</v>
      </c>
      <c r="AO201" s="437">
        <f t="shared" si="82"/>
        <v>0</v>
      </c>
      <c r="AP201" s="437">
        <f t="shared" si="71"/>
        <v>0</v>
      </c>
      <c r="AQ201" s="437">
        <f t="shared" si="71"/>
        <v>0</v>
      </c>
      <c r="AR201" s="436"/>
      <c r="AS201" s="437">
        <f t="shared" si="61"/>
        <v>0</v>
      </c>
    </row>
    <row r="202" spans="1:45" s="446" customFormat="1" ht="24.95" customHeight="1">
      <c r="A202" s="441"/>
      <c r="B202" s="441"/>
      <c r="C202" s="442" t="s">
        <v>318</v>
      </c>
      <c r="D202" s="443"/>
      <c r="E202" s="441"/>
      <c r="F202" s="441"/>
      <c r="G202" s="444">
        <f>SUM(G196:G201)</f>
        <v>14089</v>
      </c>
      <c r="H202" s="444">
        <f>H197</f>
        <v>818.71899999999994</v>
      </c>
      <c r="I202" s="441"/>
      <c r="J202" s="441"/>
      <c r="K202" s="441">
        <f>K197</f>
        <v>854.85</v>
      </c>
      <c r="L202" s="441"/>
      <c r="M202" s="441"/>
      <c r="N202" s="444">
        <f>SUM(N196:N201)</f>
        <v>15762.569</v>
      </c>
      <c r="O202" s="444">
        <f>SUM(O196:O201)</f>
        <v>2</v>
      </c>
      <c r="P202" s="444">
        <f>SUM(P196:P201)</f>
        <v>0.5</v>
      </c>
      <c r="Q202" s="444"/>
      <c r="R202" s="444"/>
      <c r="S202" s="444"/>
      <c r="T202" s="444"/>
      <c r="U202" s="444"/>
      <c r="V202" s="444">
        <f t="shared" ref="V202:AD202" si="83">SUM(V196:V201)</f>
        <v>3470.2707</v>
      </c>
      <c r="W202" s="444">
        <f t="shared" si="83"/>
        <v>2828.25</v>
      </c>
      <c r="X202" s="444">
        <f t="shared" si="83"/>
        <v>19334.3397</v>
      </c>
      <c r="Y202" s="444">
        <f t="shared" si="83"/>
        <v>14415.6603</v>
      </c>
      <c r="Z202" s="444">
        <f t="shared" si="83"/>
        <v>33750</v>
      </c>
      <c r="AA202" s="499">
        <f t="shared" si="83"/>
        <v>33750</v>
      </c>
      <c r="AB202" s="499">
        <f t="shared" si="83"/>
        <v>14415.6603</v>
      </c>
      <c r="AC202" s="444">
        <f t="shared" si="83"/>
        <v>16250</v>
      </c>
      <c r="AD202" s="444">
        <f t="shared" si="83"/>
        <v>2828.25</v>
      </c>
      <c r="AE202" s="436"/>
      <c r="AF202" s="436"/>
      <c r="AG202" s="436"/>
      <c r="AH202" s="436"/>
      <c r="AI202" s="436"/>
      <c r="AJ202" s="436"/>
      <c r="AK202" s="437"/>
      <c r="AL202" s="437"/>
      <c r="AM202" s="437"/>
      <c r="AN202" s="437"/>
      <c r="AO202" s="437"/>
      <c r="AP202" s="437">
        <f t="shared" si="71"/>
        <v>0</v>
      </c>
      <c r="AQ202" s="437">
        <f t="shared" si="71"/>
        <v>0</v>
      </c>
      <c r="AR202" s="436"/>
      <c r="AS202" s="437">
        <f t="shared" si="61"/>
        <v>0</v>
      </c>
    </row>
    <row r="203" spans="1:45" s="456" customFormat="1" ht="24.95" customHeight="1">
      <c r="A203" s="455"/>
      <c r="B203" s="455"/>
      <c r="C203" s="1135" t="s">
        <v>319</v>
      </c>
      <c r="D203" s="1135"/>
      <c r="E203" s="455"/>
      <c r="F203" s="455"/>
      <c r="G203" s="455"/>
      <c r="H203" s="455"/>
      <c r="I203" s="455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455"/>
      <c r="U203" s="455"/>
      <c r="V203" s="455"/>
      <c r="W203" s="455"/>
      <c r="X203" s="455"/>
      <c r="Y203" s="455"/>
      <c r="Z203" s="455"/>
      <c r="AA203" s="504"/>
      <c r="AB203" s="504"/>
      <c r="AC203" s="455"/>
      <c r="AD203" s="455"/>
      <c r="AE203" s="436">
        <f>G203*O203</f>
        <v>0</v>
      </c>
      <c r="AF203" s="436">
        <f>G203*P203</f>
        <v>0</v>
      </c>
      <c r="AG203" s="436">
        <f>N203*O203</f>
        <v>0</v>
      </c>
      <c r="AH203" s="436">
        <f>N203*P203</f>
        <v>0</v>
      </c>
      <c r="AI203" s="436">
        <f>AG203-AE203</f>
        <v>0</v>
      </c>
      <c r="AJ203" s="436">
        <f t="shared" si="70"/>
        <v>0</v>
      </c>
      <c r="AK203" s="437">
        <f>V203*O203</f>
        <v>0</v>
      </c>
      <c r="AL203" s="437">
        <f>V203*P203</f>
        <v>0</v>
      </c>
      <c r="AM203" s="437">
        <f>W203</f>
        <v>0</v>
      </c>
      <c r="AN203" s="437">
        <f t="shared" ref="AN203:AN225" si="84">S203*O203</f>
        <v>0</v>
      </c>
      <c r="AO203" s="437">
        <f t="shared" ref="AO203:AO225" si="85">S203*P203</f>
        <v>0</v>
      </c>
      <c r="AP203" s="437">
        <f t="shared" si="71"/>
        <v>0</v>
      </c>
      <c r="AQ203" s="437">
        <f t="shared" si="71"/>
        <v>0</v>
      </c>
      <c r="AR203" s="436"/>
      <c r="AS203" s="437">
        <f t="shared" si="61"/>
        <v>0</v>
      </c>
    </row>
    <row r="204" spans="1:45" s="438" customFormat="1" ht="24.95" customHeight="1">
      <c r="A204" s="1134"/>
      <c r="B204" s="1134"/>
      <c r="C204" s="1139" t="s">
        <v>568</v>
      </c>
      <c r="D204" s="1140" t="s">
        <v>1043</v>
      </c>
      <c r="E204" s="1140" t="s">
        <v>1044</v>
      </c>
      <c r="F204" s="1140">
        <v>7</v>
      </c>
      <c r="G204" s="1112">
        <v>4455</v>
      </c>
      <c r="H204" s="1112"/>
      <c r="I204" s="1112"/>
      <c r="J204" s="1112"/>
      <c r="K204" s="1112"/>
      <c r="L204" s="1112"/>
      <c r="M204" s="1112"/>
      <c r="N204" s="1112">
        <f>G204+H205</f>
        <v>4455</v>
      </c>
      <c r="O204" s="1112">
        <v>1</v>
      </c>
      <c r="P204" s="1112"/>
      <c r="Q204" s="1112"/>
      <c r="R204" s="1112"/>
      <c r="S204" s="1112"/>
      <c r="T204" s="1134">
        <v>20</v>
      </c>
      <c r="U204" s="1138">
        <v>0.3</v>
      </c>
      <c r="V204" s="1112">
        <f>N204*U204</f>
        <v>1336.5</v>
      </c>
      <c r="W204" s="1112">
        <f>AD204</f>
        <v>708.5</v>
      </c>
      <c r="X204" s="1112">
        <f>(N204+V204)*O204+W204</f>
        <v>6500</v>
      </c>
      <c r="Y204" s="1112">
        <f>AB204</f>
        <v>7000</v>
      </c>
      <c r="Z204" s="1112">
        <f>X204+Y204</f>
        <v>13500</v>
      </c>
      <c r="AA204" s="1109">
        <f>13500*O204</f>
        <v>13500</v>
      </c>
      <c r="AB204" s="1109">
        <f>AA204-X204</f>
        <v>7000</v>
      </c>
      <c r="AC204" s="1112">
        <f>6500*O204</f>
        <v>6500</v>
      </c>
      <c r="AD204" s="1112">
        <f>AC204-(N204*O204)-V204</f>
        <v>708.5</v>
      </c>
      <c r="AE204" s="436">
        <f>G204*O204</f>
        <v>4455</v>
      </c>
      <c r="AF204" s="436">
        <f>G204*P204</f>
        <v>0</v>
      </c>
      <c r="AG204" s="436">
        <f>N204*O204</f>
        <v>4455</v>
      </c>
      <c r="AH204" s="436">
        <f>N204*P204</f>
        <v>0</v>
      </c>
      <c r="AI204" s="436">
        <f>AG204-AE204</f>
        <v>0</v>
      </c>
      <c r="AJ204" s="436">
        <f t="shared" si="70"/>
        <v>0</v>
      </c>
      <c r="AK204" s="437">
        <f>V204*O204</f>
        <v>1336.5</v>
      </c>
      <c r="AL204" s="437">
        <f>V204*P204</f>
        <v>0</v>
      </c>
      <c r="AM204" s="437">
        <f>W204</f>
        <v>708.5</v>
      </c>
      <c r="AN204" s="437">
        <f t="shared" si="84"/>
        <v>0</v>
      </c>
      <c r="AO204" s="437">
        <f t="shared" si="85"/>
        <v>0</v>
      </c>
      <c r="AP204" s="437">
        <f t="shared" si="71"/>
        <v>4455</v>
      </c>
      <c r="AQ204" s="437">
        <f t="shared" si="71"/>
        <v>0</v>
      </c>
      <c r="AR204" s="436"/>
      <c r="AS204" s="437">
        <f t="shared" si="61"/>
        <v>4455</v>
      </c>
    </row>
    <row r="205" spans="1:45" s="438" customFormat="1" ht="24.95" customHeight="1">
      <c r="A205" s="1134"/>
      <c r="B205" s="1134"/>
      <c r="C205" s="1139"/>
      <c r="D205" s="1140"/>
      <c r="E205" s="1140"/>
      <c r="F205" s="1140"/>
      <c r="G205" s="1112"/>
      <c r="H205" s="1112"/>
      <c r="I205" s="1112"/>
      <c r="J205" s="1112"/>
      <c r="K205" s="1112"/>
      <c r="L205" s="1112"/>
      <c r="M205" s="1112"/>
      <c r="N205" s="1112"/>
      <c r="O205" s="1112"/>
      <c r="P205" s="1112"/>
      <c r="Q205" s="1112"/>
      <c r="R205" s="1112"/>
      <c r="S205" s="1112"/>
      <c r="T205" s="1134"/>
      <c r="U205" s="1138"/>
      <c r="V205" s="1112"/>
      <c r="W205" s="1112"/>
      <c r="X205" s="1112"/>
      <c r="Y205" s="1112"/>
      <c r="Z205" s="1112"/>
      <c r="AA205" s="1109"/>
      <c r="AB205" s="1109"/>
      <c r="AC205" s="1112"/>
      <c r="AD205" s="1112"/>
      <c r="AE205" s="436">
        <f>G205*O205</f>
        <v>0</v>
      </c>
      <c r="AF205" s="436">
        <f>G205*P205</f>
        <v>0</v>
      </c>
      <c r="AG205" s="436">
        <f>N205*O205</f>
        <v>0</v>
      </c>
      <c r="AH205" s="436">
        <f>N205*P205</f>
        <v>0</v>
      </c>
      <c r="AI205" s="436">
        <f>AG205-AE205</f>
        <v>0</v>
      </c>
      <c r="AJ205" s="436">
        <f t="shared" si="70"/>
        <v>0</v>
      </c>
      <c r="AK205" s="437">
        <f>V205*O205</f>
        <v>0</v>
      </c>
      <c r="AL205" s="437">
        <f>V205*P205</f>
        <v>0</v>
      </c>
      <c r="AM205" s="437">
        <f>W205</f>
        <v>0</v>
      </c>
      <c r="AN205" s="437">
        <f t="shared" si="84"/>
        <v>0</v>
      </c>
      <c r="AO205" s="437">
        <f t="shared" si="85"/>
        <v>0</v>
      </c>
      <c r="AP205" s="437">
        <f t="shared" si="71"/>
        <v>0</v>
      </c>
      <c r="AQ205" s="437">
        <f t="shared" si="71"/>
        <v>0</v>
      </c>
      <c r="AR205" s="436"/>
      <c r="AS205" s="437">
        <f t="shared" si="61"/>
        <v>0</v>
      </c>
    </row>
    <row r="206" spans="1:45" s="438" customFormat="1" ht="24.95" customHeight="1">
      <c r="A206" s="1134"/>
      <c r="B206" s="1134"/>
      <c r="C206" s="1139" t="s">
        <v>568</v>
      </c>
      <c r="D206" s="1134" t="s">
        <v>1045</v>
      </c>
      <c r="E206" s="1140" t="s">
        <v>611</v>
      </c>
      <c r="F206" s="1140">
        <v>9</v>
      </c>
      <c r="G206" s="1112">
        <v>5005</v>
      </c>
      <c r="H206" s="1112"/>
      <c r="I206" s="1112"/>
      <c r="J206" s="1112"/>
      <c r="K206" s="1112"/>
      <c r="L206" s="1112"/>
      <c r="M206" s="1112"/>
      <c r="N206" s="1112">
        <f>G206+H207</f>
        <v>5005</v>
      </c>
      <c r="O206" s="1112">
        <v>1</v>
      </c>
      <c r="P206" s="1112"/>
      <c r="Q206" s="1112"/>
      <c r="R206" s="1112"/>
      <c r="S206" s="1112"/>
      <c r="T206" s="1134">
        <v>14</v>
      </c>
      <c r="U206" s="1138">
        <v>0.2</v>
      </c>
      <c r="V206" s="1112">
        <f>N206*U206</f>
        <v>1001</v>
      </c>
      <c r="W206" s="1112">
        <f>AD206</f>
        <v>494</v>
      </c>
      <c r="X206" s="1112">
        <f>(N206+V206)*O206+W206</f>
        <v>6500</v>
      </c>
      <c r="Y206" s="1112">
        <f>AB206</f>
        <v>7000</v>
      </c>
      <c r="Z206" s="1112">
        <f>X206+Y206</f>
        <v>13500</v>
      </c>
      <c r="AA206" s="1109">
        <f>13500*O206</f>
        <v>13500</v>
      </c>
      <c r="AB206" s="1109">
        <f>AA206-X206</f>
        <v>7000</v>
      </c>
      <c r="AC206" s="1112">
        <f>6500*O206</f>
        <v>6500</v>
      </c>
      <c r="AD206" s="1112">
        <f>AC206-(N206*O206)-V206</f>
        <v>494</v>
      </c>
      <c r="AE206" s="436">
        <f>G206*O206</f>
        <v>5005</v>
      </c>
      <c r="AF206" s="436">
        <f>G206*P206</f>
        <v>0</v>
      </c>
      <c r="AG206" s="436">
        <f>N206*O206</f>
        <v>5005</v>
      </c>
      <c r="AH206" s="436">
        <f>N206*P206</f>
        <v>0</v>
      </c>
      <c r="AI206" s="436">
        <f>AG206-AE206</f>
        <v>0</v>
      </c>
      <c r="AJ206" s="436">
        <f>AH206-AF206</f>
        <v>0</v>
      </c>
      <c r="AK206" s="437">
        <f>V206*O206</f>
        <v>1001</v>
      </c>
      <c r="AL206" s="437">
        <f>V206*P206</f>
        <v>0</v>
      </c>
      <c r="AM206" s="437">
        <f>W206</f>
        <v>494</v>
      </c>
      <c r="AN206" s="437">
        <f>S206*O206</f>
        <v>0</v>
      </c>
      <c r="AO206" s="437">
        <f>S206*P206</f>
        <v>0</v>
      </c>
      <c r="AP206" s="437">
        <f>AG206</f>
        <v>5005</v>
      </c>
      <c r="AQ206" s="437">
        <f>AH206</f>
        <v>0</v>
      </c>
      <c r="AR206" s="436"/>
      <c r="AS206" s="437">
        <f t="shared" si="61"/>
        <v>5005</v>
      </c>
    </row>
    <row r="207" spans="1:45" s="438" customFormat="1" ht="24.95" customHeight="1">
      <c r="A207" s="1134"/>
      <c r="B207" s="1134"/>
      <c r="C207" s="1139"/>
      <c r="D207" s="1134"/>
      <c r="E207" s="1140"/>
      <c r="F207" s="1140"/>
      <c r="G207" s="1112"/>
      <c r="H207" s="1112"/>
      <c r="I207" s="1112"/>
      <c r="J207" s="1112"/>
      <c r="K207" s="1112"/>
      <c r="L207" s="1112"/>
      <c r="M207" s="1112"/>
      <c r="N207" s="1112"/>
      <c r="O207" s="1112"/>
      <c r="P207" s="1112"/>
      <c r="Q207" s="1112"/>
      <c r="R207" s="1112"/>
      <c r="S207" s="1112"/>
      <c r="T207" s="1134"/>
      <c r="U207" s="1138"/>
      <c r="V207" s="1112"/>
      <c r="W207" s="1112"/>
      <c r="X207" s="1112"/>
      <c r="Y207" s="1112"/>
      <c r="Z207" s="1112"/>
      <c r="AA207" s="1109"/>
      <c r="AB207" s="1109"/>
      <c r="AC207" s="1112"/>
      <c r="AD207" s="1112"/>
      <c r="AE207" s="436">
        <f>G207*O207</f>
        <v>0</v>
      </c>
      <c r="AF207" s="436">
        <f>G207*P207</f>
        <v>0</v>
      </c>
      <c r="AG207" s="436">
        <f>N207*O207</f>
        <v>0</v>
      </c>
      <c r="AH207" s="436">
        <f>N207*P207</f>
        <v>0</v>
      </c>
      <c r="AI207" s="436">
        <f>AG207-AE207</f>
        <v>0</v>
      </c>
      <c r="AJ207" s="436">
        <f>AH207-AF207</f>
        <v>0</v>
      </c>
      <c r="AK207" s="437">
        <f>V207*O207</f>
        <v>0</v>
      </c>
      <c r="AL207" s="437">
        <f>V207*P207</f>
        <v>0</v>
      </c>
      <c r="AM207" s="437">
        <f>W207</f>
        <v>0</v>
      </c>
      <c r="AN207" s="437">
        <f>S207*O207</f>
        <v>0</v>
      </c>
      <c r="AO207" s="437">
        <f>S207*P207</f>
        <v>0</v>
      </c>
      <c r="AP207" s="437">
        <f>AG207</f>
        <v>0</v>
      </c>
      <c r="AQ207" s="437">
        <f>AH207</f>
        <v>0</v>
      </c>
      <c r="AR207" s="436"/>
      <c r="AS207" s="437">
        <f t="shared" si="61"/>
        <v>0</v>
      </c>
    </row>
    <row r="208" spans="1:45" s="438" customFormat="1" ht="24.95" customHeight="1">
      <c r="A208" s="1134"/>
      <c r="B208" s="1134"/>
      <c r="C208" s="1139" t="s">
        <v>569</v>
      </c>
      <c r="D208" s="1134" t="s">
        <v>570</v>
      </c>
      <c r="E208" s="1134" t="s">
        <v>571</v>
      </c>
      <c r="F208" s="1134">
        <v>9</v>
      </c>
      <c r="G208" s="1112">
        <v>5005</v>
      </c>
      <c r="H208" s="1112"/>
      <c r="I208" s="1112"/>
      <c r="J208" s="1112"/>
      <c r="K208" s="1112"/>
      <c r="L208" s="1112"/>
      <c r="M208" s="1112"/>
      <c r="N208" s="1112">
        <f>G208+I209+L209</f>
        <v>5005</v>
      </c>
      <c r="O208" s="1112">
        <v>1</v>
      </c>
      <c r="P208" s="1112"/>
      <c r="Q208" s="1112"/>
      <c r="R208" s="1112"/>
      <c r="S208" s="1112"/>
      <c r="T208" s="1134">
        <v>20</v>
      </c>
      <c r="U208" s="1138">
        <v>0.3</v>
      </c>
      <c r="V208" s="1112">
        <f>N208*U208</f>
        <v>1501.5</v>
      </c>
      <c r="W208" s="1112"/>
      <c r="X208" s="1112">
        <f>(N208+V208)*O208+W208</f>
        <v>6506.5</v>
      </c>
      <c r="Y208" s="1112">
        <f>AB208</f>
        <v>6993.5</v>
      </c>
      <c r="Z208" s="1112">
        <f>X208+Y208</f>
        <v>13500</v>
      </c>
      <c r="AA208" s="1109">
        <f>13500*O208</f>
        <v>13500</v>
      </c>
      <c r="AB208" s="1109">
        <f>AA208-X208</f>
        <v>6993.5</v>
      </c>
      <c r="AC208" s="1112">
        <f>6500*O208</f>
        <v>6500</v>
      </c>
      <c r="AD208" s="1112"/>
      <c r="AE208" s="436">
        <f t="shared" ref="AE208:AE225" si="86">G208*O208</f>
        <v>5005</v>
      </c>
      <c r="AF208" s="436">
        <f t="shared" ref="AF208:AF225" si="87">G208*P208</f>
        <v>0</v>
      </c>
      <c r="AG208" s="436">
        <f t="shared" ref="AG208:AG225" si="88">N208*O208</f>
        <v>5005</v>
      </c>
      <c r="AH208" s="436">
        <f t="shared" ref="AH208:AH225" si="89">N208*P208</f>
        <v>0</v>
      </c>
      <c r="AI208" s="436">
        <f t="shared" ref="AI208:AI225" si="90">AG208-AE208</f>
        <v>0</v>
      </c>
      <c r="AJ208" s="436">
        <f t="shared" si="70"/>
        <v>0</v>
      </c>
      <c r="AK208" s="437">
        <f t="shared" ref="AK208:AK225" si="91">V208*O208</f>
        <v>1501.5</v>
      </c>
      <c r="AL208" s="437">
        <f t="shared" ref="AL208:AL225" si="92">V208*P208</f>
        <v>0</v>
      </c>
      <c r="AM208" s="437">
        <f t="shared" ref="AM208:AM225" si="93">W208</f>
        <v>0</v>
      </c>
      <c r="AN208" s="437">
        <f t="shared" si="84"/>
        <v>0</v>
      </c>
      <c r="AO208" s="437">
        <f t="shared" si="85"/>
        <v>0</v>
      </c>
      <c r="AP208" s="437">
        <f t="shared" ref="AP208:AP225" si="94">AG208</f>
        <v>5005</v>
      </c>
      <c r="AQ208" s="437">
        <f t="shared" si="71"/>
        <v>0</v>
      </c>
      <c r="AR208" s="436"/>
      <c r="AS208" s="437">
        <f t="shared" si="61"/>
        <v>5005</v>
      </c>
    </row>
    <row r="209" spans="1:45" s="438" customFormat="1" ht="24.95" customHeight="1">
      <c r="A209" s="1134"/>
      <c r="B209" s="1134"/>
      <c r="C209" s="1139"/>
      <c r="D209" s="1134"/>
      <c r="E209" s="1134"/>
      <c r="F209" s="1134"/>
      <c r="G209" s="1112"/>
      <c r="H209" s="1112"/>
      <c r="I209" s="1112"/>
      <c r="J209" s="1112"/>
      <c r="K209" s="1112"/>
      <c r="L209" s="1112"/>
      <c r="M209" s="1112"/>
      <c r="N209" s="1112"/>
      <c r="O209" s="1112"/>
      <c r="P209" s="1112"/>
      <c r="Q209" s="1112"/>
      <c r="R209" s="1112"/>
      <c r="S209" s="1112"/>
      <c r="T209" s="1134"/>
      <c r="U209" s="1138"/>
      <c r="V209" s="1112"/>
      <c r="W209" s="1112"/>
      <c r="X209" s="1112"/>
      <c r="Y209" s="1112"/>
      <c r="Z209" s="1112"/>
      <c r="AA209" s="1109"/>
      <c r="AB209" s="1109"/>
      <c r="AC209" s="1112"/>
      <c r="AD209" s="1112"/>
      <c r="AE209" s="436">
        <f t="shared" si="86"/>
        <v>0</v>
      </c>
      <c r="AF209" s="436">
        <f t="shared" si="87"/>
        <v>0</v>
      </c>
      <c r="AG209" s="436">
        <f t="shared" si="88"/>
        <v>0</v>
      </c>
      <c r="AH209" s="436">
        <f t="shared" si="89"/>
        <v>0</v>
      </c>
      <c r="AI209" s="436">
        <f t="shared" si="90"/>
        <v>0</v>
      </c>
      <c r="AJ209" s="436">
        <f t="shared" si="70"/>
        <v>0</v>
      </c>
      <c r="AK209" s="437">
        <f t="shared" si="91"/>
        <v>0</v>
      </c>
      <c r="AL209" s="437">
        <f t="shared" si="92"/>
        <v>0</v>
      </c>
      <c r="AM209" s="437">
        <f t="shared" si="93"/>
        <v>0</v>
      </c>
      <c r="AN209" s="437">
        <f t="shared" si="84"/>
        <v>0</v>
      </c>
      <c r="AO209" s="437">
        <f t="shared" si="85"/>
        <v>0</v>
      </c>
      <c r="AP209" s="437">
        <f t="shared" si="94"/>
        <v>0</v>
      </c>
      <c r="AQ209" s="437">
        <f t="shared" si="71"/>
        <v>0</v>
      </c>
      <c r="AR209" s="436"/>
      <c r="AS209" s="437">
        <f t="shared" si="61"/>
        <v>0</v>
      </c>
    </row>
    <row r="210" spans="1:45" s="438" customFormat="1" ht="24.95" customHeight="1">
      <c r="A210" s="1134"/>
      <c r="B210" s="1134"/>
      <c r="C210" s="1139" t="s">
        <v>1046</v>
      </c>
      <c r="D210" s="1140" t="s">
        <v>572</v>
      </c>
      <c r="E210" s="1140" t="s">
        <v>573</v>
      </c>
      <c r="F210" s="1140">
        <v>9</v>
      </c>
      <c r="G210" s="1112">
        <v>5005</v>
      </c>
      <c r="H210" s="1140"/>
      <c r="I210" s="1140"/>
      <c r="J210" s="1140"/>
      <c r="K210" s="1140"/>
      <c r="L210" s="435">
        <v>0.15</v>
      </c>
      <c r="M210" s="435">
        <v>0.6</v>
      </c>
      <c r="N210" s="1112">
        <f>G210+I211+L211+M211</f>
        <v>8758.75</v>
      </c>
      <c r="O210" s="1112">
        <v>0.5</v>
      </c>
      <c r="P210" s="1140"/>
      <c r="Q210" s="1140"/>
      <c r="R210" s="1140"/>
      <c r="S210" s="1140"/>
      <c r="T210" s="1134">
        <v>27</v>
      </c>
      <c r="U210" s="1138">
        <v>0.3</v>
      </c>
      <c r="V210" s="1112">
        <f>N210*U210</f>
        <v>2627.625</v>
      </c>
      <c r="W210" s="1112"/>
      <c r="X210" s="1112">
        <f>(N210+V210)*O210</f>
        <v>5693.1875</v>
      </c>
      <c r="Y210" s="1112">
        <f>AB210</f>
        <v>1056.8125</v>
      </c>
      <c r="Z210" s="1112">
        <f>X210+Y210</f>
        <v>6750</v>
      </c>
      <c r="AA210" s="1109">
        <f>13500*O210</f>
        <v>6750</v>
      </c>
      <c r="AB210" s="1109">
        <f>AA210-X210</f>
        <v>1056.8125</v>
      </c>
      <c r="AC210" s="1112">
        <f>6500*O210</f>
        <v>3250</v>
      </c>
      <c r="AD210" s="1112"/>
      <c r="AE210" s="436">
        <f t="shared" si="86"/>
        <v>2502.5</v>
      </c>
      <c r="AF210" s="436">
        <f t="shared" si="87"/>
        <v>0</v>
      </c>
      <c r="AG210" s="436">
        <f t="shared" si="88"/>
        <v>4379.375</v>
      </c>
      <c r="AH210" s="436">
        <f t="shared" si="89"/>
        <v>0</v>
      </c>
      <c r="AI210" s="436">
        <f t="shared" si="90"/>
        <v>1876.875</v>
      </c>
      <c r="AJ210" s="436">
        <f t="shared" si="70"/>
        <v>0</v>
      </c>
      <c r="AK210" s="437">
        <f t="shared" si="91"/>
        <v>1313.8125</v>
      </c>
      <c r="AL210" s="437">
        <f t="shared" si="92"/>
        <v>0</v>
      </c>
      <c r="AM210" s="437">
        <f t="shared" si="93"/>
        <v>0</v>
      </c>
      <c r="AN210" s="437">
        <f t="shared" si="84"/>
        <v>0</v>
      </c>
      <c r="AO210" s="437">
        <f t="shared" si="85"/>
        <v>0</v>
      </c>
      <c r="AP210" s="437">
        <f t="shared" si="94"/>
        <v>4379.375</v>
      </c>
      <c r="AQ210" s="437">
        <f t="shared" si="71"/>
        <v>0</v>
      </c>
      <c r="AR210" s="436"/>
      <c r="AS210" s="437">
        <f t="shared" si="61"/>
        <v>4379.375</v>
      </c>
    </row>
    <row r="211" spans="1:45" s="438" customFormat="1" ht="24.95" customHeight="1">
      <c r="A211" s="1134"/>
      <c r="B211" s="1134"/>
      <c r="C211" s="1139"/>
      <c r="D211" s="1140"/>
      <c r="E211" s="1140"/>
      <c r="F211" s="1140"/>
      <c r="G211" s="1112"/>
      <c r="H211" s="1140"/>
      <c r="I211" s="1140"/>
      <c r="J211" s="1140"/>
      <c r="K211" s="1140"/>
      <c r="L211" s="449">
        <f>(G210+H211)*L210</f>
        <v>750.75</v>
      </c>
      <c r="M211" s="449">
        <f>G210*M210</f>
        <v>3003</v>
      </c>
      <c r="N211" s="1112"/>
      <c r="O211" s="1112"/>
      <c r="P211" s="1140"/>
      <c r="Q211" s="1140"/>
      <c r="R211" s="1140"/>
      <c r="S211" s="1140"/>
      <c r="T211" s="1134"/>
      <c r="U211" s="1138"/>
      <c r="V211" s="1112"/>
      <c r="W211" s="1112"/>
      <c r="X211" s="1112"/>
      <c r="Y211" s="1112"/>
      <c r="Z211" s="1112"/>
      <c r="AA211" s="1109"/>
      <c r="AB211" s="1109"/>
      <c r="AC211" s="1112"/>
      <c r="AD211" s="1112"/>
      <c r="AE211" s="436">
        <f t="shared" si="86"/>
        <v>0</v>
      </c>
      <c r="AF211" s="436">
        <f t="shared" si="87"/>
        <v>0</v>
      </c>
      <c r="AG211" s="436">
        <f t="shared" si="88"/>
        <v>0</v>
      </c>
      <c r="AH211" s="436">
        <f t="shared" si="89"/>
        <v>0</v>
      </c>
      <c r="AI211" s="436">
        <f t="shared" si="90"/>
        <v>0</v>
      </c>
      <c r="AJ211" s="436">
        <f t="shared" si="70"/>
        <v>0</v>
      </c>
      <c r="AK211" s="437">
        <f t="shared" si="91"/>
        <v>0</v>
      </c>
      <c r="AL211" s="437">
        <f t="shared" si="92"/>
        <v>0</v>
      </c>
      <c r="AM211" s="437">
        <f t="shared" si="93"/>
        <v>0</v>
      </c>
      <c r="AN211" s="437">
        <f t="shared" si="84"/>
        <v>0</v>
      </c>
      <c r="AO211" s="437">
        <f t="shared" si="85"/>
        <v>0</v>
      </c>
      <c r="AP211" s="437">
        <f t="shared" si="94"/>
        <v>0</v>
      </c>
      <c r="AQ211" s="437">
        <f t="shared" si="71"/>
        <v>0</v>
      </c>
      <c r="AR211" s="436"/>
      <c r="AS211" s="437">
        <f t="shared" si="61"/>
        <v>0</v>
      </c>
    </row>
    <row r="212" spans="1:45" s="438" customFormat="1" ht="24.95" customHeight="1">
      <c r="A212" s="1134"/>
      <c r="B212" s="1134"/>
      <c r="C212" s="1139" t="s">
        <v>574</v>
      </c>
      <c r="D212" s="1134" t="s">
        <v>1042</v>
      </c>
      <c r="E212" s="1134" t="s">
        <v>575</v>
      </c>
      <c r="F212" s="1134">
        <v>9</v>
      </c>
      <c r="G212" s="1112">
        <v>5005</v>
      </c>
      <c r="H212" s="1112"/>
      <c r="I212" s="1112"/>
      <c r="J212" s="1112"/>
      <c r="K212" s="1112"/>
      <c r="L212" s="435">
        <v>0.25</v>
      </c>
      <c r="M212" s="1112"/>
      <c r="N212" s="1112">
        <f>G212+I213+L213</f>
        <v>6256.25</v>
      </c>
      <c r="O212" s="1112">
        <v>1</v>
      </c>
      <c r="P212" s="1112"/>
      <c r="Q212" s="1112"/>
      <c r="R212" s="1112"/>
      <c r="S212" s="1112"/>
      <c r="T212" s="1134">
        <v>31</v>
      </c>
      <c r="U212" s="1138">
        <v>0.3</v>
      </c>
      <c r="V212" s="1112">
        <f>N212*U212</f>
        <v>1876.875</v>
      </c>
      <c r="W212" s="1112"/>
      <c r="X212" s="1112">
        <f>(N212+V212)*O212</f>
        <v>8133.125</v>
      </c>
      <c r="Y212" s="1112">
        <f>AB212</f>
        <v>5366.875</v>
      </c>
      <c r="Z212" s="1112">
        <f>X212+Y212</f>
        <v>13500</v>
      </c>
      <c r="AA212" s="1109">
        <f>13500*O212</f>
        <v>13500</v>
      </c>
      <c r="AB212" s="1109">
        <f>AA212-X212</f>
        <v>5366.875</v>
      </c>
      <c r="AC212" s="1112">
        <f>6500*O212</f>
        <v>6500</v>
      </c>
      <c r="AD212" s="1112"/>
      <c r="AE212" s="436">
        <f t="shared" si="86"/>
        <v>5005</v>
      </c>
      <c r="AF212" s="436">
        <f t="shared" si="87"/>
        <v>0</v>
      </c>
      <c r="AG212" s="436">
        <f t="shared" si="88"/>
        <v>6256.25</v>
      </c>
      <c r="AH212" s="436">
        <f t="shared" si="89"/>
        <v>0</v>
      </c>
      <c r="AI212" s="436">
        <f t="shared" si="90"/>
        <v>1251.25</v>
      </c>
      <c r="AJ212" s="436">
        <f t="shared" si="70"/>
        <v>0</v>
      </c>
      <c r="AK212" s="437">
        <f t="shared" si="91"/>
        <v>1876.875</v>
      </c>
      <c r="AL212" s="437">
        <f t="shared" si="92"/>
        <v>0</v>
      </c>
      <c r="AM212" s="437">
        <f t="shared" si="93"/>
        <v>0</v>
      </c>
      <c r="AN212" s="437">
        <f t="shared" si="84"/>
        <v>0</v>
      </c>
      <c r="AO212" s="437">
        <f t="shared" si="85"/>
        <v>0</v>
      </c>
      <c r="AP212" s="437">
        <f t="shared" si="94"/>
        <v>6256.25</v>
      </c>
      <c r="AQ212" s="437">
        <f t="shared" si="71"/>
        <v>0</v>
      </c>
      <c r="AR212" s="436"/>
      <c r="AS212" s="437">
        <f t="shared" si="61"/>
        <v>6256.25</v>
      </c>
    </row>
    <row r="213" spans="1:45" s="438" customFormat="1" ht="24.95" customHeight="1">
      <c r="A213" s="1134"/>
      <c r="B213" s="1134"/>
      <c r="C213" s="1139"/>
      <c r="D213" s="1134"/>
      <c r="E213" s="1134"/>
      <c r="F213" s="1134"/>
      <c r="G213" s="1112"/>
      <c r="H213" s="1112"/>
      <c r="I213" s="1112"/>
      <c r="J213" s="1112"/>
      <c r="K213" s="1112"/>
      <c r="L213" s="449">
        <f>(G212+H213)*L212</f>
        <v>1251.25</v>
      </c>
      <c r="M213" s="1112"/>
      <c r="N213" s="1112"/>
      <c r="O213" s="1112"/>
      <c r="P213" s="1112"/>
      <c r="Q213" s="1112"/>
      <c r="R213" s="1112"/>
      <c r="S213" s="1112"/>
      <c r="T213" s="1134"/>
      <c r="U213" s="1138"/>
      <c r="V213" s="1112"/>
      <c r="W213" s="1112"/>
      <c r="X213" s="1112"/>
      <c r="Y213" s="1112"/>
      <c r="Z213" s="1112"/>
      <c r="AA213" s="1109"/>
      <c r="AB213" s="1109"/>
      <c r="AC213" s="1112"/>
      <c r="AD213" s="1112"/>
      <c r="AE213" s="436">
        <f t="shared" si="86"/>
        <v>0</v>
      </c>
      <c r="AF213" s="436">
        <f t="shared" si="87"/>
        <v>0</v>
      </c>
      <c r="AG213" s="436">
        <f t="shared" si="88"/>
        <v>0</v>
      </c>
      <c r="AH213" s="436">
        <f t="shared" si="89"/>
        <v>0</v>
      </c>
      <c r="AI213" s="436">
        <f t="shared" si="90"/>
        <v>0</v>
      </c>
      <c r="AJ213" s="436">
        <f t="shared" si="70"/>
        <v>0</v>
      </c>
      <c r="AK213" s="437">
        <f t="shared" si="91"/>
        <v>0</v>
      </c>
      <c r="AL213" s="437">
        <f t="shared" si="92"/>
        <v>0</v>
      </c>
      <c r="AM213" s="437">
        <f t="shared" si="93"/>
        <v>0</v>
      </c>
      <c r="AN213" s="437">
        <f t="shared" si="84"/>
        <v>0</v>
      </c>
      <c r="AO213" s="437">
        <f t="shared" si="85"/>
        <v>0</v>
      </c>
      <c r="AP213" s="437">
        <f t="shared" si="94"/>
        <v>0</v>
      </c>
      <c r="AQ213" s="437">
        <f t="shared" si="71"/>
        <v>0</v>
      </c>
      <c r="AR213" s="436"/>
      <c r="AS213" s="437">
        <f t="shared" si="61"/>
        <v>0</v>
      </c>
    </row>
    <row r="214" spans="1:45" s="438" customFormat="1" ht="24.95" customHeight="1">
      <c r="A214" s="1134"/>
      <c r="B214" s="1134"/>
      <c r="C214" s="1139" t="s">
        <v>576</v>
      </c>
      <c r="D214" s="1134" t="s">
        <v>577</v>
      </c>
      <c r="E214" s="1134" t="s">
        <v>578</v>
      </c>
      <c r="F214" s="1134">
        <v>9</v>
      </c>
      <c r="G214" s="1112">
        <v>5005</v>
      </c>
      <c r="H214" s="1112"/>
      <c r="I214" s="1112"/>
      <c r="J214" s="1112"/>
      <c r="K214" s="1112"/>
      <c r="L214" s="1112"/>
      <c r="M214" s="1112"/>
      <c r="N214" s="1112">
        <f>G214+H215</f>
        <v>5005</v>
      </c>
      <c r="O214" s="1112">
        <v>1</v>
      </c>
      <c r="P214" s="1112"/>
      <c r="Q214" s="1112"/>
      <c r="R214" s="1112"/>
      <c r="S214" s="1112"/>
      <c r="T214" s="1134">
        <v>28</v>
      </c>
      <c r="U214" s="1138">
        <v>0.3</v>
      </c>
      <c r="V214" s="1112">
        <f>N214*U214</f>
        <v>1501.5</v>
      </c>
      <c r="W214" s="1112"/>
      <c r="X214" s="1112">
        <f>(N214+V214)*O214</f>
        <v>6506.5</v>
      </c>
      <c r="Y214" s="1112">
        <f>AB214</f>
        <v>6993.5</v>
      </c>
      <c r="Z214" s="1112">
        <f>X214+Y214</f>
        <v>13500</v>
      </c>
      <c r="AA214" s="1109">
        <f>13500*O214</f>
        <v>13500</v>
      </c>
      <c r="AB214" s="1109">
        <f>AA214-X214</f>
        <v>6993.5</v>
      </c>
      <c r="AC214" s="1112">
        <f>6500*O214</f>
        <v>6500</v>
      </c>
      <c r="AD214" s="1112"/>
      <c r="AE214" s="436">
        <f t="shared" si="86"/>
        <v>5005</v>
      </c>
      <c r="AF214" s="436">
        <f t="shared" si="87"/>
        <v>0</v>
      </c>
      <c r="AG214" s="436">
        <f t="shared" si="88"/>
        <v>5005</v>
      </c>
      <c r="AH214" s="436">
        <f t="shared" si="89"/>
        <v>0</v>
      </c>
      <c r="AI214" s="436">
        <f t="shared" si="90"/>
        <v>0</v>
      </c>
      <c r="AJ214" s="436">
        <f t="shared" si="70"/>
        <v>0</v>
      </c>
      <c r="AK214" s="437">
        <f t="shared" si="91"/>
        <v>1501.5</v>
      </c>
      <c r="AL214" s="437">
        <f t="shared" si="92"/>
        <v>0</v>
      </c>
      <c r="AM214" s="437">
        <f t="shared" si="93"/>
        <v>0</v>
      </c>
      <c r="AN214" s="437">
        <f t="shared" si="84"/>
        <v>0</v>
      </c>
      <c r="AO214" s="437">
        <f t="shared" si="85"/>
        <v>0</v>
      </c>
      <c r="AP214" s="437">
        <f t="shared" si="94"/>
        <v>5005</v>
      </c>
      <c r="AQ214" s="437">
        <f t="shared" si="71"/>
        <v>0</v>
      </c>
      <c r="AR214" s="436"/>
      <c r="AS214" s="437">
        <f t="shared" si="61"/>
        <v>5005</v>
      </c>
    </row>
    <row r="215" spans="1:45" s="438" customFormat="1" ht="24.95" customHeight="1">
      <c r="A215" s="1134"/>
      <c r="B215" s="1134"/>
      <c r="C215" s="1139"/>
      <c r="D215" s="1134"/>
      <c r="E215" s="1134"/>
      <c r="F215" s="1134"/>
      <c r="G215" s="1112"/>
      <c r="H215" s="1112"/>
      <c r="I215" s="1112"/>
      <c r="J215" s="1112"/>
      <c r="K215" s="1112"/>
      <c r="L215" s="1112"/>
      <c r="M215" s="1112"/>
      <c r="N215" s="1112"/>
      <c r="O215" s="1112"/>
      <c r="P215" s="1112"/>
      <c r="Q215" s="1112"/>
      <c r="R215" s="1112"/>
      <c r="S215" s="1112"/>
      <c r="T215" s="1134"/>
      <c r="U215" s="1138"/>
      <c r="V215" s="1112"/>
      <c r="W215" s="1112"/>
      <c r="X215" s="1112"/>
      <c r="Y215" s="1112"/>
      <c r="Z215" s="1112"/>
      <c r="AA215" s="1109"/>
      <c r="AB215" s="1109"/>
      <c r="AC215" s="1112"/>
      <c r="AD215" s="1112"/>
      <c r="AE215" s="436">
        <f t="shared" si="86"/>
        <v>0</v>
      </c>
      <c r="AF215" s="436">
        <f t="shared" si="87"/>
        <v>0</v>
      </c>
      <c r="AG215" s="436">
        <f t="shared" si="88"/>
        <v>0</v>
      </c>
      <c r="AH215" s="436">
        <f t="shared" si="89"/>
        <v>0</v>
      </c>
      <c r="AI215" s="436">
        <f t="shared" si="90"/>
        <v>0</v>
      </c>
      <c r="AJ215" s="436">
        <f t="shared" si="70"/>
        <v>0</v>
      </c>
      <c r="AK215" s="437">
        <f t="shared" si="91"/>
        <v>0</v>
      </c>
      <c r="AL215" s="437">
        <f t="shared" si="92"/>
        <v>0</v>
      </c>
      <c r="AM215" s="437">
        <f t="shared" si="93"/>
        <v>0</v>
      </c>
      <c r="AN215" s="437">
        <f t="shared" si="84"/>
        <v>0</v>
      </c>
      <c r="AO215" s="437">
        <f t="shared" si="85"/>
        <v>0</v>
      </c>
      <c r="AP215" s="437">
        <f t="shared" si="94"/>
        <v>0</v>
      </c>
      <c r="AQ215" s="437">
        <f t="shared" si="71"/>
        <v>0</v>
      </c>
      <c r="AR215" s="436"/>
      <c r="AS215" s="437">
        <f t="shared" si="61"/>
        <v>0</v>
      </c>
    </row>
    <row r="216" spans="1:45" s="438" customFormat="1" ht="24.95" customHeight="1">
      <c r="A216" s="1134"/>
      <c r="B216" s="1134"/>
      <c r="C216" s="1139" t="s">
        <v>579</v>
      </c>
      <c r="D216" s="1134" t="s">
        <v>1047</v>
      </c>
      <c r="E216" s="1134" t="s">
        <v>580</v>
      </c>
      <c r="F216" s="1134">
        <v>9</v>
      </c>
      <c r="G216" s="1112">
        <v>5005</v>
      </c>
      <c r="H216" s="1112"/>
      <c r="I216" s="1112"/>
      <c r="J216" s="1112"/>
      <c r="K216" s="1112"/>
      <c r="L216" s="1140"/>
      <c r="M216" s="1140"/>
      <c r="N216" s="1112">
        <f>G216+I217+L217</f>
        <v>5005</v>
      </c>
      <c r="O216" s="1112">
        <v>1</v>
      </c>
      <c r="P216" s="1112"/>
      <c r="Q216" s="1140"/>
      <c r="R216" s="1140"/>
      <c r="S216" s="1140"/>
      <c r="T216" s="1134">
        <v>28</v>
      </c>
      <c r="U216" s="1138">
        <v>0.3</v>
      </c>
      <c r="V216" s="1112">
        <f>N216*U216</f>
        <v>1501.5</v>
      </c>
      <c r="W216" s="1112"/>
      <c r="X216" s="1112">
        <f>(N216+V216)*O216+W216</f>
        <v>6506.5</v>
      </c>
      <c r="Y216" s="1112">
        <f>AB216</f>
        <v>6993.5</v>
      </c>
      <c r="Z216" s="1112">
        <f>X216+Y216</f>
        <v>13500</v>
      </c>
      <c r="AA216" s="1109">
        <f>13500*O216</f>
        <v>13500</v>
      </c>
      <c r="AB216" s="1109">
        <f>AA216-X216</f>
        <v>6993.5</v>
      </c>
      <c r="AC216" s="1112">
        <f>6500*O216</f>
        <v>6500</v>
      </c>
      <c r="AD216" s="1112"/>
      <c r="AE216" s="436">
        <f t="shared" si="86"/>
        <v>5005</v>
      </c>
      <c r="AF216" s="436">
        <f t="shared" si="87"/>
        <v>0</v>
      </c>
      <c r="AG216" s="436">
        <f t="shared" si="88"/>
        <v>5005</v>
      </c>
      <c r="AH216" s="436">
        <f t="shared" si="89"/>
        <v>0</v>
      </c>
      <c r="AI216" s="436">
        <f t="shared" si="90"/>
        <v>0</v>
      </c>
      <c r="AJ216" s="436">
        <f t="shared" si="70"/>
        <v>0</v>
      </c>
      <c r="AK216" s="437">
        <f t="shared" si="91"/>
        <v>1501.5</v>
      </c>
      <c r="AL216" s="437">
        <f t="shared" si="92"/>
        <v>0</v>
      </c>
      <c r="AM216" s="437">
        <f t="shared" si="93"/>
        <v>0</v>
      </c>
      <c r="AN216" s="437">
        <f t="shared" si="84"/>
        <v>0</v>
      </c>
      <c r="AO216" s="437">
        <f t="shared" si="85"/>
        <v>0</v>
      </c>
      <c r="AP216" s="437">
        <f t="shared" si="94"/>
        <v>5005</v>
      </c>
      <c r="AQ216" s="437">
        <f t="shared" si="71"/>
        <v>0</v>
      </c>
      <c r="AR216" s="436"/>
      <c r="AS216" s="437">
        <f t="shared" si="61"/>
        <v>5005</v>
      </c>
    </row>
    <row r="217" spans="1:45" s="438" customFormat="1" ht="24.95" customHeight="1">
      <c r="A217" s="1134"/>
      <c r="B217" s="1134"/>
      <c r="C217" s="1139"/>
      <c r="D217" s="1134"/>
      <c r="E217" s="1134"/>
      <c r="F217" s="1134"/>
      <c r="G217" s="1112"/>
      <c r="H217" s="1112"/>
      <c r="I217" s="1112"/>
      <c r="J217" s="1112"/>
      <c r="K217" s="1112"/>
      <c r="L217" s="1140"/>
      <c r="M217" s="1140"/>
      <c r="N217" s="1112"/>
      <c r="O217" s="1112"/>
      <c r="P217" s="1112"/>
      <c r="Q217" s="1140"/>
      <c r="R217" s="1140"/>
      <c r="S217" s="1140"/>
      <c r="T217" s="1134"/>
      <c r="U217" s="1138"/>
      <c r="V217" s="1112"/>
      <c r="W217" s="1112"/>
      <c r="X217" s="1112"/>
      <c r="Y217" s="1112"/>
      <c r="Z217" s="1112"/>
      <c r="AA217" s="1109"/>
      <c r="AB217" s="1109"/>
      <c r="AC217" s="1112"/>
      <c r="AD217" s="1112"/>
      <c r="AE217" s="436">
        <f t="shared" si="86"/>
        <v>0</v>
      </c>
      <c r="AF217" s="436">
        <f t="shared" si="87"/>
        <v>0</v>
      </c>
      <c r="AG217" s="436">
        <f t="shared" si="88"/>
        <v>0</v>
      </c>
      <c r="AH217" s="436">
        <f t="shared" si="89"/>
        <v>0</v>
      </c>
      <c r="AI217" s="436">
        <f t="shared" si="90"/>
        <v>0</v>
      </c>
      <c r="AJ217" s="436">
        <f t="shared" si="70"/>
        <v>0</v>
      </c>
      <c r="AK217" s="437">
        <f t="shared" si="91"/>
        <v>0</v>
      </c>
      <c r="AL217" s="437">
        <f t="shared" si="92"/>
        <v>0</v>
      </c>
      <c r="AM217" s="437">
        <f t="shared" si="93"/>
        <v>0</v>
      </c>
      <c r="AN217" s="437">
        <f t="shared" si="84"/>
        <v>0</v>
      </c>
      <c r="AO217" s="437">
        <f t="shared" si="85"/>
        <v>0</v>
      </c>
      <c r="AP217" s="437">
        <f t="shared" si="94"/>
        <v>0</v>
      </c>
      <c r="AQ217" s="437">
        <f t="shared" si="71"/>
        <v>0</v>
      </c>
      <c r="AR217" s="436"/>
      <c r="AS217" s="437">
        <f t="shared" si="61"/>
        <v>0</v>
      </c>
    </row>
    <row r="218" spans="1:45" s="438" customFormat="1" ht="24.95" customHeight="1">
      <c r="A218" s="1134"/>
      <c r="B218" s="1134"/>
      <c r="C218" s="1139" t="s">
        <v>581</v>
      </c>
      <c r="D218" s="1134" t="s">
        <v>562</v>
      </c>
      <c r="E218" s="1134" t="s">
        <v>582</v>
      </c>
      <c r="F218" s="1134">
        <v>9</v>
      </c>
      <c r="G218" s="1112">
        <v>5005</v>
      </c>
      <c r="H218" s="1112"/>
      <c r="I218" s="1112"/>
      <c r="J218" s="1112"/>
      <c r="K218" s="1112"/>
      <c r="L218" s="1112"/>
      <c r="M218" s="1112"/>
      <c r="N218" s="1112">
        <f>G218+I219</f>
        <v>5005</v>
      </c>
      <c r="O218" s="1112">
        <v>1</v>
      </c>
      <c r="P218" s="1112"/>
      <c r="Q218" s="1112"/>
      <c r="R218" s="1112"/>
      <c r="S218" s="1112"/>
      <c r="T218" s="1134">
        <v>40</v>
      </c>
      <c r="U218" s="1138">
        <v>0.3</v>
      </c>
      <c r="V218" s="1112">
        <f>N218*U218</f>
        <v>1501.5</v>
      </c>
      <c r="W218" s="1112"/>
      <c r="X218" s="1112">
        <f>(N218+V218)*O218</f>
        <v>6506.5</v>
      </c>
      <c r="Y218" s="1112">
        <f>AB218</f>
        <v>6993.5</v>
      </c>
      <c r="Z218" s="1112">
        <f>X218+Y218</f>
        <v>13500</v>
      </c>
      <c r="AA218" s="1109">
        <f>13500*O218</f>
        <v>13500</v>
      </c>
      <c r="AB218" s="1109">
        <f>AA218-X218</f>
        <v>6993.5</v>
      </c>
      <c r="AC218" s="1112">
        <f>6500*O218</f>
        <v>6500</v>
      </c>
      <c r="AD218" s="1112"/>
      <c r="AE218" s="436">
        <f t="shared" si="86"/>
        <v>5005</v>
      </c>
      <c r="AF218" s="436">
        <f t="shared" si="87"/>
        <v>0</v>
      </c>
      <c r="AG218" s="436">
        <f t="shared" si="88"/>
        <v>5005</v>
      </c>
      <c r="AH218" s="436">
        <f t="shared" si="89"/>
        <v>0</v>
      </c>
      <c r="AI218" s="436">
        <f t="shared" si="90"/>
        <v>0</v>
      </c>
      <c r="AJ218" s="436">
        <f t="shared" si="70"/>
        <v>0</v>
      </c>
      <c r="AK218" s="437">
        <f t="shared" si="91"/>
        <v>1501.5</v>
      </c>
      <c r="AL218" s="437">
        <f t="shared" si="92"/>
        <v>0</v>
      </c>
      <c r="AM218" s="437">
        <f t="shared" si="93"/>
        <v>0</v>
      </c>
      <c r="AN218" s="437">
        <f t="shared" si="84"/>
        <v>0</v>
      </c>
      <c r="AO218" s="437">
        <f t="shared" si="85"/>
        <v>0</v>
      </c>
      <c r="AP218" s="437">
        <f t="shared" si="94"/>
        <v>5005</v>
      </c>
      <c r="AQ218" s="437">
        <f t="shared" si="71"/>
        <v>0</v>
      </c>
      <c r="AR218" s="436"/>
      <c r="AS218" s="437">
        <f t="shared" si="61"/>
        <v>5005</v>
      </c>
    </row>
    <row r="219" spans="1:45" s="438" customFormat="1" ht="24.95" customHeight="1">
      <c r="A219" s="1134"/>
      <c r="B219" s="1134"/>
      <c r="C219" s="1139"/>
      <c r="D219" s="1134"/>
      <c r="E219" s="1134"/>
      <c r="F219" s="1134"/>
      <c r="G219" s="1112"/>
      <c r="H219" s="1112"/>
      <c r="I219" s="1112"/>
      <c r="J219" s="1112"/>
      <c r="K219" s="1112"/>
      <c r="L219" s="1112"/>
      <c r="M219" s="1112"/>
      <c r="N219" s="1112"/>
      <c r="O219" s="1112"/>
      <c r="P219" s="1112"/>
      <c r="Q219" s="1112"/>
      <c r="R219" s="1112"/>
      <c r="S219" s="1112"/>
      <c r="T219" s="1134"/>
      <c r="U219" s="1138"/>
      <c r="V219" s="1112"/>
      <c r="W219" s="1112"/>
      <c r="X219" s="1112"/>
      <c r="Y219" s="1112"/>
      <c r="Z219" s="1112"/>
      <c r="AA219" s="1109"/>
      <c r="AB219" s="1109"/>
      <c r="AC219" s="1112"/>
      <c r="AD219" s="1112"/>
      <c r="AE219" s="436">
        <f t="shared" si="86"/>
        <v>0</v>
      </c>
      <c r="AF219" s="436">
        <f t="shared" si="87"/>
        <v>0</v>
      </c>
      <c r="AG219" s="436">
        <f t="shared" si="88"/>
        <v>0</v>
      </c>
      <c r="AH219" s="436">
        <f t="shared" si="89"/>
        <v>0</v>
      </c>
      <c r="AI219" s="436">
        <f t="shared" si="90"/>
        <v>0</v>
      </c>
      <c r="AJ219" s="436">
        <f t="shared" si="70"/>
        <v>0</v>
      </c>
      <c r="AK219" s="437">
        <f t="shared" si="91"/>
        <v>0</v>
      </c>
      <c r="AL219" s="437">
        <f t="shared" si="92"/>
        <v>0</v>
      </c>
      <c r="AM219" s="437">
        <f t="shared" si="93"/>
        <v>0</v>
      </c>
      <c r="AN219" s="437">
        <f t="shared" si="84"/>
        <v>0</v>
      </c>
      <c r="AO219" s="437">
        <f t="shared" si="85"/>
        <v>0</v>
      </c>
      <c r="AP219" s="437">
        <f t="shared" si="94"/>
        <v>0</v>
      </c>
      <c r="AQ219" s="437">
        <f t="shared" si="71"/>
        <v>0</v>
      </c>
      <c r="AR219" s="436"/>
      <c r="AS219" s="437">
        <f t="shared" si="61"/>
        <v>0</v>
      </c>
    </row>
    <row r="220" spans="1:45" s="438" customFormat="1" ht="24.95" customHeight="1">
      <c r="A220" s="1134"/>
      <c r="B220" s="1134"/>
      <c r="C220" s="1139" t="s">
        <v>583</v>
      </c>
      <c r="D220" s="1134" t="s">
        <v>584</v>
      </c>
      <c r="E220" s="1134" t="s">
        <v>585</v>
      </c>
      <c r="F220" s="1134">
        <v>9</v>
      </c>
      <c r="G220" s="1112">
        <v>5005</v>
      </c>
      <c r="H220" s="1112"/>
      <c r="I220" s="1138"/>
      <c r="J220" s="1138"/>
      <c r="K220" s="1112"/>
      <c r="L220" s="1140"/>
      <c r="M220" s="1140"/>
      <c r="N220" s="1112">
        <f>G220+I221</f>
        <v>5005</v>
      </c>
      <c r="O220" s="1112">
        <v>0.5</v>
      </c>
      <c r="P220" s="1112"/>
      <c r="Q220" s="1140"/>
      <c r="R220" s="1140"/>
      <c r="S220" s="1140"/>
      <c r="T220" s="1134">
        <v>30</v>
      </c>
      <c r="U220" s="1138">
        <v>0.3</v>
      </c>
      <c r="V220" s="1112">
        <f>N220*U220</f>
        <v>1501.5</v>
      </c>
      <c r="W220" s="1112"/>
      <c r="X220" s="1112">
        <f>(N220+V220)*O220</f>
        <v>3253.25</v>
      </c>
      <c r="Y220" s="1112">
        <f>AB220</f>
        <v>3496.75</v>
      </c>
      <c r="Z220" s="1112">
        <f>X220+Y220</f>
        <v>6750</v>
      </c>
      <c r="AA220" s="1109">
        <f>13500*O220</f>
        <v>6750</v>
      </c>
      <c r="AB220" s="1109">
        <f>AA220-X220</f>
        <v>3496.75</v>
      </c>
      <c r="AC220" s="1112">
        <f>6500*O220</f>
        <v>3250</v>
      </c>
      <c r="AD220" s="1112"/>
      <c r="AE220" s="436">
        <f t="shared" si="86"/>
        <v>2502.5</v>
      </c>
      <c r="AF220" s="436">
        <f t="shared" si="87"/>
        <v>0</v>
      </c>
      <c r="AG220" s="436">
        <f t="shared" si="88"/>
        <v>2502.5</v>
      </c>
      <c r="AH220" s="436">
        <f t="shared" si="89"/>
        <v>0</v>
      </c>
      <c r="AI220" s="436">
        <f t="shared" si="90"/>
        <v>0</v>
      </c>
      <c r="AJ220" s="436">
        <f t="shared" si="70"/>
        <v>0</v>
      </c>
      <c r="AK220" s="437">
        <f t="shared" si="91"/>
        <v>750.75</v>
      </c>
      <c r="AL220" s="437">
        <f t="shared" si="92"/>
        <v>0</v>
      </c>
      <c r="AM220" s="437">
        <f t="shared" si="93"/>
        <v>0</v>
      </c>
      <c r="AN220" s="437">
        <f t="shared" si="84"/>
        <v>0</v>
      </c>
      <c r="AO220" s="437">
        <f t="shared" si="85"/>
        <v>0</v>
      </c>
      <c r="AP220" s="437">
        <f t="shared" si="94"/>
        <v>2502.5</v>
      </c>
      <c r="AQ220" s="437">
        <f t="shared" si="71"/>
        <v>0</v>
      </c>
      <c r="AR220" s="436"/>
      <c r="AS220" s="437">
        <f t="shared" si="61"/>
        <v>2502.5</v>
      </c>
    </row>
    <row r="221" spans="1:45" s="438" customFormat="1" ht="24.95" customHeight="1">
      <c r="A221" s="1134"/>
      <c r="B221" s="1134"/>
      <c r="C221" s="1139"/>
      <c r="D221" s="1134"/>
      <c r="E221" s="1134"/>
      <c r="F221" s="1134"/>
      <c r="G221" s="1112"/>
      <c r="H221" s="1112"/>
      <c r="I221" s="1134"/>
      <c r="J221" s="1134"/>
      <c r="K221" s="1112"/>
      <c r="L221" s="1140"/>
      <c r="M221" s="1140"/>
      <c r="N221" s="1112"/>
      <c r="O221" s="1112"/>
      <c r="P221" s="1112"/>
      <c r="Q221" s="1140"/>
      <c r="R221" s="1140"/>
      <c r="S221" s="1140"/>
      <c r="T221" s="1134"/>
      <c r="U221" s="1138"/>
      <c r="V221" s="1112"/>
      <c r="W221" s="1112"/>
      <c r="X221" s="1112"/>
      <c r="Y221" s="1112"/>
      <c r="Z221" s="1112"/>
      <c r="AA221" s="1109"/>
      <c r="AB221" s="1109"/>
      <c r="AC221" s="1112"/>
      <c r="AD221" s="1112"/>
      <c r="AE221" s="436">
        <f t="shared" si="86"/>
        <v>0</v>
      </c>
      <c r="AF221" s="436">
        <f t="shared" si="87"/>
        <v>0</v>
      </c>
      <c r="AG221" s="436">
        <f t="shared" si="88"/>
        <v>0</v>
      </c>
      <c r="AH221" s="436">
        <f t="shared" si="89"/>
        <v>0</v>
      </c>
      <c r="AI221" s="436">
        <f t="shared" si="90"/>
        <v>0</v>
      </c>
      <c r="AJ221" s="436">
        <f t="shared" si="70"/>
        <v>0</v>
      </c>
      <c r="AK221" s="437">
        <f t="shared" si="91"/>
        <v>0</v>
      </c>
      <c r="AL221" s="437">
        <f t="shared" si="92"/>
        <v>0</v>
      </c>
      <c r="AM221" s="437">
        <f t="shared" si="93"/>
        <v>0</v>
      </c>
      <c r="AN221" s="437">
        <f t="shared" si="84"/>
        <v>0</v>
      </c>
      <c r="AO221" s="437">
        <f t="shared" si="85"/>
        <v>0</v>
      </c>
      <c r="AP221" s="437">
        <f t="shared" si="94"/>
        <v>0</v>
      </c>
      <c r="AQ221" s="437">
        <f t="shared" si="71"/>
        <v>0</v>
      </c>
      <c r="AR221" s="436"/>
      <c r="AS221" s="437">
        <f t="shared" si="61"/>
        <v>0</v>
      </c>
    </row>
    <row r="222" spans="1:45" s="438" customFormat="1" ht="24.95" customHeight="1">
      <c r="A222" s="1134"/>
      <c r="B222" s="1134"/>
      <c r="C222" s="1139" t="s">
        <v>586</v>
      </c>
      <c r="D222" s="1140" t="s">
        <v>572</v>
      </c>
      <c r="E222" s="1140" t="s">
        <v>573</v>
      </c>
      <c r="F222" s="1134">
        <v>9</v>
      </c>
      <c r="G222" s="1112">
        <v>5005</v>
      </c>
      <c r="H222" s="1112"/>
      <c r="I222" s="1112"/>
      <c r="J222" s="1112"/>
      <c r="K222" s="1112"/>
      <c r="L222" s="435">
        <v>0.15</v>
      </c>
      <c r="M222" s="1112"/>
      <c r="N222" s="1112">
        <f>G222+I223+L223+M223</f>
        <v>5755.75</v>
      </c>
      <c r="O222" s="1112">
        <v>0.5</v>
      </c>
      <c r="P222" s="1112"/>
      <c r="Q222" s="1112"/>
      <c r="R222" s="1112"/>
      <c r="S222" s="1112"/>
      <c r="T222" s="1134">
        <v>27</v>
      </c>
      <c r="U222" s="1138">
        <v>0.3</v>
      </c>
      <c r="V222" s="1112">
        <f>N222*U222</f>
        <v>1726.7249999999999</v>
      </c>
      <c r="W222" s="1112"/>
      <c r="X222" s="1112">
        <f>(N222+V222)*O222+W222</f>
        <v>3741.2375000000002</v>
      </c>
      <c r="Y222" s="1112">
        <f>AB222</f>
        <v>3008.7624999999998</v>
      </c>
      <c r="Z222" s="1112">
        <f>X222+Y222</f>
        <v>6750</v>
      </c>
      <c r="AA222" s="1109">
        <f>13500*O222</f>
        <v>6750</v>
      </c>
      <c r="AB222" s="1109">
        <f>AA222-X222</f>
        <v>3008.7624999999998</v>
      </c>
      <c r="AC222" s="1112">
        <f>6500*O222</f>
        <v>3250</v>
      </c>
      <c r="AD222" s="1112"/>
      <c r="AE222" s="436">
        <f>G222*O222</f>
        <v>2502.5</v>
      </c>
      <c r="AF222" s="436">
        <f>G222*P222</f>
        <v>0</v>
      </c>
      <c r="AG222" s="436">
        <f>N222*O222</f>
        <v>2877.875</v>
      </c>
      <c r="AH222" s="436">
        <f>N222*P222</f>
        <v>0</v>
      </c>
      <c r="AI222" s="436">
        <f>AG222-AE222</f>
        <v>375.375</v>
      </c>
      <c r="AJ222" s="436">
        <f>AH222-AF222</f>
        <v>0</v>
      </c>
      <c r="AK222" s="437">
        <f>V222*O222</f>
        <v>863.36249999999995</v>
      </c>
      <c r="AL222" s="437">
        <f>V222*P222</f>
        <v>0</v>
      </c>
      <c r="AM222" s="437">
        <f>W222</f>
        <v>0</v>
      </c>
      <c r="AN222" s="437">
        <f>S222*O222</f>
        <v>0</v>
      </c>
      <c r="AO222" s="437">
        <f>S222*P222</f>
        <v>0</v>
      </c>
      <c r="AP222" s="437">
        <f>AG222</f>
        <v>2877.875</v>
      </c>
      <c r="AQ222" s="437">
        <f>AH222</f>
        <v>0</v>
      </c>
      <c r="AR222" s="436"/>
      <c r="AS222" s="437">
        <f t="shared" ref="AS222:AS285" si="95">AP222+AQ222-AR222</f>
        <v>2877.875</v>
      </c>
    </row>
    <row r="223" spans="1:45" s="438" customFormat="1" ht="24.75" customHeight="1">
      <c r="A223" s="1134"/>
      <c r="B223" s="1134"/>
      <c r="C223" s="1139"/>
      <c r="D223" s="1140"/>
      <c r="E223" s="1140"/>
      <c r="F223" s="1134"/>
      <c r="G223" s="1112"/>
      <c r="H223" s="1112"/>
      <c r="I223" s="1112"/>
      <c r="J223" s="1112"/>
      <c r="K223" s="1112"/>
      <c r="L223" s="449">
        <f>(G222+H223)*L222</f>
        <v>750.75</v>
      </c>
      <c r="M223" s="1112"/>
      <c r="N223" s="1112"/>
      <c r="O223" s="1112"/>
      <c r="P223" s="1112"/>
      <c r="Q223" s="1112"/>
      <c r="R223" s="1112"/>
      <c r="S223" s="1112"/>
      <c r="T223" s="1134"/>
      <c r="U223" s="1138"/>
      <c r="V223" s="1112"/>
      <c r="W223" s="1112"/>
      <c r="X223" s="1112"/>
      <c r="Y223" s="1112"/>
      <c r="Z223" s="1112"/>
      <c r="AA223" s="1109"/>
      <c r="AB223" s="1109"/>
      <c r="AC223" s="1112"/>
      <c r="AD223" s="1112"/>
      <c r="AE223" s="436">
        <f>G223*O223</f>
        <v>0</v>
      </c>
      <c r="AF223" s="436">
        <f>G223*P223</f>
        <v>0</v>
      </c>
      <c r="AG223" s="436">
        <f>N223*O223</f>
        <v>0</v>
      </c>
      <c r="AH223" s="436">
        <f>N223*P223</f>
        <v>0</v>
      </c>
      <c r="AI223" s="436">
        <f>AG223-AE223</f>
        <v>0</v>
      </c>
      <c r="AJ223" s="436">
        <f>AH223-AF223</f>
        <v>0</v>
      </c>
      <c r="AK223" s="437">
        <f>V223*O223</f>
        <v>0</v>
      </c>
      <c r="AL223" s="437">
        <f>V223*P223</f>
        <v>0</v>
      </c>
      <c r="AM223" s="437">
        <f>W223</f>
        <v>0</v>
      </c>
      <c r="AN223" s="437">
        <f>S223*O223</f>
        <v>0</v>
      </c>
      <c r="AO223" s="437">
        <f>S223*P223</f>
        <v>0</v>
      </c>
      <c r="AP223" s="437">
        <f>AG223</f>
        <v>0</v>
      </c>
      <c r="AQ223" s="437">
        <f>AH223</f>
        <v>0</v>
      </c>
      <c r="AR223" s="436"/>
      <c r="AS223" s="437">
        <f t="shared" si="95"/>
        <v>0</v>
      </c>
    </row>
    <row r="224" spans="1:45" s="438" customFormat="1" ht="24.95" customHeight="1">
      <c r="A224" s="1134"/>
      <c r="B224" s="1134"/>
      <c r="C224" s="1139" t="s">
        <v>587</v>
      </c>
      <c r="D224" s="1134" t="s">
        <v>1048</v>
      </c>
      <c r="E224" s="1134" t="s">
        <v>588</v>
      </c>
      <c r="F224" s="1134">
        <v>9</v>
      </c>
      <c r="G224" s="1112">
        <v>5005</v>
      </c>
      <c r="H224" s="1112"/>
      <c r="I224" s="1112"/>
      <c r="J224" s="1112"/>
      <c r="K224" s="1112"/>
      <c r="L224" s="1112"/>
      <c r="M224" s="1112"/>
      <c r="N224" s="1112">
        <f>G224+H225</f>
        <v>5005</v>
      </c>
      <c r="O224" s="1112">
        <v>1</v>
      </c>
      <c r="P224" s="1112"/>
      <c r="Q224" s="1112"/>
      <c r="R224" s="1112"/>
      <c r="S224" s="1112"/>
      <c r="T224" s="1134">
        <v>15</v>
      </c>
      <c r="U224" s="1138">
        <v>0.2</v>
      </c>
      <c r="V224" s="1112">
        <f>N224*U224</f>
        <v>1001</v>
      </c>
      <c r="W224" s="1112">
        <f>AD224</f>
        <v>494</v>
      </c>
      <c r="X224" s="1112">
        <f>(N224+V224)*O224+W224</f>
        <v>6500</v>
      </c>
      <c r="Y224" s="1112">
        <f>AB224</f>
        <v>7000</v>
      </c>
      <c r="Z224" s="1112">
        <f>X224+Y224</f>
        <v>13500</v>
      </c>
      <c r="AA224" s="1109">
        <f>13500*O224</f>
        <v>13500</v>
      </c>
      <c r="AB224" s="1109">
        <f>AA224-X224</f>
        <v>7000</v>
      </c>
      <c r="AC224" s="1112">
        <f>6500*O224</f>
        <v>6500</v>
      </c>
      <c r="AD224" s="1112">
        <f>AC224-(N224*O224)-V224</f>
        <v>494</v>
      </c>
      <c r="AE224" s="436">
        <f t="shared" si="86"/>
        <v>5005</v>
      </c>
      <c r="AF224" s="436">
        <f t="shared" si="87"/>
        <v>0</v>
      </c>
      <c r="AG224" s="436">
        <f t="shared" si="88"/>
        <v>5005</v>
      </c>
      <c r="AH224" s="436">
        <f t="shared" si="89"/>
        <v>0</v>
      </c>
      <c r="AI224" s="436">
        <f t="shared" si="90"/>
        <v>0</v>
      </c>
      <c r="AJ224" s="436">
        <f t="shared" si="70"/>
        <v>0</v>
      </c>
      <c r="AK224" s="437">
        <f t="shared" si="91"/>
        <v>1001</v>
      </c>
      <c r="AL224" s="437">
        <f t="shared" si="92"/>
        <v>0</v>
      </c>
      <c r="AM224" s="437">
        <f t="shared" si="93"/>
        <v>494</v>
      </c>
      <c r="AN224" s="437">
        <f t="shared" si="84"/>
        <v>0</v>
      </c>
      <c r="AO224" s="437">
        <f t="shared" si="85"/>
        <v>0</v>
      </c>
      <c r="AP224" s="437">
        <f t="shared" si="94"/>
        <v>5005</v>
      </c>
      <c r="AQ224" s="437">
        <f t="shared" si="71"/>
        <v>0</v>
      </c>
      <c r="AR224" s="436"/>
      <c r="AS224" s="437">
        <f t="shared" si="95"/>
        <v>5005</v>
      </c>
    </row>
    <row r="225" spans="1:45" s="438" customFormat="1" ht="24.95" customHeight="1">
      <c r="A225" s="1134"/>
      <c r="B225" s="1134"/>
      <c r="C225" s="1139"/>
      <c r="D225" s="1134"/>
      <c r="E225" s="1134"/>
      <c r="F225" s="1134"/>
      <c r="G225" s="1112"/>
      <c r="H225" s="1112"/>
      <c r="I225" s="1112"/>
      <c r="J225" s="1112"/>
      <c r="K225" s="1112"/>
      <c r="L225" s="1112"/>
      <c r="M225" s="1112"/>
      <c r="N225" s="1112"/>
      <c r="O225" s="1112"/>
      <c r="P225" s="1112"/>
      <c r="Q225" s="1112"/>
      <c r="R225" s="1112"/>
      <c r="S225" s="1112"/>
      <c r="T225" s="1134"/>
      <c r="U225" s="1138"/>
      <c r="V225" s="1112"/>
      <c r="W225" s="1112"/>
      <c r="X225" s="1112"/>
      <c r="Y225" s="1112"/>
      <c r="Z225" s="1112"/>
      <c r="AA225" s="1109"/>
      <c r="AB225" s="1109"/>
      <c r="AC225" s="1112"/>
      <c r="AD225" s="1112"/>
      <c r="AE225" s="436">
        <f t="shared" si="86"/>
        <v>0</v>
      </c>
      <c r="AF225" s="436">
        <f t="shared" si="87"/>
        <v>0</v>
      </c>
      <c r="AG225" s="436">
        <f t="shared" si="88"/>
        <v>0</v>
      </c>
      <c r="AH225" s="436">
        <f t="shared" si="89"/>
        <v>0</v>
      </c>
      <c r="AI225" s="436">
        <f t="shared" si="90"/>
        <v>0</v>
      </c>
      <c r="AJ225" s="436">
        <f t="shared" si="70"/>
        <v>0</v>
      </c>
      <c r="AK225" s="437">
        <f t="shared" si="91"/>
        <v>0</v>
      </c>
      <c r="AL225" s="437">
        <f t="shared" si="92"/>
        <v>0</v>
      </c>
      <c r="AM225" s="437">
        <f t="shared" si="93"/>
        <v>0</v>
      </c>
      <c r="AN225" s="437">
        <f t="shared" si="84"/>
        <v>0</v>
      </c>
      <c r="AO225" s="437">
        <f t="shared" si="85"/>
        <v>0</v>
      </c>
      <c r="AP225" s="437">
        <f t="shared" si="94"/>
        <v>0</v>
      </c>
      <c r="AQ225" s="437">
        <f t="shared" si="71"/>
        <v>0</v>
      </c>
      <c r="AR225" s="436"/>
      <c r="AS225" s="437">
        <f t="shared" si="95"/>
        <v>0</v>
      </c>
    </row>
    <row r="226" spans="1:45" s="446" customFormat="1" ht="24.95" customHeight="1">
      <c r="A226" s="441"/>
      <c r="B226" s="441"/>
      <c r="C226" s="442" t="s">
        <v>318</v>
      </c>
      <c r="D226" s="443"/>
      <c r="E226" s="443"/>
      <c r="F226" s="441"/>
      <c r="G226" s="445">
        <f>SUM(G204:G225)</f>
        <v>54505</v>
      </c>
      <c r="H226" s="441"/>
      <c r="I226" s="441"/>
      <c r="J226" s="441"/>
      <c r="K226" s="441"/>
      <c r="L226" s="441"/>
      <c r="M226" s="441"/>
      <c r="N226" s="445">
        <f>SUM(N204:N225)</f>
        <v>60260.75</v>
      </c>
      <c r="O226" s="444">
        <f>SUM(O204:O225)</f>
        <v>9.5</v>
      </c>
      <c r="P226" s="444">
        <f>SUM(P204:P225)</f>
        <v>0</v>
      </c>
      <c r="Q226" s="444"/>
      <c r="R226" s="444"/>
      <c r="S226" s="444"/>
      <c r="T226" s="444"/>
      <c r="U226" s="444"/>
      <c r="V226" s="445">
        <f t="shared" ref="V226:AD226" si="96">SUM(V204:V225)</f>
        <v>17077.224999999999</v>
      </c>
      <c r="W226" s="445">
        <f t="shared" si="96"/>
        <v>1696.5</v>
      </c>
      <c r="X226" s="445">
        <f t="shared" si="96"/>
        <v>66346.8</v>
      </c>
      <c r="Y226" s="445">
        <f t="shared" si="96"/>
        <v>61903.199999999997</v>
      </c>
      <c r="Z226" s="445">
        <f t="shared" si="96"/>
        <v>128250</v>
      </c>
      <c r="AA226" s="502">
        <f t="shared" si="96"/>
        <v>128250</v>
      </c>
      <c r="AB226" s="502">
        <f t="shared" si="96"/>
        <v>61903.199999999997</v>
      </c>
      <c r="AC226" s="444">
        <f t="shared" si="96"/>
        <v>61750</v>
      </c>
      <c r="AD226" s="444">
        <f t="shared" si="96"/>
        <v>1696.5</v>
      </c>
      <c r="AE226" s="436"/>
      <c r="AF226" s="436"/>
      <c r="AG226" s="436"/>
      <c r="AH226" s="436"/>
      <c r="AI226" s="436"/>
      <c r="AJ226" s="436"/>
      <c r="AK226" s="437"/>
      <c r="AL226" s="437"/>
      <c r="AM226" s="437"/>
      <c r="AN226" s="437"/>
      <c r="AO226" s="437"/>
      <c r="AP226" s="437">
        <f t="shared" si="71"/>
        <v>0</v>
      </c>
      <c r="AQ226" s="437">
        <f t="shared" si="71"/>
        <v>0</v>
      </c>
      <c r="AR226" s="436"/>
      <c r="AS226" s="437">
        <f t="shared" si="95"/>
        <v>0</v>
      </c>
    </row>
    <row r="227" spans="1:45" s="456" customFormat="1" ht="24.95" customHeight="1">
      <c r="A227" s="455"/>
      <c r="B227" s="455"/>
      <c r="C227" s="1136" t="s">
        <v>1006</v>
      </c>
      <c r="D227" s="1136"/>
      <c r="E227" s="455"/>
      <c r="F227" s="455"/>
      <c r="G227" s="455"/>
      <c r="H227" s="455"/>
      <c r="I227" s="455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/>
      <c r="Z227" s="455"/>
      <c r="AA227" s="504"/>
      <c r="AB227" s="504"/>
      <c r="AC227" s="455"/>
      <c r="AD227" s="455"/>
      <c r="AE227" s="436"/>
      <c r="AF227" s="436"/>
      <c r="AG227" s="436"/>
      <c r="AH227" s="436"/>
      <c r="AI227" s="436"/>
      <c r="AJ227" s="436"/>
      <c r="AK227" s="437"/>
      <c r="AL227" s="437"/>
      <c r="AM227" s="437"/>
      <c r="AN227" s="437"/>
      <c r="AO227" s="437"/>
      <c r="AP227" s="437">
        <f t="shared" si="71"/>
        <v>0</v>
      </c>
      <c r="AQ227" s="437">
        <f t="shared" si="71"/>
        <v>0</v>
      </c>
      <c r="AR227" s="436"/>
      <c r="AS227" s="437">
        <f t="shared" si="95"/>
        <v>0</v>
      </c>
    </row>
    <row r="228" spans="1:45" s="438" customFormat="1" ht="24.95" customHeight="1">
      <c r="A228" s="1134"/>
      <c r="B228" s="1134"/>
      <c r="C228" s="1139" t="s">
        <v>590</v>
      </c>
      <c r="D228" s="1134" t="s">
        <v>591</v>
      </c>
      <c r="E228" s="1134" t="s">
        <v>592</v>
      </c>
      <c r="F228" s="1134">
        <v>10</v>
      </c>
      <c r="G228" s="1112">
        <v>5265</v>
      </c>
      <c r="H228" s="435">
        <v>0.1</v>
      </c>
      <c r="I228" s="1140"/>
      <c r="J228" s="1140"/>
      <c r="K228" s="1140"/>
      <c r="L228" s="1140"/>
      <c r="M228" s="1140"/>
      <c r="N228" s="1112">
        <f>G228+H229+K229</f>
        <v>5791.5</v>
      </c>
      <c r="O228" s="1112">
        <v>1</v>
      </c>
      <c r="P228" s="1140"/>
      <c r="Q228" s="1140"/>
      <c r="R228" s="1140"/>
      <c r="S228" s="1140"/>
      <c r="T228" s="1134">
        <v>22</v>
      </c>
      <c r="U228" s="1138">
        <v>0.3</v>
      </c>
      <c r="V228" s="1112">
        <f>N228*U228</f>
        <v>1737.45</v>
      </c>
      <c r="W228" s="1112"/>
      <c r="X228" s="1112">
        <f>(N228+V228)*O228</f>
        <v>7528.95</v>
      </c>
      <c r="Y228" s="1112">
        <f>AB228</f>
        <v>5971.05</v>
      </c>
      <c r="Z228" s="1112">
        <f>X228+Y228</f>
        <v>13500</v>
      </c>
      <c r="AA228" s="1109">
        <f>13500*O228</f>
        <v>13500</v>
      </c>
      <c r="AB228" s="1109">
        <f>AA228-X228</f>
        <v>5971.05</v>
      </c>
      <c r="AC228" s="1112">
        <f>6500*O228</f>
        <v>6500</v>
      </c>
      <c r="AD228" s="1112"/>
      <c r="AE228" s="436">
        <f t="shared" ref="AE228:AE291" si="97">G228*O228</f>
        <v>5265</v>
      </c>
      <c r="AF228" s="436">
        <f t="shared" ref="AF228:AF291" si="98">G228*P228</f>
        <v>0</v>
      </c>
      <c r="AG228" s="436">
        <f t="shared" ref="AG228:AG291" si="99">N228*O228</f>
        <v>5791.5</v>
      </c>
      <c r="AH228" s="436">
        <f t="shared" ref="AH228:AH291" si="100">N228*P228</f>
        <v>0</v>
      </c>
      <c r="AI228" s="436">
        <f t="shared" ref="AI228:AJ244" si="101">AG228-AE228</f>
        <v>526.5</v>
      </c>
      <c r="AJ228" s="436">
        <f t="shared" si="101"/>
        <v>0</v>
      </c>
      <c r="AK228" s="437">
        <f t="shared" ref="AK228:AK291" si="102">V228*O228</f>
        <v>1737.45</v>
      </c>
      <c r="AL228" s="437">
        <f t="shared" ref="AL228:AL291" si="103">V228*P228</f>
        <v>0</v>
      </c>
      <c r="AM228" s="437">
        <f t="shared" ref="AM228:AM291" si="104">W228</f>
        <v>0</v>
      </c>
      <c r="AN228" s="437">
        <f t="shared" ref="AN228:AN291" si="105">S228*O228</f>
        <v>0</v>
      </c>
      <c r="AO228" s="437">
        <f t="shared" ref="AO228:AO291" si="106">S228*P228</f>
        <v>0</v>
      </c>
      <c r="AP228" s="437">
        <f t="shared" si="71"/>
        <v>5791.5</v>
      </c>
      <c r="AQ228" s="437">
        <f t="shared" si="71"/>
        <v>0</v>
      </c>
      <c r="AR228" s="436"/>
      <c r="AS228" s="437">
        <f t="shared" si="95"/>
        <v>5791.5</v>
      </c>
    </row>
    <row r="229" spans="1:45" s="438" customFormat="1" ht="24.95" customHeight="1">
      <c r="A229" s="1134"/>
      <c r="B229" s="1134"/>
      <c r="C229" s="1139"/>
      <c r="D229" s="1134"/>
      <c r="E229" s="1134"/>
      <c r="F229" s="1134"/>
      <c r="G229" s="1112"/>
      <c r="H229" s="449">
        <f>G228*H228</f>
        <v>526.5</v>
      </c>
      <c r="I229" s="1140"/>
      <c r="J229" s="1140"/>
      <c r="K229" s="1140"/>
      <c r="L229" s="1140"/>
      <c r="M229" s="1140"/>
      <c r="N229" s="1112"/>
      <c r="O229" s="1112"/>
      <c r="P229" s="1140"/>
      <c r="Q229" s="1140"/>
      <c r="R229" s="1140"/>
      <c r="S229" s="1140"/>
      <c r="T229" s="1134"/>
      <c r="U229" s="1138"/>
      <c r="V229" s="1112"/>
      <c r="W229" s="1112"/>
      <c r="X229" s="1112"/>
      <c r="Y229" s="1112"/>
      <c r="Z229" s="1112"/>
      <c r="AA229" s="1109"/>
      <c r="AB229" s="1109"/>
      <c r="AC229" s="1112"/>
      <c r="AD229" s="1112"/>
      <c r="AE229" s="436">
        <f t="shared" si="97"/>
        <v>0</v>
      </c>
      <c r="AF229" s="436">
        <f t="shared" si="98"/>
        <v>0</v>
      </c>
      <c r="AG229" s="436">
        <f t="shared" si="99"/>
        <v>0</v>
      </c>
      <c r="AH229" s="436">
        <f t="shared" si="100"/>
        <v>0</v>
      </c>
      <c r="AI229" s="436">
        <f t="shared" si="101"/>
        <v>0</v>
      </c>
      <c r="AJ229" s="436">
        <f t="shared" si="101"/>
        <v>0</v>
      </c>
      <c r="AK229" s="437">
        <f t="shared" si="102"/>
        <v>0</v>
      </c>
      <c r="AL229" s="437">
        <f t="shared" si="103"/>
        <v>0</v>
      </c>
      <c r="AM229" s="437">
        <f t="shared" si="104"/>
        <v>0</v>
      </c>
      <c r="AN229" s="437">
        <f t="shared" si="105"/>
        <v>0</v>
      </c>
      <c r="AO229" s="437">
        <f t="shared" si="106"/>
        <v>0</v>
      </c>
      <c r="AP229" s="437">
        <f t="shared" si="71"/>
        <v>0</v>
      </c>
      <c r="AQ229" s="437">
        <f t="shared" si="71"/>
        <v>0</v>
      </c>
      <c r="AR229" s="436"/>
      <c r="AS229" s="437">
        <f t="shared" si="95"/>
        <v>0</v>
      </c>
    </row>
    <row r="230" spans="1:45" s="438" customFormat="1" ht="24.95" customHeight="1">
      <c r="A230" s="1134"/>
      <c r="B230" s="1134"/>
      <c r="C230" s="1139" t="s">
        <v>568</v>
      </c>
      <c r="D230" s="1134" t="s">
        <v>593</v>
      </c>
      <c r="E230" s="1134" t="s">
        <v>594</v>
      </c>
      <c r="F230" s="1134">
        <v>10</v>
      </c>
      <c r="G230" s="1112">
        <v>5265</v>
      </c>
      <c r="H230" s="1112"/>
      <c r="I230" s="1138"/>
      <c r="J230" s="1138"/>
      <c r="K230" s="1112"/>
      <c r="L230" s="1140"/>
      <c r="M230" s="1140"/>
      <c r="N230" s="1112">
        <f>G230+I231</f>
        <v>5265</v>
      </c>
      <c r="O230" s="1112">
        <v>1</v>
      </c>
      <c r="P230" s="1112"/>
      <c r="Q230" s="1140"/>
      <c r="R230" s="1140"/>
      <c r="S230" s="1140"/>
      <c r="T230" s="1134">
        <v>39</v>
      </c>
      <c r="U230" s="1138">
        <v>0.3</v>
      </c>
      <c r="V230" s="1112">
        <f>N230*U230</f>
        <v>1579.5</v>
      </c>
      <c r="W230" s="1112"/>
      <c r="X230" s="1112">
        <f>(N230+V230)*O230</f>
        <v>6844.5</v>
      </c>
      <c r="Y230" s="1112">
        <f>AB230</f>
        <v>6655.5</v>
      </c>
      <c r="Z230" s="1112">
        <f>X230+Y230</f>
        <v>13500</v>
      </c>
      <c r="AA230" s="1109">
        <f>13500*O230</f>
        <v>13500</v>
      </c>
      <c r="AB230" s="1109">
        <f>AA230-X230</f>
        <v>6655.5</v>
      </c>
      <c r="AC230" s="1112">
        <f>6500*O230</f>
        <v>6500</v>
      </c>
      <c r="AD230" s="1112"/>
      <c r="AE230" s="436">
        <f t="shared" si="97"/>
        <v>5265</v>
      </c>
      <c r="AF230" s="436">
        <f t="shared" si="98"/>
        <v>0</v>
      </c>
      <c r="AG230" s="436">
        <f t="shared" si="99"/>
        <v>5265</v>
      </c>
      <c r="AH230" s="436">
        <f t="shared" si="100"/>
        <v>0</v>
      </c>
      <c r="AI230" s="436">
        <f t="shared" si="101"/>
        <v>0</v>
      </c>
      <c r="AJ230" s="436">
        <f t="shared" si="101"/>
        <v>0</v>
      </c>
      <c r="AK230" s="437">
        <f t="shared" si="102"/>
        <v>1579.5</v>
      </c>
      <c r="AL230" s="437">
        <f t="shared" si="103"/>
        <v>0</v>
      </c>
      <c r="AM230" s="437">
        <f t="shared" si="104"/>
        <v>0</v>
      </c>
      <c r="AN230" s="437">
        <f t="shared" si="105"/>
        <v>0</v>
      </c>
      <c r="AO230" s="437">
        <f t="shared" si="106"/>
        <v>0</v>
      </c>
      <c r="AP230" s="437">
        <f t="shared" ref="AP230:AQ259" si="107">AG230</f>
        <v>5265</v>
      </c>
      <c r="AQ230" s="437">
        <f t="shared" si="107"/>
        <v>0</v>
      </c>
      <c r="AR230" s="436"/>
      <c r="AS230" s="437">
        <f t="shared" si="95"/>
        <v>5265</v>
      </c>
    </row>
    <row r="231" spans="1:45" s="438" customFormat="1" ht="24.95" customHeight="1">
      <c r="A231" s="1134"/>
      <c r="B231" s="1134"/>
      <c r="C231" s="1139"/>
      <c r="D231" s="1134"/>
      <c r="E231" s="1134"/>
      <c r="F231" s="1134"/>
      <c r="G231" s="1112"/>
      <c r="H231" s="1112"/>
      <c r="I231" s="1134"/>
      <c r="J231" s="1134"/>
      <c r="K231" s="1112"/>
      <c r="L231" s="1140"/>
      <c r="M231" s="1140"/>
      <c r="N231" s="1112"/>
      <c r="O231" s="1112"/>
      <c r="P231" s="1112"/>
      <c r="Q231" s="1140"/>
      <c r="R231" s="1140"/>
      <c r="S231" s="1140"/>
      <c r="T231" s="1134"/>
      <c r="U231" s="1138"/>
      <c r="V231" s="1112"/>
      <c r="W231" s="1112"/>
      <c r="X231" s="1112"/>
      <c r="Y231" s="1112"/>
      <c r="Z231" s="1112"/>
      <c r="AA231" s="1109"/>
      <c r="AB231" s="1109"/>
      <c r="AC231" s="1112"/>
      <c r="AD231" s="1112"/>
      <c r="AE231" s="436">
        <f t="shared" si="97"/>
        <v>0</v>
      </c>
      <c r="AF231" s="436">
        <f t="shared" si="98"/>
        <v>0</v>
      </c>
      <c r="AG231" s="436">
        <f t="shared" si="99"/>
        <v>0</v>
      </c>
      <c r="AH231" s="436">
        <f t="shared" si="100"/>
        <v>0</v>
      </c>
      <c r="AI231" s="436">
        <f t="shared" si="101"/>
        <v>0</v>
      </c>
      <c r="AJ231" s="436">
        <f t="shared" si="101"/>
        <v>0</v>
      </c>
      <c r="AK231" s="437">
        <f t="shared" si="102"/>
        <v>0</v>
      </c>
      <c r="AL231" s="437">
        <f t="shared" si="103"/>
        <v>0</v>
      </c>
      <c r="AM231" s="437">
        <f t="shared" si="104"/>
        <v>0</v>
      </c>
      <c r="AN231" s="437">
        <f t="shared" si="105"/>
        <v>0</v>
      </c>
      <c r="AO231" s="437">
        <f t="shared" si="106"/>
        <v>0</v>
      </c>
      <c r="AP231" s="437">
        <f t="shared" si="107"/>
        <v>0</v>
      </c>
      <c r="AQ231" s="437">
        <f t="shared" si="107"/>
        <v>0</v>
      </c>
      <c r="AR231" s="436"/>
      <c r="AS231" s="437">
        <f t="shared" si="95"/>
        <v>0</v>
      </c>
    </row>
    <row r="232" spans="1:45" s="438" customFormat="1" ht="24.95" customHeight="1">
      <c r="A232" s="1134"/>
      <c r="B232" s="1134"/>
      <c r="C232" s="1139" t="s">
        <v>568</v>
      </c>
      <c r="D232" s="1134" t="s">
        <v>595</v>
      </c>
      <c r="E232" s="1134" t="s">
        <v>596</v>
      </c>
      <c r="F232" s="1134">
        <v>10</v>
      </c>
      <c r="G232" s="1112">
        <v>5265</v>
      </c>
      <c r="H232" s="1112"/>
      <c r="I232" s="1112"/>
      <c r="J232" s="1112"/>
      <c r="K232" s="1112"/>
      <c r="L232" s="1112"/>
      <c r="M232" s="1112"/>
      <c r="N232" s="1112">
        <f>G232+I233</f>
        <v>5265</v>
      </c>
      <c r="O232" s="1112">
        <v>1</v>
      </c>
      <c r="P232" s="1112"/>
      <c r="Q232" s="1112"/>
      <c r="R232" s="1112"/>
      <c r="S232" s="1112"/>
      <c r="T232" s="1134">
        <v>29</v>
      </c>
      <c r="U232" s="1138">
        <v>0.3</v>
      </c>
      <c r="V232" s="1112">
        <f>N232*U232</f>
        <v>1579.5</v>
      </c>
      <c r="W232" s="1112"/>
      <c r="X232" s="1112">
        <f>(N232+V232)*O232</f>
        <v>6844.5</v>
      </c>
      <c r="Y232" s="1112">
        <f>AB232</f>
        <v>6655.5</v>
      </c>
      <c r="Z232" s="1112">
        <f>X232+Y232</f>
        <v>13500</v>
      </c>
      <c r="AA232" s="1109">
        <f>13500*O232</f>
        <v>13500</v>
      </c>
      <c r="AB232" s="1109">
        <f>AA232-X232</f>
        <v>6655.5</v>
      </c>
      <c r="AC232" s="1112">
        <f>6500*O232</f>
        <v>6500</v>
      </c>
      <c r="AD232" s="1112"/>
      <c r="AE232" s="436">
        <f t="shared" si="97"/>
        <v>5265</v>
      </c>
      <c r="AF232" s="436">
        <f t="shared" si="98"/>
        <v>0</v>
      </c>
      <c r="AG232" s="436">
        <f t="shared" si="99"/>
        <v>5265</v>
      </c>
      <c r="AH232" s="436">
        <f t="shared" si="100"/>
        <v>0</v>
      </c>
      <c r="AI232" s="436">
        <f t="shared" si="101"/>
        <v>0</v>
      </c>
      <c r="AJ232" s="436">
        <f t="shared" si="101"/>
        <v>0</v>
      </c>
      <c r="AK232" s="437">
        <f t="shared" si="102"/>
        <v>1579.5</v>
      </c>
      <c r="AL232" s="437">
        <f t="shared" si="103"/>
        <v>0</v>
      </c>
      <c r="AM232" s="437">
        <f t="shared" si="104"/>
        <v>0</v>
      </c>
      <c r="AN232" s="437">
        <f t="shared" si="105"/>
        <v>0</v>
      </c>
      <c r="AO232" s="437">
        <f t="shared" si="106"/>
        <v>0</v>
      </c>
      <c r="AP232" s="437">
        <f t="shared" si="107"/>
        <v>5265</v>
      </c>
      <c r="AQ232" s="437">
        <f t="shared" si="107"/>
        <v>0</v>
      </c>
      <c r="AR232" s="436"/>
      <c r="AS232" s="437">
        <f t="shared" si="95"/>
        <v>5265</v>
      </c>
    </row>
    <row r="233" spans="1:45" s="438" customFormat="1">
      <c r="A233" s="1134"/>
      <c r="B233" s="1134"/>
      <c r="C233" s="1139"/>
      <c r="D233" s="1134"/>
      <c r="E233" s="1134"/>
      <c r="F233" s="1134"/>
      <c r="G233" s="1112"/>
      <c r="H233" s="1112"/>
      <c r="I233" s="1112"/>
      <c r="J233" s="1112"/>
      <c r="K233" s="1112"/>
      <c r="L233" s="1112"/>
      <c r="M233" s="1112"/>
      <c r="N233" s="1112"/>
      <c r="O233" s="1112"/>
      <c r="P233" s="1112"/>
      <c r="Q233" s="1112"/>
      <c r="R233" s="1112"/>
      <c r="S233" s="1112"/>
      <c r="T233" s="1134"/>
      <c r="U233" s="1138"/>
      <c r="V233" s="1112"/>
      <c r="W233" s="1112"/>
      <c r="X233" s="1112"/>
      <c r="Y233" s="1112"/>
      <c r="Z233" s="1112"/>
      <c r="AA233" s="1109"/>
      <c r="AB233" s="1109"/>
      <c r="AC233" s="1112"/>
      <c r="AD233" s="1112"/>
      <c r="AE233" s="436">
        <f t="shared" si="97"/>
        <v>0</v>
      </c>
      <c r="AF233" s="436">
        <f t="shared" si="98"/>
        <v>0</v>
      </c>
      <c r="AG233" s="436">
        <f t="shared" si="99"/>
        <v>0</v>
      </c>
      <c r="AH233" s="436">
        <f t="shared" si="100"/>
        <v>0</v>
      </c>
      <c r="AI233" s="436">
        <f t="shared" si="101"/>
        <v>0</v>
      </c>
      <c r="AJ233" s="436">
        <f t="shared" si="101"/>
        <v>0</v>
      </c>
      <c r="AK233" s="437">
        <f t="shared" si="102"/>
        <v>0</v>
      </c>
      <c r="AL233" s="437">
        <f t="shared" si="103"/>
        <v>0</v>
      </c>
      <c r="AM233" s="437">
        <f t="shared" si="104"/>
        <v>0</v>
      </c>
      <c r="AN233" s="437">
        <f t="shared" si="105"/>
        <v>0</v>
      </c>
      <c r="AO233" s="437">
        <f t="shared" si="106"/>
        <v>0</v>
      </c>
      <c r="AP233" s="437">
        <f t="shared" si="107"/>
        <v>0</v>
      </c>
      <c r="AQ233" s="437">
        <f t="shared" si="107"/>
        <v>0</v>
      </c>
      <c r="AR233" s="436"/>
      <c r="AS233" s="437">
        <f t="shared" si="95"/>
        <v>0</v>
      </c>
    </row>
    <row r="234" spans="1:45" s="438" customFormat="1" ht="24.95" customHeight="1">
      <c r="A234" s="1134"/>
      <c r="B234" s="1134"/>
      <c r="C234" s="1139" t="s">
        <v>568</v>
      </c>
      <c r="D234" s="1134" t="s">
        <v>601</v>
      </c>
      <c r="E234" s="1134" t="s">
        <v>602</v>
      </c>
      <c r="F234" s="1134">
        <v>7</v>
      </c>
      <c r="G234" s="1112">
        <v>4455</v>
      </c>
      <c r="H234" s="1112"/>
      <c r="I234" s="1112"/>
      <c r="J234" s="1112"/>
      <c r="K234" s="1112"/>
      <c r="L234" s="1112"/>
      <c r="M234" s="1140"/>
      <c r="N234" s="1112">
        <f>G234+H235+L235</f>
        <v>4455</v>
      </c>
      <c r="O234" s="1112">
        <v>1</v>
      </c>
      <c r="P234" s="1112"/>
      <c r="Q234" s="1140"/>
      <c r="R234" s="1140"/>
      <c r="S234" s="1140"/>
      <c r="T234" s="1134">
        <v>14</v>
      </c>
      <c r="U234" s="1138">
        <v>0.2</v>
      </c>
      <c r="V234" s="1112">
        <f>N234*U234</f>
        <v>891</v>
      </c>
      <c r="W234" s="1112">
        <f>AD234</f>
        <v>1154</v>
      </c>
      <c r="X234" s="1112">
        <f>(N234+V234)*O234+W234</f>
        <v>6500</v>
      </c>
      <c r="Y234" s="1112">
        <f>AB234</f>
        <v>7000</v>
      </c>
      <c r="Z234" s="1112">
        <f>X234+Y234</f>
        <v>13500</v>
      </c>
      <c r="AA234" s="1109">
        <f>13500*O234</f>
        <v>13500</v>
      </c>
      <c r="AB234" s="1109">
        <f>AA234-X234</f>
        <v>7000</v>
      </c>
      <c r="AC234" s="1112">
        <f>6500*O234</f>
        <v>6500</v>
      </c>
      <c r="AD234" s="1112">
        <f>AC234-(N234*O234)-V234</f>
        <v>1154</v>
      </c>
      <c r="AE234" s="436">
        <f t="shared" si="97"/>
        <v>4455</v>
      </c>
      <c r="AF234" s="436">
        <f t="shared" si="98"/>
        <v>0</v>
      </c>
      <c r="AG234" s="436">
        <f t="shared" si="99"/>
        <v>4455</v>
      </c>
      <c r="AH234" s="436">
        <f t="shared" si="100"/>
        <v>0</v>
      </c>
      <c r="AI234" s="436">
        <f t="shared" si="101"/>
        <v>0</v>
      </c>
      <c r="AJ234" s="436">
        <f t="shared" si="101"/>
        <v>0</v>
      </c>
      <c r="AK234" s="437">
        <f t="shared" si="102"/>
        <v>891</v>
      </c>
      <c r="AL234" s="437">
        <f t="shared" si="103"/>
        <v>0</v>
      </c>
      <c r="AM234" s="437">
        <f t="shared" si="104"/>
        <v>1154</v>
      </c>
      <c r="AN234" s="437">
        <f t="shared" si="105"/>
        <v>0</v>
      </c>
      <c r="AO234" s="437">
        <f t="shared" si="106"/>
        <v>0</v>
      </c>
      <c r="AP234" s="437">
        <f t="shared" si="107"/>
        <v>4455</v>
      </c>
      <c r="AQ234" s="437">
        <f t="shared" si="107"/>
        <v>0</v>
      </c>
      <c r="AR234" s="436"/>
      <c r="AS234" s="437">
        <f t="shared" si="95"/>
        <v>4455</v>
      </c>
    </row>
    <row r="235" spans="1:45" s="438" customFormat="1" ht="24.95" customHeight="1">
      <c r="A235" s="1134"/>
      <c r="B235" s="1134"/>
      <c r="C235" s="1139"/>
      <c r="D235" s="1134"/>
      <c r="E235" s="1134"/>
      <c r="F235" s="1134"/>
      <c r="G235" s="1112"/>
      <c r="H235" s="1112"/>
      <c r="I235" s="1112"/>
      <c r="J235" s="1112"/>
      <c r="K235" s="1112"/>
      <c r="L235" s="1112"/>
      <c r="M235" s="1140"/>
      <c r="N235" s="1112"/>
      <c r="O235" s="1112"/>
      <c r="P235" s="1112"/>
      <c r="Q235" s="1140"/>
      <c r="R235" s="1140"/>
      <c r="S235" s="1140"/>
      <c r="T235" s="1134"/>
      <c r="U235" s="1138"/>
      <c r="V235" s="1112"/>
      <c r="W235" s="1112"/>
      <c r="X235" s="1112"/>
      <c r="Y235" s="1112"/>
      <c r="Z235" s="1112"/>
      <c r="AA235" s="1109"/>
      <c r="AB235" s="1109"/>
      <c r="AC235" s="1112"/>
      <c r="AD235" s="1112"/>
      <c r="AE235" s="436">
        <f t="shared" si="97"/>
        <v>0</v>
      </c>
      <c r="AF235" s="436">
        <f t="shared" si="98"/>
        <v>0</v>
      </c>
      <c r="AG235" s="436">
        <f t="shared" si="99"/>
        <v>0</v>
      </c>
      <c r="AH235" s="436">
        <f t="shared" si="100"/>
        <v>0</v>
      </c>
      <c r="AI235" s="436">
        <f t="shared" si="101"/>
        <v>0</v>
      </c>
      <c r="AJ235" s="436">
        <f t="shared" si="101"/>
        <v>0</v>
      </c>
      <c r="AK235" s="437">
        <f t="shared" si="102"/>
        <v>0</v>
      </c>
      <c r="AL235" s="437">
        <f t="shared" si="103"/>
        <v>0</v>
      </c>
      <c r="AM235" s="437">
        <f t="shared" si="104"/>
        <v>0</v>
      </c>
      <c r="AN235" s="437">
        <f t="shared" si="105"/>
        <v>0</v>
      </c>
      <c r="AO235" s="437">
        <f t="shared" si="106"/>
        <v>0</v>
      </c>
      <c r="AP235" s="437">
        <f t="shared" si="107"/>
        <v>0</v>
      </c>
      <c r="AQ235" s="437">
        <f t="shared" si="107"/>
        <v>0</v>
      </c>
      <c r="AR235" s="436"/>
      <c r="AS235" s="437">
        <f t="shared" si="95"/>
        <v>0</v>
      </c>
    </row>
    <row r="236" spans="1:45" s="438" customFormat="1" ht="24.95" customHeight="1">
      <c r="A236" s="1134"/>
      <c r="B236" s="1134"/>
      <c r="C236" s="1139" t="s">
        <v>568</v>
      </c>
      <c r="D236" s="1134" t="s">
        <v>599</v>
      </c>
      <c r="E236" s="1134" t="s">
        <v>600</v>
      </c>
      <c r="F236" s="1134">
        <v>10</v>
      </c>
      <c r="G236" s="1112">
        <v>5265</v>
      </c>
      <c r="H236" s="1112"/>
      <c r="I236" s="1112"/>
      <c r="J236" s="1112"/>
      <c r="K236" s="1112"/>
      <c r="L236" s="1112"/>
      <c r="M236" s="1112"/>
      <c r="N236" s="1112">
        <f>G236+H237</f>
        <v>5265</v>
      </c>
      <c r="O236" s="1112">
        <v>1</v>
      </c>
      <c r="P236" s="1112"/>
      <c r="Q236" s="1112"/>
      <c r="R236" s="1112"/>
      <c r="S236" s="1112"/>
      <c r="T236" s="1134">
        <v>26</v>
      </c>
      <c r="U236" s="1138">
        <v>0.3</v>
      </c>
      <c r="V236" s="1112">
        <f>N236*U236</f>
        <v>1579.5</v>
      </c>
      <c r="W236" s="1112"/>
      <c r="X236" s="1112">
        <f>(N236+V236)*O236</f>
        <v>6844.5</v>
      </c>
      <c r="Y236" s="1112">
        <f>AB236</f>
        <v>6655.5</v>
      </c>
      <c r="Z236" s="1112">
        <f>X236+Y236</f>
        <v>13500</v>
      </c>
      <c r="AA236" s="1109">
        <f>13500*O236</f>
        <v>13500</v>
      </c>
      <c r="AB236" s="1109">
        <f>AA236-X236</f>
        <v>6655.5</v>
      </c>
      <c r="AC236" s="1112">
        <f>6500*O236</f>
        <v>6500</v>
      </c>
      <c r="AD236" s="1112"/>
      <c r="AE236" s="436">
        <f t="shared" si="97"/>
        <v>5265</v>
      </c>
      <c r="AF236" s="436">
        <f t="shared" si="98"/>
        <v>0</v>
      </c>
      <c r="AG236" s="436">
        <f t="shared" si="99"/>
        <v>5265</v>
      </c>
      <c r="AH236" s="436">
        <f t="shared" si="100"/>
        <v>0</v>
      </c>
      <c r="AI236" s="436">
        <f t="shared" si="101"/>
        <v>0</v>
      </c>
      <c r="AJ236" s="436">
        <f t="shared" si="101"/>
        <v>0</v>
      </c>
      <c r="AK236" s="437">
        <f t="shared" si="102"/>
        <v>1579.5</v>
      </c>
      <c r="AL236" s="437">
        <f t="shared" si="103"/>
        <v>0</v>
      </c>
      <c r="AM236" s="437">
        <f t="shared" si="104"/>
        <v>0</v>
      </c>
      <c r="AN236" s="437">
        <f t="shared" si="105"/>
        <v>0</v>
      </c>
      <c r="AO236" s="437">
        <f t="shared" si="106"/>
        <v>0</v>
      </c>
      <c r="AP236" s="437">
        <f t="shared" si="107"/>
        <v>5265</v>
      </c>
      <c r="AQ236" s="437">
        <f t="shared" si="107"/>
        <v>0</v>
      </c>
      <c r="AR236" s="436"/>
      <c r="AS236" s="437">
        <f t="shared" si="95"/>
        <v>5265</v>
      </c>
    </row>
    <row r="237" spans="1:45" s="438" customFormat="1" ht="24.95" customHeight="1">
      <c r="A237" s="1134"/>
      <c r="B237" s="1134"/>
      <c r="C237" s="1139"/>
      <c r="D237" s="1134"/>
      <c r="E237" s="1134"/>
      <c r="F237" s="1134"/>
      <c r="G237" s="1112"/>
      <c r="H237" s="1112"/>
      <c r="I237" s="1112"/>
      <c r="J237" s="1112"/>
      <c r="K237" s="1112"/>
      <c r="L237" s="1112"/>
      <c r="M237" s="1112"/>
      <c r="N237" s="1112"/>
      <c r="O237" s="1112"/>
      <c r="P237" s="1112"/>
      <c r="Q237" s="1112"/>
      <c r="R237" s="1112"/>
      <c r="S237" s="1112"/>
      <c r="T237" s="1134"/>
      <c r="U237" s="1138"/>
      <c r="V237" s="1112"/>
      <c r="W237" s="1112"/>
      <c r="X237" s="1112"/>
      <c r="Y237" s="1112"/>
      <c r="Z237" s="1112"/>
      <c r="AA237" s="1109"/>
      <c r="AB237" s="1109"/>
      <c r="AC237" s="1112"/>
      <c r="AD237" s="1112"/>
      <c r="AE237" s="436">
        <f t="shared" si="97"/>
        <v>0</v>
      </c>
      <c r="AF237" s="436">
        <f t="shared" si="98"/>
        <v>0</v>
      </c>
      <c r="AG237" s="436">
        <f t="shared" si="99"/>
        <v>0</v>
      </c>
      <c r="AH237" s="436">
        <f t="shared" si="100"/>
        <v>0</v>
      </c>
      <c r="AI237" s="436">
        <f t="shared" si="101"/>
        <v>0</v>
      </c>
      <c r="AJ237" s="436">
        <f t="shared" si="101"/>
        <v>0</v>
      </c>
      <c r="AK237" s="437">
        <f t="shared" si="102"/>
        <v>0</v>
      </c>
      <c r="AL237" s="437">
        <f t="shared" si="103"/>
        <v>0</v>
      </c>
      <c r="AM237" s="437">
        <f t="shared" si="104"/>
        <v>0</v>
      </c>
      <c r="AN237" s="437">
        <f t="shared" si="105"/>
        <v>0</v>
      </c>
      <c r="AO237" s="437">
        <f t="shared" si="106"/>
        <v>0</v>
      </c>
      <c r="AP237" s="437">
        <f t="shared" si="107"/>
        <v>0</v>
      </c>
      <c r="AQ237" s="437">
        <f t="shared" si="107"/>
        <v>0</v>
      </c>
      <c r="AR237" s="436"/>
      <c r="AS237" s="437">
        <f t="shared" si="95"/>
        <v>0</v>
      </c>
    </row>
    <row r="238" spans="1:45" s="438" customFormat="1" ht="24.95" customHeight="1">
      <c r="A238" s="1134"/>
      <c r="B238" s="1134"/>
      <c r="C238" s="1139" t="s">
        <v>568</v>
      </c>
      <c r="D238" s="1134" t="s">
        <v>597</v>
      </c>
      <c r="E238" s="1134" t="s">
        <v>598</v>
      </c>
      <c r="F238" s="1134">
        <v>10</v>
      </c>
      <c r="G238" s="1112">
        <v>5265</v>
      </c>
      <c r="H238" s="1112"/>
      <c r="I238" s="1112"/>
      <c r="J238" s="1112"/>
      <c r="K238" s="1112"/>
      <c r="L238" s="1112"/>
      <c r="M238" s="1112"/>
      <c r="N238" s="1112">
        <f>G238+H239</f>
        <v>5265</v>
      </c>
      <c r="O238" s="1112">
        <v>1</v>
      </c>
      <c r="P238" s="1112"/>
      <c r="Q238" s="1112"/>
      <c r="R238" s="1112"/>
      <c r="S238" s="1112"/>
      <c r="T238" s="1134">
        <v>24</v>
      </c>
      <c r="U238" s="1138">
        <v>0.3</v>
      </c>
      <c r="V238" s="1112">
        <f>N238*U238</f>
        <v>1579.5</v>
      </c>
      <c r="W238" s="1112"/>
      <c r="X238" s="1112">
        <f>(N238+V238)*O238</f>
        <v>6844.5</v>
      </c>
      <c r="Y238" s="1112">
        <f>AB238</f>
        <v>6655.5</v>
      </c>
      <c r="Z238" s="1112">
        <f>X238+Y238</f>
        <v>13500</v>
      </c>
      <c r="AA238" s="1109">
        <f>13500*O238</f>
        <v>13500</v>
      </c>
      <c r="AB238" s="1109">
        <f>AA238-X238</f>
        <v>6655.5</v>
      </c>
      <c r="AC238" s="1112">
        <f>6500*O238</f>
        <v>6500</v>
      </c>
      <c r="AD238" s="1112"/>
      <c r="AE238" s="436">
        <f t="shared" si="97"/>
        <v>5265</v>
      </c>
      <c r="AF238" s="436">
        <f t="shared" si="98"/>
        <v>0</v>
      </c>
      <c r="AG238" s="436">
        <f t="shared" si="99"/>
        <v>5265</v>
      </c>
      <c r="AH238" s="436">
        <f t="shared" si="100"/>
        <v>0</v>
      </c>
      <c r="AI238" s="436">
        <f t="shared" si="101"/>
        <v>0</v>
      </c>
      <c r="AJ238" s="436">
        <f t="shared" si="101"/>
        <v>0</v>
      </c>
      <c r="AK238" s="437">
        <f t="shared" si="102"/>
        <v>1579.5</v>
      </c>
      <c r="AL238" s="437">
        <f t="shared" si="103"/>
        <v>0</v>
      </c>
      <c r="AM238" s="437">
        <f t="shared" si="104"/>
        <v>0</v>
      </c>
      <c r="AN238" s="437">
        <f t="shared" si="105"/>
        <v>0</v>
      </c>
      <c r="AO238" s="437">
        <f t="shared" si="106"/>
        <v>0</v>
      </c>
      <c r="AP238" s="437">
        <f t="shared" si="107"/>
        <v>5265</v>
      </c>
      <c r="AQ238" s="437">
        <f t="shared" si="107"/>
        <v>0</v>
      </c>
      <c r="AR238" s="436"/>
      <c r="AS238" s="437">
        <f t="shared" si="95"/>
        <v>5265</v>
      </c>
    </row>
    <row r="239" spans="1:45" s="438" customFormat="1" ht="24.95" customHeight="1">
      <c r="A239" s="1134"/>
      <c r="B239" s="1134"/>
      <c r="C239" s="1139"/>
      <c r="D239" s="1134"/>
      <c r="E239" s="1134"/>
      <c r="F239" s="1134"/>
      <c r="G239" s="1112"/>
      <c r="H239" s="1112"/>
      <c r="I239" s="1112"/>
      <c r="J239" s="1112"/>
      <c r="K239" s="1112"/>
      <c r="L239" s="1112"/>
      <c r="M239" s="1112"/>
      <c r="N239" s="1112"/>
      <c r="O239" s="1112"/>
      <c r="P239" s="1112"/>
      <c r="Q239" s="1112"/>
      <c r="R239" s="1112"/>
      <c r="S239" s="1112"/>
      <c r="T239" s="1134"/>
      <c r="U239" s="1138"/>
      <c r="V239" s="1112"/>
      <c r="W239" s="1112"/>
      <c r="X239" s="1112"/>
      <c r="Y239" s="1112"/>
      <c r="Z239" s="1112"/>
      <c r="AA239" s="1109"/>
      <c r="AB239" s="1109"/>
      <c r="AC239" s="1112"/>
      <c r="AD239" s="1112"/>
      <c r="AE239" s="436">
        <f t="shared" si="97"/>
        <v>0</v>
      </c>
      <c r="AF239" s="436">
        <f t="shared" si="98"/>
        <v>0</v>
      </c>
      <c r="AG239" s="436">
        <f t="shared" si="99"/>
        <v>0</v>
      </c>
      <c r="AH239" s="436">
        <f t="shared" si="100"/>
        <v>0</v>
      </c>
      <c r="AI239" s="436">
        <f t="shared" si="101"/>
        <v>0</v>
      </c>
      <c r="AJ239" s="436">
        <f t="shared" si="101"/>
        <v>0</v>
      </c>
      <c r="AK239" s="437">
        <f t="shared" si="102"/>
        <v>0</v>
      </c>
      <c r="AL239" s="437">
        <f t="shared" si="103"/>
        <v>0</v>
      </c>
      <c r="AM239" s="437">
        <f t="shared" si="104"/>
        <v>0</v>
      </c>
      <c r="AN239" s="437">
        <f t="shared" si="105"/>
        <v>0</v>
      </c>
      <c r="AO239" s="437">
        <f t="shared" si="106"/>
        <v>0</v>
      </c>
      <c r="AP239" s="437">
        <f t="shared" si="107"/>
        <v>0</v>
      </c>
      <c r="AQ239" s="437">
        <f t="shared" si="107"/>
        <v>0</v>
      </c>
      <c r="AR239" s="436"/>
      <c r="AS239" s="437">
        <f t="shared" si="95"/>
        <v>0</v>
      </c>
    </row>
    <row r="240" spans="1:45" s="438" customFormat="1" ht="24.95" customHeight="1">
      <c r="A240" s="1134"/>
      <c r="B240" s="1134"/>
      <c r="C240" s="1139" t="s">
        <v>564</v>
      </c>
      <c r="D240" s="1134" t="s">
        <v>603</v>
      </c>
      <c r="E240" s="1134" t="s">
        <v>604</v>
      </c>
      <c r="F240" s="1134">
        <v>9</v>
      </c>
      <c r="G240" s="1112">
        <v>5005</v>
      </c>
      <c r="H240" s="1112"/>
      <c r="I240" s="1112"/>
      <c r="J240" s="1112"/>
      <c r="K240" s="1112"/>
      <c r="L240" s="1112"/>
      <c r="M240" s="1112"/>
      <c r="N240" s="1112">
        <f>G240+H241+L241</f>
        <v>5005</v>
      </c>
      <c r="O240" s="1112">
        <v>1</v>
      </c>
      <c r="P240" s="1112"/>
      <c r="Q240" s="1112"/>
      <c r="R240" s="1112"/>
      <c r="S240" s="1112"/>
      <c r="T240" s="1134">
        <v>34</v>
      </c>
      <c r="U240" s="1138">
        <v>0.3</v>
      </c>
      <c r="V240" s="1112">
        <f>N240*U240</f>
        <v>1501.5</v>
      </c>
      <c r="W240" s="1112"/>
      <c r="X240" s="1112">
        <f>(N240+V240)*O240</f>
        <v>6506.5</v>
      </c>
      <c r="Y240" s="1112">
        <f>AB240</f>
        <v>6993.5</v>
      </c>
      <c r="Z240" s="1112">
        <f>X240+Y240</f>
        <v>13500</v>
      </c>
      <c r="AA240" s="1109">
        <f>13500*O240</f>
        <v>13500</v>
      </c>
      <c r="AB240" s="1109">
        <f>AA240-X240</f>
        <v>6993.5</v>
      </c>
      <c r="AC240" s="1112">
        <f>6500*O240</f>
        <v>6500</v>
      </c>
      <c r="AD240" s="1112"/>
      <c r="AE240" s="436">
        <f t="shared" si="97"/>
        <v>5005</v>
      </c>
      <c r="AF240" s="436">
        <f t="shared" si="98"/>
        <v>0</v>
      </c>
      <c r="AG240" s="436">
        <f t="shared" si="99"/>
        <v>5005</v>
      </c>
      <c r="AH240" s="436">
        <f t="shared" si="100"/>
        <v>0</v>
      </c>
      <c r="AI240" s="436">
        <f t="shared" si="101"/>
        <v>0</v>
      </c>
      <c r="AJ240" s="436">
        <f t="shared" si="101"/>
        <v>0</v>
      </c>
      <c r="AK240" s="437">
        <f t="shared" si="102"/>
        <v>1501.5</v>
      </c>
      <c r="AL240" s="437">
        <f t="shared" si="103"/>
        <v>0</v>
      </c>
      <c r="AM240" s="437">
        <f t="shared" si="104"/>
        <v>0</v>
      </c>
      <c r="AN240" s="437">
        <f t="shared" si="105"/>
        <v>0</v>
      </c>
      <c r="AO240" s="437">
        <f t="shared" si="106"/>
        <v>0</v>
      </c>
      <c r="AP240" s="437">
        <f t="shared" si="107"/>
        <v>5005</v>
      </c>
      <c r="AQ240" s="437">
        <f t="shared" si="107"/>
        <v>0</v>
      </c>
      <c r="AR240" s="436"/>
      <c r="AS240" s="437">
        <f t="shared" si="95"/>
        <v>5005</v>
      </c>
    </row>
    <row r="241" spans="1:45" s="438" customFormat="1" ht="24.95" customHeight="1">
      <c r="A241" s="1134"/>
      <c r="B241" s="1134"/>
      <c r="C241" s="1139"/>
      <c r="D241" s="1134"/>
      <c r="E241" s="1134"/>
      <c r="F241" s="1134"/>
      <c r="G241" s="1112"/>
      <c r="H241" s="1112"/>
      <c r="I241" s="1112"/>
      <c r="J241" s="1112"/>
      <c r="K241" s="1112"/>
      <c r="L241" s="1112"/>
      <c r="M241" s="1112"/>
      <c r="N241" s="1112"/>
      <c r="O241" s="1112"/>
      <c r="P241" s="1112"/>
      <c r="Q241" s="1112"/>
      <c r="R241" s="1112"/>
      <c r="S241" s="1112"/>
      <c r="T241" s="1134"/>
      <c r="U241" s="1138"/>
      <c r="V241" s="1112"/>
      <c r="W241" s="1112"/>
      <c r="X241" s="1112"/>
      <c r="Y241" s="1112"/>
      <c r="Z241" s="1112"/>
      <c r="AA241" s="1109"/>
      <c r="AB241" s="1109"/>
      <c r="AC241" s="1112"/>
      <c r="AD241" s="1112"/>
      <c r="AE241" s="436">
        <f t="shared" si="97"/>
        <v>0</v>
      </c>
      <c r="AF241" s="436">
        <f t="shared" si="98"/>
        <v>0</v>
      </c>
      <c r="AG241" s="436">
        <f t="shared" si="99"/>
        <v>0</v>
      </c>
      <c r="AH241" s="436">
        <f t="shared" si="100"/>
        <v>0</v>
      </c>
      <c r="AI241" s="436">
        <f t="shared" si="101"/>
        <v>0</v>
      </c>
      <c r="AJ241" s="436">
        <f t="shared" si="101"/>
        <v>0</v>
      </c>
      <c r="AK241" s="437">
        <f t="shared" si="102"/>
        <v>0</v>
      </c>
      <c r="AL241" s="437">
        <f t="shared" si="103"/>
        <v>0</v>
      </c>
      <c r="AM241" s="437">
        <f t="shared" si="104"/>
        <v>0</v>
      </c>
      <c r="AN241" s="437">
        <f t="shared" si="105"/>
        <v>0</v>
      </c>
      <c r="AO241" s="437">
        <f t="shared" si="106"/>
        <v>0</v>
      </c>
      <c r="AP241" s="437">
        <f t="shared" si="107"/>
        <v>0</v>
      </c>
      <c r="AQ241" s="437">
        <f t="shared" si="107"/>
        <v>0</v>
      </c>
      <c r="AR241" s="436"/>
      <c r="AS241" s="437">
        <f t="shared" si="95"/>
        <v>0</v>
      </c>
    </row>
    <row r="242" spans="1:45" s="438" customFormat="1" ht="24.95" customHeight="1">
      <c r="A242" s="1134"/>
      <c r="B242" s="1134"/>
      <c r="C242" s="1139" t="s">
        <v>564</v>
      </c>
      <c r="D242" s="1134" t="s">
        <v>665</v>
      </c>
      <c r="E242" s="1134" t="s">
        <v>666</v>
      </c>
      <c r="F242" s="1134">
        <v>10</v>
      </c>
      <c r="G242" s="1112">
        <v>5265</v>
      </c>
      <c r="H242" s="1112"/>
      <c r="I242" s="1112"/>
      <c r="J242" s="1112"/>
      <c r="K242" s="1112"/>
      <c r="L242" s="1112"/>
      <c r="M242" s="1112"/>
      <c r="N242" s="1112">
        <f>G242+H243+L243</f>
        <v>5265</v>
      </c>
      <c r="O242" s="1112">
        <v>1</v>
      </c>
      <c r="P242" s="1112"/>
      <c r="Q242" s="1112"/>
      <c r="R242" s="1112"/>
      <c r="S242" s="1112"/>
      <c r="T242" s="1134">
        <v>32</v>
      </c>
      <c r="U242" s="1138">
        <v>0.3</v>
      </c>
      <c r="V242" s="1112">
        <f>N242*U242</f>
        <v>1579.5</v>
      </c>
      <c r="W242" s="1112"/>
      <c r="X242" s="1112">
        <f>(N242+V242)*O242+W242</f>
        <v>6844.5</v>
      </c>
      <c r="Y242" s="1112">
        <f>AB242</f>
        <v>6655.5</v>
      </c>
      <c r="Z242" s="1112">
        <f>X242+Y242</f>
        <v>13500</v>
      </c>
      <c r="AA242" s="1109">
        <f>13500*O242</f>
        <v>13500</v>
      </c>
      <c r="AB242" s="1109">
        <f>AA242-X242</f>
        <v>6655.5</v>
      </c>
      <c r="AC242" s="1112">
        <f>6500*O242</f>
        <v>6500</v>
      </c>
      <c r="AD242" s="1112"/>
      <c r="AE242" s="436">
        <f>G242*O242</f>
        <v>5265</v>
      </c>
      <c r="AF242" s="436">
        <f>G242*P242</f>
        <v>0</v>
      </c>
      <c r="AG242" s="436">
        <f>N242*O242</f>
        <v>5265</v>
      </c>
      <c r="AH242" s="436">
        <f>N242*P242</f>
        <v>0</v>
      </c>
      <c r="AI242" s="436">
        <f>AG242-AE242</f>
        <v>0</v>
      </c>
      <c r="AJ242" s="436">
        <f>AH242-AF242</f>
        <v>0</v>
      </c>
      <c r="AK242" s="437">
        <f>V242*O242</f>
        <v>1579.5</v>
      </c>
      <c r="AL242" s="437">
        <f>V242*P242</f>
        <v>0</v>
      </c>
      <c r="AM242" s="437">
        <f>W242</f>
        <v>0</v>
      </c>
      <c r="AN242" s="437">
        <f>S242*O242</f>
        <v>0</v>
      </c>
      <c r="AO242" s="437">
        <f>S242*P242</f>
        <v>0</v>
      </c>
      <c r="AP242" s="437">
        <f t="shared" si="107"/>
        <v>5265</v>
      </c>
      <c r="AQ242" s="437">
        <f>AH242</f>
        <v>0</v>
      </c>
      <c r="AR242" s="436"/>
      <c r="AS242" s="437">
        <f>AP242+AQ242-AR242</f>
        <v>5265</v>
      </c>
    </row>
    <row r="243" spans="1:45" s="438" customFormat="1" ht="24.95" customHeight="1">
      <c r="A243" s="1134"/>
      <c r="B243" s="1134"/>
      <c r="C243" s="1139"/>
      <c r="D243" s="1134"/>
      <c r="E243" s="1134"/>
      <c r="F243" s="1134"/>
      <c r="G243" s="1112"/>
      <c r="H243" s="1112"/>
      <c r="I243" s="1112"/>
      <c r="J243" s="1112"/>
      <c r="K243" s="1112"/>
      <c r="L243" s="1112"/>
      <c r="M243" s="1112"/>
      <c r="N243" s="1112"/>
      <c r="O243" s="1112"/>
      <c r="P243" s="1112"/>
      <c r="Q243" s="1112"/>
      <c r="R243" s="1112"/>
      <c r="S243" s="1112"/>
      <c r="T243" s="1134"/>
      <c r="U243" s="1138"/>
      <c r="V243" s="1112"/>
      <c r="W243" s="1112"/>
      <c r="X243" s="1112"/>
      <c r="Y243" s="1112"/>
      <c r="Z243" s="1112"/>
      <c r="AA243" s="1109"/>
      <c r="AB243" s="1109"/>
      <c r="AC243" s="1112"/>
      <c r="AD243" s="1112"/>
      <c r="AE243" s="436">
        <f>G243*O243</f>
        <v>0</v>
      </c>
      <c r="AF243" s="436">
        <f>G243*P243</f>
        <v>0</v>
      </c>
      <c r="AG243" s="436">
        <f>N243*O243</f>
        <v>0</v>
      </c>
      <c r="AH243" s="436">
        <f>N243*P243</f>
        <v>0</v>
      </c>
      <c r="AI243" s="436">
        <f>AG243-AE243</f>
        <v>0</v>
      </c>
      <c r="AJ243" s="436">
        <f>AH243-AF243</f>
        <v>0</v>
      </c>
      <c r="AK243" s="437">
        <f>V243*O243</f>
        <v>0</v>
      </c>
      <c r="AL243" s="437">
        <f>V243*P243</f>
        <v>0</v>
      </c>
      <c r="AM243" s="437">
        <f>W243</f>
        <v>0</v>
      </c>
      <c r="AN243" s="437">
        <f>S243*O243</f>
        <v>0</v>
      </c>
      <c r="AO243" s="437">
        <f>S243*P243</f>
        <v>0</v>
      </c>
      <c r="AP243" s="437">
        <f t="shared" si="107"/>
        <v>0</v>
      </c>
      <c r="AQ243" s="437">
        <f>AH243</f>
        <v>0</v>
      </c>
      <c r="AR243" s="436"/>
      <c r="AS243" s="437">
        <f>AP243+AQ243-AR243</f>
        <v>0</v>
      </c>
    </row>
    <row r="244" spans="1:45" s="438" customFormat="1" ht="24.95" customHeight="1">
      <c r="A244" s="1134"/>
      <c r="B244" s="1134"/>
      <c r="C244" s="1139" t="s">
        <v>564</v>
      </c>
      <c r="D244" s="1134" t="s">
        <v>607</v>
      </c>
      <c r="E244" s="1134" t="s">
        <v>608</v>
      </c>
      <c r="F244" s="1134">
        <v>10</v>
      </c>
      <c r="G244" s="1112">
        <v>5265</v>
      </c>
      <c r="H244" s="1112"/>
      <c r="I244" s="1112"/>
      <c r="J244" s="1112"/>
      <c r="K244" s="1112"/>
      <c r="L244" s="1112"/>
      <c r="M244" s="1112"/>
      <c r="N244" s="1112">
        <f>G244+H245+L245</f>
        <v>5265</v>
      </c>
      <c r="O244" s="1112">
        <v>1</v>
      </c>
      <c r="P244" s="1112"/>
      <c r="Q244" s="1112"/>
      <c r="R244" s="1112"/>
      <c r="S244" s="1112"/>
      <c r="T244" s="1134">
        <v>31</v>
      </c>
      <c r="U244" s="1138">
        <v>0.3</v>
      </c>
      <c r="V244" s="1112">
        <f>N244*U244</f>
        <v>1579.5</v>
      </c>
      <c r="W244" s="1112"/>
      <c r="X244" s="1112">
        <f>(N244+V244)*O244</f>
        <v>6844.5</v>
      </c>
      <c r="Y244" s="1112">
        <f>AB244</f>
        <v>6655.5</v>
      </c>
      <c r="Z244" s="1112">
        <f>X244+Y244</f>
        <v>13500</v>
      </c>
      <c r="AA244" s="1109">
        <f>13500*O244</f>
        <v>13500</v>
      </c>
      <c r="AB244" s="1109">
        <f>AA244-X244</f>
        <v>6655.5</v>
      </c>
      <c r="AC244" s="1112">
        <f>6500*O244</f>
        <v>6500</v>
      </c>
      <c r="AD244" s="1112"/>
      <c r="AE244" s="436">
        <f t="shared" si="97"/>
        <v>5265</v>
      </c>
      <c r="AF244" s="436">
        <f t="shared" si="98"/>
        <v>0</v>
      </c>
      <c r="AG244" s="436">
        <f t="shared" si="99"/>
        <v>5265</v>
      </c>
      <c r="AH244" s="436">
        <f t="shared" si="100"/>
        <v>0</v>
      </c>
      <c r="AI244" s="436">
        <f t="shared" si="101"/>
        <v>0</v>
      </c>
      <c r="AJ244" s="436">
        <f t="shared" si="101"/>
        <v>0</v>
      </c>
      <c r="AK244" s="437">
        <f t="shared" si="102"/>
        <v>1579.5</v>
      </c>
      <c r="AL244" s="437">
        <f t="shared" si="103"/>
        <v>0</v>
      </c>
      <c r="AM244" s="437">
        <f t="shared" si="104"/>
        <v>0</v>
      </c>
      <c r="AN244" s="437">
        <f t="shared" si="105"/>
        <v>0</v>
      </c>
      <c r="AO244" s="437">
        <f t="shared" si="106"/>
        <v>0</v>
      </c>
      <c r="AP244" s="437">
        <f t="shared" si="107"/>
        <v>5265</v>
      </c>
      <c r="AQ244" s="437">
        <f t="shared" si="107"/>
        <v>0</v>
      </c>
      <c r="AR244" s="436"/>
      <c r="AS244" s="437">
        <f t="shared" si="95"/>
        <v>5265</v>
      </c>
    </row>
    <row r="245" spans="1:45" s="438" customFormat="1" ht="24.95" customHeight="1">
      <c r="A245" s="1134"/>
      <c r="B245" s="1134"/>
      <c r="C245" s="1139"/>
      <c r="D245" s="1134"/>
      <c r="E245" s="1134"/>
      <c r="F245" s="1134"/>
      <c r="G245" s="1112"/>
      <c r="H245" s="1112"/>
      <c r="I245" s="1112"/>
      <c r="J245" s="1112"/>
      <c r="K245" s="1112"/>
      <c r="L245" s="1112"/>
      <c r="M245" s="1112"/>
      <c r="N245" s="1112"/>
      <c r="O245" s="1112"/>
      <c r="P245" s="1112"/>
      <c r="Q245" s="1112"/>
      <c r="R245" s="1112"/>
      <c r="S245" s="1112"/>
      <c r="T245" s="1134"/>
      <c r="U245" s="1138"/>
      <c r="V245" s="1112"/>
      <c r="W245" s="1112"/>
      <c r="X245" s="1112"/>
      <c r="Y245" s="1112"/>
      <c r="Z245" s="1112"/>
      <c r="AA245" s="1109"/>
      <c r="AB245" s="1109"/>
      <c r="AC245" s="1112"/>
      <c r="AD245" s="1112"/>
      <c r="AE245" s="436">
        <f t="shared" si="97"/>
        <v>0</v>
      </c>
      <c r="AF245" s="436">
        <f t="shared" si="98"/>
        <v>0</v>
      </c>
      <c r="AG245" s="436">
        <f t="shared" si="99"/>
        <v>0</v>
      </c>
      <c r="AH245" s="436">
        <f t="shared" si="100"/>
        <v>0</v>
      </c>
      <c r="AI245" s="436">
        <f>AG245-AE245</f>
        <v>0</v>
      </c>
      <c r="AJ245" s="436">
        <f t="shared" ref="AJ245:AJ320" si="108">AH245-AF245</f>
        <v>0</v>
      </c>
      <c r="AK245" s="437">
        <f t="shared" si="102"/>
        <v>0</v>
      </c>
      <c r="AL245" s="437">
        <f t="shared" si="103"/>
        <v>0</v>
      </c>
      <c r="AM245" s="437">
        <f t="shared" si="104"/>
        <v>0</v>
      </c>
      <c r="AN245" s="437">
        <f t="shared" si="105"/>
        <v>0</v>
      </c>
      <c r="AO245" s="437">
        <f t="shared" si="106"/>
        <v>0</v>
      </c>
      <c r="AP245" s="437">
        <f t="shared" si="107"/>
        <v>0</v>
      </c>
      <c r="AQ245" s="437">
        <f t="shared" si="107"/>
        <v>0</v>
      </c>
      <c r="AR245" s="436"/>
      <c r="AS245" s="437">
        <f t="shared" si="95"/>
        <v>0</v>
      </c>
    </row>
    <row r="246" spans="1:45" s="438" customFormat="1" ht="24.95" customHeight="1">
      <c r="A246" s="1134"/>
      <c r="B246" s="1134"/>
      <c r="C246" s="1139" t="s">
        <v>564</v>
      </c>
      <c r="D246" s="1134" t="s">
        <v>609</v>
      </c>
      <c r="E246" s="1134" t="s">
        <v>610</v>
      </c>
      <c r="F246" s="1134">
        <v>10</v>
      </c>
      <c r="G246" s="1112">
        <v>5265</v>
      </c>
      <c r="H246" s="1112"/>
      <c r="I246" s="1112"/>
      <c r="J246" s="1112"/>
      <c r="K246" s="1112"/>
      <c r="L246" s="1112"/>
      <c r="M246" s="1112"/>
      <c r="N246" s="1112">
        <f>G246+H247+L247</f>
        <v>5265</v>
      </c>
      <c r="O246" s="1112">
        <v>1</v>
      </c>
      <c r="P246" s="1112"/>
      <c r="Q246" s="1112"/>
      <c r="R246" s="1112"/>
      <c r="S246" s="1112"/>
      <c r="T246" s="1134">
        <v>27</v>
      </c>
      <c r="U246" s="1138">
        <v>0.3</v>
      </c>
      <c r="V246" s="1112">
        <f>N246*U246</f>
        <v>1579.5</v>
      </c>
      <c r="W246" s="1112"/>
      <c r="X246" s="1112">
        <f>(N246+V246)*O246</f>
        <v>6844.5</v>
      </c>
      <c r="Y246" s="1112">
        <f>AB246</f>
        <v>6655.5</v>
      </c>
      <c r="Z246" s="1112">
        <f>X246+Y246</f>
        <v>13500</v>
      </c>
      <c r="AA246" s="1109">
        <f>13500*O246</f>
        <v>13500</v>
      </c>
      <c r="AB246" s="1109">
        <f>AA246-X246</f>
        <v>6655.5</v>
      </c>
      <c r="AC246" s="1112">
        <f>6500*O246</f>
        <v>6500</v>
      </c>
      <c r="AD246" s="1112"/>
      <c r="AE246" s="436">
        <f t="shared" si="97"/>
        <v>5265</v>
      </c>
      <c r="AF246" s="436">
        <f t="shared" si="98"/>
        <v>0</v>
      </c>
      <c r="AG246" s="436">
        <f t="shared" si="99"/>
        <v>5265</v>
      </c>
      <c r="AH246" s="436">
        <f t="shared" si="100"/>
        <v>0</v>
      </c>
      <c r="AI246" s="436">
        <f>AG246-AE246</f>
        <v>0</v>
      </c>
      <c r="AJ246" s="436">
        <f t="shared" si="108"/>
        <v>0</v>
      </c>
      <c r="AK246" s="437">
        <f t="shared" si="102"/>
        <v>1579.5</v>
      </c>
      <c r="AL246" s="437">
        <f t="shared" si="103"/>
        <v>0</v>
      </c>
      <c r="AM246" s="437">
        <f t="shared" si="104"/>
        <v>0</v>
      </c>
      <c r="AN246" s="437">
        <f t="shared" si="105"/>
        <v>0</v>
      </c>
      <c r="AO246" s="437">
        <f t="shared" si="106"/>
        <v>0</v>
      </c>
      <c r="AP246" s="437">
        <f t="shared" si="107"/>
        <v>5265</v>
      </c>
      <c r="AQ246" s="437">
        <f t="shared" si="107"/>
        <v>0</v>
      </c>
      <c r="AR246" s="436"/>
      <c r="AS246" s="437">
        <f t="shared" si="95"/>
        <v>5265</v>
      </c>
    </row>
    <row r="247" spans="1:45" s="438" customFormat="1">
      <c r="A247" s="1134"/>
      <c r="B247" s="1134"/>
      <c r="C247" s="1139"/>
      <c r="D247" s="1134"/>
      <c r="E247" s="1134"/>
      <c r="F247" s="1134"/>
      <c r="G247" s="1134"/>
      <c r="H247" s="1112"/>
      <c r="I247" s="1112"/>
      <c r="J247" s="1112"/>
      <c r="K247" s="1112"/>
      <c r="L247" s="1112"/>
      <c r="M247" s="1112"/>
      <c r="N247" s="1112"/>
      <c r="O247" s="1112"/>
      <c r="P247" s="1112"/>
      <c r="Q247" s="1112"/>
      <c r="R247" s="1112"/>
      <c r="S247" s="1112"/>
      <c r="T247" s="1134"/>
      <c r="U247" s="1138"/>
      <c r="V247" s="1112"/>
      <c r="W247" s="1112"/>
      <c r="X247" s="1112"/>
      <c r="Y247" s="1112"/>
      <c r="Z247" s="1112"/>
      <c r="AA247" s="1109"/>
      <c r="AB247" s="1109"/>
      <c r="AC247" s="1112"/>
      <c r="AD247" s="1112"/>
      <c r="AE247" s="436">
        <f t="shared" si="97"/>
        <v>0</v>
      </c>
      <c r="AF247" s="436">
        <f t="shared" si="98"/>
        <v>0</v>
      </c>
      <c r="AG247" s="436">
        <f t="shared" si="99"/>
        <v>0</v>
      </c>
      <c r="AH247" s="436">
        <f t="shared" si="100"/>
        <v>0</v>
      </c>
      <c r="AI247" s="436">
        <f>AG247-AE247</f>
        <v>0</v>
      </c>
      <c r="AJ247" s="436">
        <f t="shared" si="108"/>
        <v>0</v>
      </c>
      <c r="AK247" s="437">
        <f t="shared" si="102"/>
        <v>0</v>
      </c>
      <c r="AL247" s="437">
        <f t="shared" si="103"/>
        <v>0</v>
      </c>
      <c r="AM247" s="437">
        <f t="shared" si="104"/>
        <v>0</v>
      </c>
      <c r="AN247" s="437">
        <f t="shared" si="105"/>
        <v>0</v>
      </c>
      <c r="AO247" s="437">
        <f t="shared" si="106"/>
        <v>0</v>
      </c>
      <c r="AP247" s="437">
        <f t="shared" si="107"/>
        <v>0</v>
      </c>
      <c r="AQ247" s="437">
        <f t="shared" si="107"/>
        <v>0</v>
      </c>
      <c r="AR247" s="436"/>
      <c r="AS247" s="437">
        <f t="shared" si="95"/>
        <v>0</v>
      </c>
    </row>
    <row r="248" spans="1:45" s="446" customFormat="1" ht="24.95" customHeight="1">
      <c r="A248" s="441"/>
      <c r="B248" s="441"/>
      <c r="C248" s="442" t="s">
        <v>318</v>
      </c>
      <c r="D248" s="443"/>
      <c r="E248" s="441"/>
      <c r="F248" s="441"/>
      <c r="G248" s="444">
        <f>SUM(G228:G247)</f>
        <v>51580</v>
      </c>
      <c r="H248" s="441">
        <f>H229</f>
        <v>526.5</v>
      </c>
      <c r="I248" s="441"/>
      <c r="J248" s="441"/>
      <c r="K248" s="441"/>
      <c r="L248" s="451"/>
      <c r="M248" s="441"/>
      <c r="N248" s="444">
        <f>SUM(N228:N247)</f>
        <v>52106.5</v>
      </c>
      <c r="O248" s="444">
        <f>SUM(O228:O247)</f>
        <v>10</v>
      </c>
      <c r="P248" s="444">
        <f>SUM(P228:P247)</f>
        <v>0</v>
      </c>
      <c r="Q248" s="444"/>
      <c r="R248" s="444"/>
      <c r="S248" s="444"/>
      <c r="T248" s="444"/>
      <c r="U248" s="444"/>
      <c r="V248" s="444">
        <f t="shared" ref="V248:AD248" si="109">SUM(V228:V247)</f>
        <v>15186.45</v>
      </c>
      <c r="W248" s="444">
        <f t="shared" si="109"/>
        <v>1154</v>
      </c>
      <c r="X248" s="444">
        <f t="shared" si="109"/>
        <v>68446.95</v>
      </c>
      <c r="Y248" s="444">
        <f t="shared" si="109"/>
        <v>66553.05</v>
      </c>
      <c r="Z248" s="444">
        <f t="shared" si="109"/>
        <v>135000</v>
      </c>
      <c r="AA248" s="499">
        <f t="shared" si="109"/>
        <v>135000</v>
      </c>
      <c r="AB248" s="499">
        <f t="shared" si="109"/>
        <v>66553.05</v>
      </c>
      <c r="AC248" s="444">
        <f t="shared" si="109"/>
        <v>65000</v>
      </c>
      <c r="AD248" s="444">
        <f t="shared" si="109"/>
        <v>1154</v>
      </c>
      <c r="AE248" s="436"/>
      <c r="AF248" s="436"/>
      <c r="AG248" s="436"/>
      <c r="AH248" s="436"/>
      <c r="AI248" s="436"/>
      <c r="AJ248" s="436"/>
      <c r="AK248" s="437"/>
      <c r="AL248" s="437"/>
      <c r="AM248" s="437"/>
      <c r="AN248" s="437"/>
      <c r="AO248" s="437"/>
      <c r="AP248" s="437">
        <f t="shared" si="107"/>
        <v>0</v>
      </c>
      <c r="AQ248" s="437">
        <f t="shared" si="107"/>
        <v>0</v>
      </c>
      <c r="AR248" s="436"/>
      <c r="AS248" s="437">
        <f t="shared" si="95"/>
        <v>0</v>
      </c>
    </row>
    <row r="249" spans="1:45" s="456" customFormat="1" ht="24.95" customHeight="1">
      <c r="A249" s="455"/>
      <c r="B249" s="455"/>
      <c r="C249" s="1136" t="s">
        <v>1018</v>
      </c>
      <c r="D249" s="1136"/>
      <c r="E249" s="455"/>
      <c r="F249" s="455"/>
      <c r="G249" s="455"/>
      <c r="H249" s="455"/>
      <c r="I249" s="455"/>
      <c r="J249" s="455"/>
      <c r="K249" s="455"/>
      <c r="L249" s="455"/>
      <c r="M249" s="455"/>
      <c r="N249" s="455"/>
      <c r="O249" s="455"/>
      <c r="P249" s="455"/>
      <c r="Q249" s="455"/>
      <c r="R249" s="455"/>
      <c r="S249" s="455"/>
      <c r="T249" s="455"/>
      <c r="U249" s="455"/>
      <c r="V249" s="455"/>
      <c r="W249" s="455"/>
      <c r="X249" s="455"/>
      <c r="Y249" s="455"/>
      <c r="Z249" s="455"/>
      <c r="AA249" s="504"/>
      <c r="AB249" s="504"/>
      <c r="AC249" s="455"/>
      <c r="AD249" s="455"/>
      <c r="AE249" s="436">
        <f t="shared" si="97"/>
        <v>0</v>
      </c>
      <c r="AF249" s="436">
        <f t="shared" si="98"/>
        <v>0</v>
      </c>
      <c r="AG249" s="436">
        <f t="shared" si="99"/>
        <v>0</v>
      </c>
      <c r="AH249" s="436">
        <f t="shared" si="100"/>
        <v>0</v>
      </c>
      <c r="AI249" s="436">
        <f t="shared" ref="AI249:AJ264" si="110">AG249-AE249</f>
        <v>0</v>
      </c>
      <c r="AJ249" s="436">
        <f t="shared" si="108"/>
        <v>0</v>
      </c>
      <c r="AK249" s="437">
        <f t="shared" si="102"/>
        <v>0</v>
      </c>
      <c r="AL249" s="437">
        <f t="shared" si="103"/>
        <v>0</v>
      </c>
      <c r="AM249" s="437">
        <f t="shared" si="104"/>
        <v>0</v>
      </c>
      <c r="AN249" s="437">
        <f t="shared" si="105"/>
        <v>0</v>
      </c>
      <c r="AO249" s="437">
        <f t="shared" si="106"/>
        <v>0</v>
      </c>
      <c r="AP249" s="437">
        <f t="shared" si="107"/>
        <v>0</v>
      </c>
      <c r="AQ249" s="437">
        <f t="shared" si="107"/>
        <v>0</v>
      </c>
      <c r="AR249" s="436"/>
      <c r="AS249" s="437">
        <f t="shared" si="95"/>
        <v>0</v>
      </c>
    </row>
    <row r="250" spans="1:45" s="438" customFormat="1" ht="24.95" customHeight="1">
      <c r="A250" s="1134"/>
      <c r="B250" s="1134"/>
      <c r="C250" s="1141" t="s">
        <v>590</v>
      </c>
      <c r="D250" s="1134" t="s">
        <v>1049</v>
      </c>
      <c r="E250" s="1134" t="s">
        <v>671</v>
      </c>
      <c r="F250" s="1134">
        <v>9</v>
      </c>
      <c r="G250" s="1112">
        <v>5005</v>
      </c>
      <c r="H250" s="435">
        <v>0.1</v>
      </c>
      <c r="I250" s="1140"/>
      <c r="J250" s="1140"/>
      <c r="K250" s="1140"/>
      <c r="L250" s="435">
        <v>0.15</v>
      </c>
      <c r="M250" s="1140"/>
      <c r="N250" s="1112">
        <f>G250+H251+K251+L251</f>
        <v>6331.3249999999998</v>
      </c>
      <c r="O250" s="1112">
        <v>1</v>
      </c>
      <c r="P250" s="1140"/>
      <c r="Q250" s="1140"/>
      <c r="R250" s="1140"/>
      <c r="S250" s="1140"/>
      <c r="T250" s="1134">
        <v>28</v>
      </c>
      <c r="U250" s="1138">
        <v>0.3</v>
      </c>
      <c r="V250" s="1112">
        <f>N250*U250</f>
        <v>1899.3974999999998</v>
      </c>
      <c r="W250" s="1112"/>
      <c r="X250" s="1112">
        <f>(N250+V250)*O250</f>
        <v>8230.7224999999999</v>
      </c>
      <c r="Y250" s="1112">
        <f>AB250</f>
        <v>5269.2775000000001</v>
      </c>
      <c r="Z250" s="1112">
        <f>X250+Y250</f>
        <v>13500</v>
      </c>
      <c r="AA250" s="1109">
        <f>13500*O250</f>
        <v>13500</v>
      </c>
      <c r="AB250" s="1109">
        <f>AA250-X250</f>
        <v>5269.2775000000001</v>
      </c>
      <c r="AC250" s="1112">
        <f>6500*O250</f>
        <v>6500</v>
      </c>
      <c r="AD250" s="1112"/>
      <c r="AE250" s="436">
        <f t="shared" si="97"/>
        <v>5005</v>
      </c>
      <c r="AF250" s="436">
        <f t="shared" si="98"/>
        <v>0</v>
      </c>
      <c r="AG250" s="436">
        <f t="shared" si="99"/>
        <v>6331.3249999999998</v>
      </c>
      <c r="AH250" s="436">
        <f t="shared" si="100"/>
        <v>0</v>
      </c>
      <c r="AI250" s="436">
        <f t="shared" si="110"/>
        <v>1326.3249999999998</v>
      </c>
      <c r="AJ250" s="436">
        <f t="shared" si="108"/>
        <v>0</v>
      </c>
      <c r="AK250" s="437">
        <f t="shared" si="102"/>
        <v>1899.3974999999998</v>
      </c>
      <c r="AL250" s="437">
        <f t="shared" si="103"/>
        <v>0</v>
      </c>
      <c r="AM250" s="437">
        <f t="shared" si="104"/>
        <v>0</v>
      </c>
      <c r="AN250" s="437">
        <f t="shared" si="105"/>
        <v>0</v>
      </c>
      <c r="AO250" s="437">
        <f t="shared" si="106"/>
        <v>0</v>
      </c>
      <c r="AP250" s="437">
        <f t="shared" si="107"/>
        <v>6331.3249999999998</v>
      </c>
      <c r="AQ250" s="437">
        <f t="shared" si="107"/>
        <v>0</v>
      </c>
      <c r="AR250" s="436"/>
      <c r="AS250" s="437">
        <f t="shared" si="95"/>
        <v>6331.3249999999998</v>
      </c>
    </row>
    <row r="251" spans="1:45" s="438" customFormat="1" ht="24.95" customHeight="1">
      <c r="A251" s="1134"/>
      <c r="B251" s="1134"/>
      <c r="C251" s="1141"/>
      <c r="D251" s="1134"/>
      <c r="E251" s="1134"/>
      <c r="F251" s="1134"/>
      <c r="G251" s="1112"/>
      <c r="H251" s="449">
        <f>G250*H250</f>
        <v>500.5</v>
      </c>
      <c r="I251" s="1140"/>
      <c r="J251" s="1140"/>
      <c r="K251" s="1140"/>
      <c r="L251" s="439">
        <f>(G250+H251)*L250</f>
        <v>825.82499999999993</v>
      </c>
      <c r="M251" s="1140"/>
      <c r="N251" s="1112"/>
      <c r="O251" s="1112"/>
      <c r="P251" s="1140"/>
      <c r="Q251" s="1140"/>
      <c r="R251" s="1140"/>
      <c r="S251" s="1140"/>
      <c r="T251" s="1134"/>
      <c r="U251" s="1138"/>
      <c r="V251" s="1112"/>
      <c r="W251" s="1112"/>
      <c r="X251" s="1112"/>
      <c r="Y251" s="1112"/>
      <c r="Z251" s="1112"/>
      <c r="AA251" s="1109"/>
      <c r="AB251" s="1109"/>
      <c r="AC251" s="1112"/>
      <c r="AD251" s="1112"/>
      <c r="AE251" s="436">
        <f t="shared" si="97"/>
        <v>0</v>
      </c>
      <c r="AF251" s="436">
        <f t="shared" si="98"/>
        <v>0</v>
      </c>
      <c r="AG251" s="436">
        <f t="shared" si="99"/>
        <v>0</v>
      </c>
      <c r="AH251" s="436">
        <f t="shared" si="100"/>
        <v>0</v>
      </c>
      <c r="AI251" s="436">
        <f t="shared" si="110"/>
        <v>0</v>
      </c>
      <c r="AJ251" s="436">
        <f t="shared" si="108"/>
        <v>0</v>
      </c>
      <c r="AK251" s="437">
        <f t="shared" si="102"/>
        <v>0</v>
      </c>
      <c r="AL251" s="437">
        <f t="shared" si="103"/>
        <v>0</v>
      </c>
      <c r="AM251" s="437">
        <f t="shared" si="104"/>
        <v>0</v>
      </c>
      <c r="AN251" s="437">
        <f t="shared" si="105"/>
        <v>0</v>
      </c>
      <c r="AO251" s="437">
        <f t="shared" si="106"/>
        <v>0</v>
      </c>
      <c r="AP251" s="437">
        <f t="shared" si="107"/>
        <v>0</v>
      </c>
      <c r="AQ251" s="437">
        <f t="shared" si="107"/>
        <v>0</v>
      </c>
      <c r="AR251" s="436"/>
      <c r="AS251" s="437">
        <f t="shared" si="95"/>
        <v>0</v>
      </c>
    </row>
    <row r="252" spans="1:45" s="438" customFormat="1" ht="24.95" customHeight="1">
      <c r="A252" s="1134"/>
      <c r="B252" s="1134"/>
      <c r="C252" s="1139" t="s">
        <v>615</v>
      </c>
      <c r="D252" s="1134" t="s">
        <v>616</v>
      </c>
      <c r="E252" s="1134" t="s">
        <v>617</v>
      </c>
      <c r="F252" s="1134">
        <v>8</v>
      </c>
      <c r="G252" s="1112">
        <v>4745</v>
      </c>
      <c r="H252" s="1112"/>
      <c r="I252" s="1112"/>
      <c r="J252" s="1112"/>
      <c r="K252" s="1112"/>
      <c r="L252" s="435">
        <v>0.15</v>
      </c>
      <c r="M252" s="1112"/>
      <c r="N252" s="1112">
        <f>G252+H253+L253</f>
        <v>5456.75</v>
      </c>
      <c r="O252" s="1112">
        <v>1</v>
      </c>
      <c r="P252" s="1140"/>
      <c r="Q252" s="1140"/>
      <c r="R252" s="1140"/>
      <c r="S252" s="1140"/>
      <c r="T252" s="1134">
        <v>13</v>
      </c>
      <c r="U252" s="1138">
        <v>0.2</v>
      </c>
      <c r="V252" s="1112">
        <f>N252*U252</f>
        <v>1091.3500000000001</v>
      </c>
      <c r="W252" s="1112"/>
      <c r="X252" s="1112">
        <f>(N252+V252)*O252+W252</f>
        <v>6548.1</v>
      </c>
      <c r="Y252" s="1112">
        <f>AB252</f>
        <v>6951.9</v>
      </c>
      <c r="Z252" s="1112">
        <f>X252+Y252</f>
        <v>13500</v>
      </c>
      <c r="AA252" s="1109">
        <f>13500*O252</f>
        <v>13500</v>
      </c>
      <c r="AB252" s="1109">
        <f>AA252-X252</f>
        <v>6951.9</v>
      </c>
      <c r="AC252" s="1112">
        <f>6500*O252</f>
        <v>6500</v>
      </c>
      <c r="AD252" s="1112"/>
      <c r="AE252" s="436">
        <f>G252*O252</f>
        <v>4745</v>
      </c>
      <c r="AF252" s="436">
        <f>G252*P252</f>
        <v>0</v>
      </c>
      <c r="AG252" s="436">
        <f>N252*O252</f>
        <v>5456.75</v>
      </c>
      <c r="AH252" s="436">
        <f>N252*P252</f>
        <v>0</v>
      </c>
      <c r="AI252" s="436">
        <f t="shared" si="110"/>
        <v>711.75</v>
      </c>
      <c r="AJ252" s="436">
        <f>AH252-AF252</f>
        <v>0</v>
      </c>
      <c r="AK252" s="437">
        <f>V252*O252</f>
        <v>1091.3500000000001</v>
      </c>
      <c r="AL252" s="437">
        <f>V252*P252</f>
        <v>0</v>
      </c>
      <c r="AM252" s="437">
        <f>W252</f>
        <v>0</v>
      </c>
      <c r="AN252" s="437">
        <f>S252*O252</f>
        <v>0</v>
      </c>
      <c r="AO252" s="437">
        <f>S252*P252</f>
        <v>0</v>
      </c>
      <c r="AP252" s="437">
        <f t="shared" si="107"/>
        <v>5456.75</v>
      </c>
      <c r="AQ252" s="437">
        <f t="shared" si="107"/>
        <v>0</v>
      </c>
      <c r="AR252" s="436"/>
      <c r="AS252" s="437">
        <f t="shared" si="95"/>
        <v>5456.75</v>
      </c>
    </row>
    <row r="253" spans="1:45" s="438" customFormat="1" ht="24.95" customHeight="1">
      <c r="A253" s="1134"/>
      <c r="B253" s="1134"/>
      <c r="C253" s="1139"/>
      <c r="D253" s="1134"/>
      <c r="E253" s="1134"/>
      <c r="F253" s="1134"/>
      <c r="G253" s="1112"/>
      <c r="H253" s="1112"/>
      <c r="I253" s="1112"/>
      <c r="J253" s="1112"/>
      <c r="K253" s="1112"/>
      <c r="L253" s="449">
        <f>(G252+H253)*L252</f>
        <v>711.75</v>
      </c>
      <c r="M253" s="1112"/>
      <c r="N253" s="1112"/>
      <c r="O253" s="1112"/>
      <c r="P253" s="1140"/>
      <c r="Q253" s="1140"/>
      <c r="R253" s="1140"/>
      <c r="S253" s="1140"/>
      <c r="T253" s="1134"/>
      <c r="U253" s="1138"/>
      <c r="V253" s="1112"/>
      <c r="W253" s="1112"/>
      <c r="X253" s="1112"/>
      <c r="Y253" s="1112"/>
      <c r="Z253" s="1112"/>
      <c r="AA253" s="1109"/>
      <c r="AB253" s="1109"/>
      <c r="AC253" s="1112"/>
      <c r="AD253" s="1112"/>
      <c r="AE253" s="436">
        <f>G253*O253</f>
        <v>0</v>
      </c>
      <c r="AF253" s="436">
        <f>G253*P253</f>
        <v>0</v>
      </c>
      <c r="AG253" s="436">
        <f>N253*O253</f>
        <v>0</v>
      </c>
      <c r="AH253" s="436">
        <f>N253*P253</f>
        <v>0</v>
      </c>
      <c r="AI253" s="436">
        <f t="shared" si="110"/>
        <v>0</v>
      </c>
      <c r="AJ253" s="436">
        <f>AH253-AF253</f>
        <v>0</v>
      </c>
      <c r="AK253" s="437">
        <f>V253*O253</f>
        <v>0</v>
      </c>
      <c r="AL253" s="437">
        <f>V253*P253</f>
        <v>0</v>
      </c>
      <c r="AM253" s="437">
        <f>W253</f>
        <v>0</v>
      </c>
      <c r="AN253" s="437">
        <f>S253*O253</f>
        <v>0</v>
      </c>
      <c r="AO253" s="437">
        <f>S253*P253</f>
        <v>0</v>
      </c>
      <c r="AP253" s="437">
        <f t="shared" si="107"/>
        <v>0</v>
      </c>
      <c r="AQ253" s="437">
        <f t="shared" si="107"/>
        <v>0</v>
      </c>
      <c r="AR253" s="436"/>
      <c r="AS253" s="437">
        <f t="shared" si="95"/>
        <v>0</v>
      </c>
    </row>
    <row r="254" spans="1:45" s="438" customFormat="1" ht="24.95" customHeight="1">
      <c r="A254" s="1134"/>
      <c r="B254" s="1134"/>
      <c r="C254" s="1139" t="s">
        <v>564</v>
      </c>
      <c r="D254" s="1134" t="s">
        <v>1048</v>
      </c>
      <c r="E254" s="1134" t="s">
        <v>625</v>
      </c>
      <c r="F254" s="1134">
        <v>9</v>
      </c>
      <c r="G254" s="1112">
        <v>5005</v>
      </c>
      <c r="H254" s="1112"/>
      <c r="I254" s="1112"/>
      <c r="J254" s="1112"/>
      <c r="K254" s="1112"/>
      <c r="L254" s="435">
        <v>0.15</v>
      </c>
      <c r="M254" s="1112"/>
      <c r="N254" s="1112">
        <f>G254+H255+L255</f>
        <v>5755.75</v>
      </c>
      <c r="O254" s="1112">
        <v>1</v>
      </c>
      <c r="P254" s="1140"/>
      <c r="Q254" s="1140"/>
      <c r="R254" s="1140"/>
      <c r="S254" s="1140"/>
      <c r="T254" s="1134">
        <v>26</v>
      </c>
      <c r="U254" s="1138">
        <v>0.3</v>
      </c>
      <c r="V254" s="1112">
        <f>N254*U254</f>
        <v>1726.7249999999999</v>
      </c>
      <c r="W254" s="1112"/>
      <c r="X254" s="1112">
        <f>(N254+V254)*O254+W254</f>
        <v>7482.4750000000004</v>
      </c>
      <c r="Y254" s="1112">
        <f>AB254</f>
        <v>6017.5249999999996</v>
      </c>
      <c r="Z254" s="1112">
        <f>X254+Y254</f>
        <v>13500</v>
      </c>
      <c r="AA254" s="1109">
        <f>13500*O254</f>
        <v>13500</v>
      </c>
      <c r="AB254" s="1109">
        <f>AA254-X254</f>
        <v>6017.5249999999996</v>
      </c>
      <c r="AC254" s="1112">
        <f>6500*O254</f>
        <v>6500</v>
      </c>
      <c r="AD254" s="1112"/>
      <c r="AE254" s="436">
        <f>G254*O254</f>
        <v>5005</v>
      </c>
      <c r="AF254" s="436">
        <f>G254*P254</f>
        <v>0</v>
      </c>
      <c r="AG254" s="436">
        <f>N254*O254</f>
        <v>5755.75</v>
      </c>
      <c r="AH254" s="436">
        <f>N254*P254</f>
        <v>0</v>
      </c>
      <c r="AI254" s="436">
        <f t="shared" si="110"/>
        <v>750.75</v>
      </c>
      <c r="AJ254" s="436">
        <f>AH254-AF254</f>
        <v>0</v>
      </c>
      <c r="AK254" s="437">
        <f>V254*O254</f>
        <v>1726.7249999999999</v>
      </c>
      <c r="AL254" s="437">
        <f>V254*P254</f>
        <v>0</v>
      </c>
      <c r="AM254" s="437">
        <f>W254</f>
        <v>0</v>
      </c>
      <c r="AN254" s="437">
        <f>S254*O254</f>
        <v>0</v>
      </c>
      <c r="AO254" s="437">
        <f>S254*P254</f>
        <v>0</v>
      </c>
      <c r="AP254" s="437">
        <f t="shared" si="107"/>
        <v>5755.75</v>
      </c>
      <c r="AQ254" s="437">
        <f>AH254</f>
        <v>0</v>
      </c>
      <c r="AR254" s="436"/>
      <c r="AS254" s="437">
        <f>AP254+AQ254-AR254</f>
        <v>5755.75</v>
      </c>
    </row>
    <row r="255" spans="1:45" s="438" customFormat="1" ht="24.95" customHeight="1">
      <c r="A255" s="1134"/>
      <c r="B255" s="1134"/>
      <c r="C255" s="1139"/>
      <c r="D255" s="1134"/>
      <c r="E255" s="1134"/>
      <c r="F255" s="1134"/>
      <c r="G255" s="1112"/>
      <c r="H255" s="1112"/>
      <c r="I255" s="1112"/>
      <c r="J255" s="1112"/>
      <c r="K255" s="1112"/>
      <c r="L255" s="449">
        <f>(G254+H255)*L254</f>
        <v>750.75</v>
      </c>
      <c r="M255" s="1112"/>
      <c r="N255" s="1112"/>
      <c r="O255" s="1112"/>
      <c r="P255" s="1140"/>
      <c r="Q255" s="1140"/>
      <c r="R255" s="1140"/>
      <c r="S255" s="1140"/>
      <c r="T255" s="1134"/>
      <c r="U255" s="1138"/>
      <c r="V255" s="1112"/>
      <c r="W255" s="1112"/>
      <c r="X255" s="1112"/>
      <c r="Y255" s="1112"/>
      <c r="Z255" s="1112"/>
      <c r="AA255" s="1109"/>
      <c r="AB255" s="1109"/>
      <c r="AC255" s="1112"/>
      <c r="AD255" s="1112"/>
      <c r="AE255" s="436">
        <f>G255*O255</f>
        <v>0</v>
      </c>
      <c r="AF255" s="436">
        <f>G255*P255</f>
        <v>0</v>
      </c>
      <c r="AG255" s="436">
        <f>N255*O255</f>
        <v>0</v>
      </c>
      <c r="AH255" s="436">
        <f>N255*P255</f>
        <v>0</v>
      </c>
      <c r="AI255" s="436">
        <f t="shared" si="110"/>
        <v>0</v>
      </c>
      <c r="AJ255" s="436">
        <f>AH255-AF255</f>
        <v>0</v>
      </c>
      <c r="AK255" s="437">
        <f>V255*O255</f>
        <v>0</v>
      </c>
      <c r="AL255" s="437">
        <f>V255*P255</f>
        <v>0</v>
      </c>
      <c r="AM255" s="437">
        <f>W255</f>
        <v>0</v>
      </c>
      <c r="AN255" s="437">
        <f>S255*O255</f>
        <v>0</v>
      </c>
      <c r="AO255" s="437">
        <f>S255*P255</f>
        <v>0</v>
      </c>
      <c r="AP255" s="437">
        <f t="shared" si="107"/>
        <v>0</v>
      </c>
      <c r="AQ255" s="437">
        <f>AH255</f>
        <v>0</v>
      </c>
      <c r="AR255" s="436"/>
      <c r="AS255" s="437">
        <f>AP255+AQ255-AR255</f>
        <v>0</v>
      </c>
    </row>
    <row r="256" spans="1:45" s="438" customFormat="1" ht="24.95" customHeight="1">
      <c r="A256" s="1134"/>
      <c r="B256" s="1134"/>
      <c r="C256" s="1139" t="s">
        <v>564</v>
      </c>
      <c r="D256" s="1134" t="s">
        <v>626</v>
      </c>
      <c r="E256" s="1134" t="s">
        <v>627</v>
      </c>
      <c r="F256" s="1134">
        <v>9</v>
      </c>
      <c r="G256" s="1112">
        <v>5005</v>
      </c>
      <c r="H256" s="1112"/>
      <c r="I256" s="1112"/>
      <c r="J256" s="1112"/>
      <c r="K256" s="1112"/>
      <c r="L256" s="435">
        <v>0.15</v>
      </c>
      <c r="M256" s="1112"/>
      <c r="N256" s="1112">
        <f>G256+H257+L257</f>
        <v>5755.75</v>
      </c>
      <c r="O256" s="1112">
        <v>1</v>
      </c>
      <c r="P256" s="1112"/>
      <c r="Q256" s="1112"/>
      <c r="R256" s="1112"/>
      <c r="S256" s="1112"/>
      <c r="T256" s="1134">
        <v>33</v>
      </c>
      <c r="U256" s="1138">
        <v>0.3</v>
      </c>
      <c r="V256" s="1112">
        <f>N256*U256</f>
        <v>1726.7249999999999</v>
      </c>
      <c r="W256" s="1112"/>
      <c r="X256" s="1112">
        <f>(N256+V256)*O256+W256</f>
        <v>7482.4750000000004</v>
      </c>
      <c r="Y256" s="1112">
        <f>AB256</f>
        <v>6017.5249999999996</v>
      </c>
      <c r="Z256" s="1112">
        <f>X256+Y256</f>
        <v>13500</v>
      </c>
      <c r="AA256" s="1109">
        <f>13500*O256</f>
        <v>13500</v>
      </c>
      <c r="AB256" s="1109">
        <f>AA256-X256</f>
        <v>6017.5249999999996</v>
      </c>
      <c r="AC256" s="1112">
        <f>6500*O256</f>
        <v>6500</v>
      </c>
      <c r="AD256" s="1112"/>
      <c r="AE256" s="436">
        <f t="shared" si="97"/>
        <v>5005</v>
      </c>
      <c r="AF256" s="436">
        <f t="shared" si="98"/>
        <v>0</v>
      </c>
      <c r="AG256" s="436">
        <f t="shared" si="99"/>
        <v>5755.75</v>
      </c>
      <c r="AH256" s="436">
        <f t="shared" si="100"/>
        <v>0</v>
      </c>
      <c r="AI256" s="436">
        <f t="shared" si="110"/>
        <v>750.75</v>
      </c>
      <c r="AJ256" s="436">
        <f t="shared" si="108"/>
        <v>0</v>
      </c>
      <c r="AK256" s="437">
        <f t="shared" si="102"/>
        <v>1726.7249999999999</v>
      </c>
      <c r="AL256" s="437">
        <f t="shared" si="103"/>
        <v>0</v>
      </c>
      <c r="AM256" s="437">
        <f t="shared" si="104"/>
        <v>0</v>
      </c>
      <c r="AN256" s="437">
        <f t="shared" si="105"/>
        <v>0</v>
      </c>
      <c r="AO256" s="437">
        <f t="shared" si="106"/>
        <v>0</v>
      </c>
      <c r="AP256" s="437">
        <f t="shared" si="107"/>
        <v>5755.75</v>
      </c>
      <c r="AQ256" s="437">
        <f t="shared" si="107"/>
        <v>0</v>
      </c>
      <c r="AR256" s="436"/>
      <c r="AS256" s="437">
        <f t="shared" si="95"/>
        <v>5755.75</v>
      </c>
    </row>
    <row r="257" spans="1:45" s="438" customFormat="1" ht="24.95" customHeight="1">
      <c r="A257" s="1134"/>
      <c r="B257" s="1134"/>
      <c r="C257" s="1139"/>
      <c r="D257" s="1134"/>
      <c r="E257" s="1134"/>
      <c r="F257" s="1134"/>
      <c r="G257" s="1112"/>
      <c r="H257" s="1112"/>
      <c r="I257" s="1112"/>
      <c r="J257" s="1112"/>
      <c r="K257" s="1112"/>
      <c r="L257" s="449">
        <f>(G256+H257)*L256</f>
        <v>750.75</v>
      </c>
      <c r="M257" s="1112"/>
      <c r="N257" s="1112"/>
      <c r="O257" s="1112"/>
      <c r="P257" s="1112"/>
      <c r="Q257" s="1112"/>
      <c r="R257" s="1112"/>
      <c r="S257" s="1112"/>
      <c r="T257" s="1134"/>
      <c r="U257" s="1138"/>
      <c r="V257" s="1112"/>
      <c r="W257" s="1112"/>
      <c r="X257" s="1112"/>
      <c r="Y257" s="1112"/>
      <c r="Z257" s="1112"/>
      <c r="AA257" s="1109"/>
      <c r="AB257" s="1109"/>
      <c r="AC257" s="1112"/>
      <c r="AD257" s="1112"/>
      <c r="AE257" s="436">
        <f t="shared" si="97"/>
        <v>0</v>
      </c>
      <c r="AF257" s="436">
        <f t="shared" si="98"/>
        <v>0</v>
      </c>
      <c r="AG257" s="436">
        <f t="shared" si="99"/>
        <v>0</v>
      </c>
      <c r="AH257" s="436">
        <f t="shared" si="100"/>
        <v>0</v>
      </c>
      <c r="AI257" s="436">
        <f t="shared" si="110"/>
        <v>0</v>
      </c>
      <c r="AJ257" s="436">
        <f t="shared" si="108"/>
        <v>0</v>
      </c>
      <c r="AK257" s="437">
        <f t="shared" si="102"/>
        <v>0</v>
      </c>
      <c r="AL257" s="437">
        <f t="shared" si="103"/>
        <v>0</v>
      </c>
      <c r="AM257" s="437">
        <f t="shared" si="104"/>
        <v>0</v>
      </c>
      <c r="AN257" s="437">
        <f t="shared" si="105"/>
        <v>0</v>
      </c>
      <c r="AO257" s="437">
        <f t="shared" si="106"/>
        <v>0</v>
      </c>
      <c r="AP257" s="437">
        <f t="shared" si="107"/>
        <v>0</v>
      </c>
      <c r="AQ257" s="437">
        <f t="shared" si="107"/>
        <v>0</v>
      </c>
      <c r="AR257" s="436"/>
      <c r="AS257" s="437">
        <f t="shared" si="95"/>
        <v>0</v>
      </c>
    </row>
    <row r="258" spans="1:45" s="438" customFormat="1" ht="24.95" customHeight="1">
      <c r="A258" s="1134"/>
      <c r="B258" s="1134"/>
      <c r="C258" s="1139" t="s">
        <v>564</v>
      </c>
      <c r="D258" s="1134" t="s">
        <v>628</v>
      </c>
      <c r="E258" s="1134" t="s">
        <v>629</v>
      </c>
      <c r="F258" s="1134">
        <v>9</v>
      </c>
      <c r="G258" s="1112">
        <v>5005</v>
      </c>
      <c r="H258" s="1112"/>
      <c r="I258" s="1112"/>
      <c r="J258" s="1112"/>
      <c r="K258" s="1112"/>
      <c r="L258" s="435">
        <v>0.15</v>
      </c>
      <c r="M258" s="1140"/>
      <c r="N258" s="1112">
        <f>G258+H259+L259</f>
        <v>5755.75</v>
      </c>
      <c r="O258" s="1112">
        <v>1</v>
      </c>
      <c r="P258" s="1112"/>
      <c r="Q258" s="1140"/>
      <c r="R258" s="1140"/>
      <c r="S258" s="1140"/>
      <c r="T258" s="1134">
        <v>21</v>
      </c>
      <c r="U258" s="1138">
        <v>0.3</v>
      </c>
      <c r="V258" s="1112">
        <f>N258*U258</f>
        <v>1726.7249999999999</v>
      </c>
      <c r="W258" s="1112"/>
      <c r="X258" s="1112">
        <f>(N258+V258)*O258+W258</f>
        <v>7482.4750000000004</v>
      </c>
      <c r="Y258" s="1112">
        <f>AB258</f>
        <v>6017.5249999999996</v>
      </c>
      <c r="Z258" s="1112">
        <f>X258+Y258</f>
        <v>13500</v>
      </c>
      <c r="AA258" s="1109">
        <f>13500*O258</f>
        <v>13500</v>
      </c>
      <c r="AB258" s="1109">
        <f>AA258-X258</f>
        <v>6017.5249999999996</v>
      </c>
      <c r="AC258" s="1112">
        <f>6500*O258</f>
        <v>6500</v>
      </c>
      <c r="AD258" s="1112"/>
      <c r="AE258" s="436">
        <f t="shared" si="97"/>
        <v>5005</v>
      </c>
      <c r="AF258" s="436">
        <f t="shared" si="98"/>
        <v>0</v>
      </c>
      <c r="AG258" s="436">
        <f t="shared" si="99"/>
        <v>5755.75</v>
      </c>
      <c r="AH258" s="436">
        <f t="shared" si="100"/>
        <v>0</v>
      </c>
      <c r="AI258" s="436">
        <f t="shared" si="110"/>
        <v>750.75</v>
      </c>
      <c r="AJ258" s="436">
        <f t="shared" si="108"/>
        <v>0</v>
      </c>
      <c r="AK258" s="437">
        <f t="shared" si="102"/>
        <v>1726.7249999999999</v>
      </c>
      <c r="AL258" s="437">
        <f t="shared" si="103"/>
        <v>0</v>
      </c>
      <c r="AM258" s="437">
        <f t="shared" si="104"/>
        <v>0</v>
      </c>
      <c r="AN258" s="437">
        <f t="shared" si="105"/>
        <v>0</v>
      </c>
      <c r="AO258" s="437">
        <f t="shared" si="106"/>
        <v>0</v>
      </c>
      <c r="AP258" s="437">
        <f t="shared" si="107"/>
        <v>5755.75</v>
      </c>
      <c r="AQ258" s="437">
        <f t="shared" si="107"/>
        <v>0</v>
      </c>
      <c r="AR258" s="436"/>
      <c r="AS258" s="437">
        <f t="shared" si="95"/>
        <v>5755.75</v>
      </c>
    </row>
    <row r="259" spans="1:45" s="438" customFormat="1" ht="24.95" customHeight="1">
      <c r="A259" s="1134"/>
      <c r="B259" s="1134"/>
      <c r="C259" s="1139"/>
      <c r="D259" s="1134"/>
      <c r="E259" s="1134"/>
      <c r="F259" s="1134"/>
      <c r="G259" s="1112"/>
      <c r="H259" s="1112"/>
      <c r="I259" s="1112"/>
      <c r="J259" s="1112"/>
      <c r="K259" s="1112"/>
      <c r="L259" s="449">
        <f>(G258+H259)*L258</f>
        <v>750.75</v>
      </c>
      <c r="M259" s="1140"/>
      <c r="N259" s="1112"/>
      <c r="O259" s="1112"/>
      <c r="P259" s="1112"/>
      <c r="Q259" s="1140"/>
      <c r="R259" s="1140"/>
      <c r="S259" s="1140"/>
      <c r="T259" s="1134"/>
      <c r="U259" s="1138"/>
      <c r="V259" s="1112"/>
      <c r="W259" s="1112"/>
      <c r="X259" s="1112"/>
      <c r="Y259" s="1112"/>
      <c r="Z259" s="1112"/>
      <c r="AA259" s="1109"/>
      <c r="AB259" s="1109"/>
      <c r="AC259" s="1112"/>
      <c r="AD259" s="1112"/>
      <c r="AE259" s="436">
        <f t="shared" si="97"/>
        <v>0</v>
      </c>
      <c r="AF259" s="436">
        <f t="shared" si="98"/>
        <v>0</v>
      </c>
      <c r="AG259" s="436">
        <f t="shared" si="99"/>
        <v>0</v>
      </c>
      <c r="AH259" s="436">
        <f t="shared" si="100"/>
        <v>0</v>
      </c>
      <c r="AI259" s="436">
        <f t="shared" si="110"/>
        <v>0</v>
      </c>
      <c r="AJ259" s="436">
        <f t="shared" si="108"/>
        <v>0</v>
      </c>
      <c r="AK259" s="437">
        <f t="shared" si="102"/>
        <v>0</v>
      </c>
      <c r="AL259" s="437">
        <f t="shared" si="103"/>
        <v>0</v>
      </c>
      <c r="AM259" s="437">
        <f t="shared" si="104"/>
        <v>0</v>
      </c>
      <c r="AN259" s="437">
        <f t="shared" si="105"/>
        <v>0</v>
      </c>
      <c r="AO259" s="437">
        <f t="shared" si="106"/>
        <v>0</v>
      </c>
      <c r="AP259" s="437">
        <f t="shared" si="107"/>
        <v>0</v>
      </c>
      <c r="AQ259" s="437">
        <f t="shared" si="107"/>
        <v>0</v>
      </c>
      <c r="AR259" s="436"/>
      <c r="AS259" s="437">
        <f t="shared" si="95"/>
        <v>0</v>
      </c>
    </row>
    <row r="260" spans="1:45" s="438" customFormat="1" ht="24.95" customHeight="1">
      <c r="A260" s="1134"/>
      <c r="B260" s="1134"/>
      <c r="C260" s="1139" t="s">
        <v>564</v>
      </c>
      <c r="D260" s="1134" t="s">
        <v>337</v>
      </c>
      <c r="E260" s="1134" t="s">
        <v>630</v>
      </c>
      <c r="F260" s="1134">
        <v>6</v>
      </c>
      <c r="G260" s="1112">
        <v>4195</v>
      </c>
      <c r="H260" s="1112"/>
      <c r="I260" s="1138"/>
      <c r="J260" s="1138"/>
      <c r="K260" s="1112"/>
      <c r="L260" s="435">
        <v>0.15</v>
      </c>
      <c r="M260" s="1140"/>
      <c r="N260" s="1112">
        <f>G260+H261+L261</f>
        <v>4824.25</v>
      </c>
      <c r="O260" s="1112">
        <v>1</v>
      </c>
      <c r="P260" s="1112"/>
      <c r="Q260" s="1140"/>
      <c r="R260" s="1140"/>
      <c r="S260" s="1140"/>
      <c r="T260" s="1134">
        <v>14</v>
      </c>
      <c r="U260" s="1138">
        <v>0.2</v>
      </c>
      <c r="V260" s="1112">
        <f>N260*U260</f>
        <v>964.85</v>
      </c>
      <c r="W260" s="1112">
        <f>AD260</f>
        <v>710.9</v>
      </c>
      <c r="X260" s="1112">
        <f>(N260+V260)*O260+W260</f>
        <v>6500</v>
      </c>
      <c r="Y260" s="1112">
        <f>AB260</f>
        <v>7000</v>
      </c>
      <c r="Z260" s="1112">
        <f>X260+Y260</f>
        <v>13500</v>
      </c>
      <c r="AA260" s="1109">
        <f>13500*O260</f>
        <v>13500</v>
      </c>
      <c r="AB260" s="1109">
        <f>AA260-X260</f>
        <v>7000</v>
      </c>
      <c r="AC260" s="1112">
        <f>6500*O260</f>
        <v>6500</v>
      </c>
      <c r="AD260" s="1112">
        <f>AC260-(N260*O260)-V260</f>
        <v>710.9</v>
      </c>
      <c r="AE260" s="436">
        <f>G260*O260</f>
        <v>4195</v>
      </c>
      <c r="AF260" s="436">
        <f>G260*P260</f>
        <v>0</v>
      </c>
      <c r="AG260" s="436">
        <f>N260*O260</f>
        <v>4824.25</v>
      </c>
      <c r="AH260" s="436">
        <f>N260*P260</f>
        <v>0</v>
      </c>
      <c r="AI260" s="436">
        <f t="shared" si="110"/>
        <v>629.25</v>
      </c>
      <c r="AJ260" s="436">
        <f t="shared" si="110"/>
        <v>0</v>
      </c>
      <c r="AK260" s="437">
        <f>V260*O260</f>
        <v>964.85</v>
      </c>
      <c r="AL260" s="437">
        <f>V260*P260</f>
        <v>0</v>
      </c>
      <c r="AM260" s="437">
        <f>W260</f>
        <v>710.9</v>
      </c>
      <c r="AN260" s="437">
        <f>S260*O260</f>
        <v>0</v>
      </c>
      <c r="AO260" s="437">
        <f>S260*P260</f>
        <v>0</v>
      </c>
      <c r="AP260" s="437">
        <f t="shared" ref="AP260:AQ279" si="111">AG260</f>
        <v>4824.25</v>
      </c>
      <c r="AQ260" s="437">
        <f t="shared" si="111"/>
        <v>0</v>
      </c>
      <c r="AR260" s="436"/>
      <c r="AS260" s="437">
        <f>AP260+AQ260-AR260</f>
        <v>4824.25</v>
      </c>
    </row>
    <row r="261" spans="1:45" s="438" customFormat="1" ht="24.95" customHeight="1">
      <c r="A261" s="1134"/>
      <c r="B261" s="1134"/>
      <c r="C261" s="1139"/>
      <c r="D261" s="1134"/>
      <c r="E261" s="1134"/>
      <c r="F261" s="1134"/>
      <c r="G261" s="1112"/>
      <c r="H261" s="1112"/>
      <c r="I261" s="1134"/>
      <c r="J261" s="1134"/>
      <c r="K261" s="1112"/>
      <c r="L261" s="449">
        <f>(G260+H261)*L260</f>
        <v>629.25</v>
      </c>
      <c r="M261" s="1140"/>
      <c r="N261" s="1112"/>
      <c r="O261" s="1112"/>
      <c r="P261" s="1112"/>
      <c r="Q261" s="1140"/>
      <c r="R261" s="1140"/>
      <c r="S261" s="1140"/>
      <c r="T261" s="1134"/>
      <c r="U261" s="1138"/>
      <c r="V261" s="1112"/>
      <c r="W261" s="1112"/>
      <c r="X261" s="1112"/>
      <c r="Y261" s="1112"/>
      <c r="Z261" s="1112"/>
      <c r="AA261" s="1109"/>
      <c r="AB261" s="1109"/>
      <c r="AC261" s="1112"/>
      <c r="AD261" s="1112"/>
      <c r="AE261" s="436">
        <f>G261*O261</f>
        <v>0</v>
      </c>
      <c r="AF261" s="436">
        <f>G261*P261</f>
        <v>0</v>
      </c>
      <c r="AG261" s="436">
        <f>N261*O261</f>
        <v>0</v>
      </c>
      <c r="AH261" s="436">
        <f>N261*P261</f>
        <v>0</v>
      </c>
      <c r="AI261" s="436">
        <f t="shared" si="110"/>
        <v>0</v>
      </c>
      <c r="AJ261" s="436">
        <f t="shared" si="110"/>
        <v>0</v>
      </c>
      <c r="AK261" s="437">
        <f>V261*O261</f>
        <v>0</v>
      </c>
      <c r="AL261" s="437">
        <f>V261*P261</f>
        <v>0</v>
      </c>
      <c r="AM261" s="437">
        <f>W261</f>
        <v>0</v>
      </c>
      <c r="AN261" s="437">
        <f>S261*O261</f>
        <v>0</v>
      </c>
      <c r="AO261" s="437">
        <f>S261*P261</f>
        <v>0</v>
      </c>
      <c r="AP261" s="437">
        <f t="shared" si="111"/>
        <v>0</v>
      </c>
      <c r="AQ261" s="437">
        <f t="shared" si="111"/>
        <v>0</v>
      </c>
      <c r="AR261" s="436"/>
      <c r="AS261" s="437">
        <f>AP261+AQ261-AR261</f>
        <v>0</v>
      </c>
    </row>
    <row r="262" spans="1:45" s="438" customFormat="1" ht="24.95" customHeight="1">
      <c r="A262" s="1134"/>
      <c r="B262" s="1134"/>
      <c r="C262" s="1139" t="s">
        <v>564</v>
      </c>
      <c r="D262" s="1134" t="s">
        <v>1050</v>
      </c>
      <c r="E262" s="1134" t="s">
        <v>633</v>
      </c>
      <c r="F262" s="1134">
        <v>9</v>
      </c>
      <c r="G262" s="1112">
        <v>5005</v>
      </c>
      <c r="H262" s="1112"/>
      <c r="I262" s="1112"/>
      <c r="J262" s="1112"/>
      <c r="K262" s="1112"/>
      <c r="L262" s="435">
        <v>0.15</v>
      </c>
      <c r="M262" s="1112"/>
      <c r="N262" s="1112">
        <f>G262+H263+L263</f>
        <v>5755.75</v>
      </c>
      <c r="O262" s="1112">
        <v>1</v>
      </c>
      <c r="P262" s="1112"/>
      <c r="Q262" s="1112"/>
      <c r="R262" s="1112"/>
      <c r="S262" s="1112"/>
      <c r="T262" s="1134">
        <v>36</v>
      </c>
      <c r="U262" s="1138">
        <v>0.3</v>
      </c>
      <c r="V262" s="1112">
        <f>N262*U262</f>
        <v>1726.7249999999999</v>
      </c>
      <c r="W262" s="1112"/>
      <c r="X262" s="1112">
        <f>(N262+V262)*O262+W262</f>
        <v>7482.4750000000004</v>
      </c>
      <c r="Y262" s="1112">
        <f>AB262</f>
        <v>6017.5249999999996</v>
      </c>
      <c r="Z262" s="1112">
        <f>X262+Y262</f>
        <v>13500</v>
      </c>
      <c r="AA262" s="1109">
        <f>13500*O262</f>
        <v>13500</v>
      </c>
      <c r="AB262" s="1109">
        <f>AA262-X262</f>
        <v>6017.5249999999996</v>
      </c>
      <c r="AC262" s="1112">
        <f>6500*O262</f>
        <v>6500</v>
      </c>
      <c r="AD262" s="1112"/>
      <c r="AE262" s="436">
        <f>G262*O262</f>
        <v>5005</v>
      </c>
      <c r="AF262" s="436">
        <f>G262*P262</f>
        <v>0</v>
      </c>
      <c r="AG262" s="436">
        <f>N262*O262</f>
        <v>5755.75</v>
      </c>
      <c r="AH262" s="436">
        <f>N262*P262</f>
        <v>0</v>
      </c>
      <c r="AI262" s="436">
        <f t="shared" si="110"/>
        <v>750.75</v>
      </c>
      <c r="AJ262" s="436">
        <f t="shared" si="110"/>
        <v>0</v>
      </c>
      <c r="AK262" s="437">
        <f>V262*O262</f>
        <v>1726.7249999999999</v>
      </c>
      <c r="AL262" s="437">
        <f>V262*P262</f>
        <v>0</v>
      </c>
      <c r="AM262" s="437">
        <f>W262</f>
        <v>0</v>
      </c>
      <c r="AN262" s="437">
        <f>S262*O262</f>
        <v>0</v>
      </c>
      <c r="AO262" s="437">
        <f>S262*P262</f>
        <v>0</v>
      </c>
      <c r="AP262" s="437">
        <f t="shared" si="111"/>
        <v>5755.75</v>
      </c>
      <c r="AQ262" s="437">
        <f t="shared" si="111"/>
        <v>0</v>
      </c>
      <c r="AR262" s="436"/>
      <c r="AS262" s="437">
        <f>AP262+AQ262-AR262</f>
        <v>5755.75</v>
      </c>
    </row>
    <row r="263" spans="1:45" s="438" customFormat="1" ht="24.95" customHeight="1">
      <c r="A263" s="1134"/>
      <c r="B263" s="1134"/>
      <c r="C263" s="1139"/>
      <c r="D263" s="1134"/>
      <c r="E263" s="1134"/>
      <c r="F263" s="1134"/>
      <c r="G263" s="1112"/>
      <c r="H263" s="1112"/>
      <c r="I263" s="1112"/>
      <c r="J263" s="1112"/>
      <c r="K263" s="1112"/>
      <c r="L263" s="449">
        <f>(G262+H263)*L262</f>
        <v>750.75</v>
      </c>
      <c r="M263" s="1112"/>
      <c r="N263" s="1112"/>
      <c r="O263" s="1112"/>
      <c r="P263" s="1112"/>
      <c r="Q263" s="1112"/>
      <c r="R263" s="1112"/>
      <c r="S263" s="1112"/>
      <c r="T263" s="1134"/>
      <c r="U263" s="1138"/>
      <c r="V263" s="1112"/>
      <c r="W263" s="1112"/>
      <c r="X263" s="1112"/>
      <c r="Y263" s="1112"/>
      <c r="Z263" s="1112"/>
      <c r="AA263" s="1109"/>
      <c r="AB263" s="1109"/>
      <c r="AC263" s="1112"/>
      <c r="AD263" s="1112"/>
      <c r="AE263" s="436">
        <f>G263*O263</f>
        <v>0</v>
      </c>
      <c r="AF263" s="436">
        <f>G263*P263</f>
        <v>0</v>
      </c>
      <c r="AG263" s="436">
        <f>N263*O263</f>
        <v>0</v>
      </c>
      <c r="AH263" s="436">
        <f>N263*P263</f>
        <v>0</v>
      </c>
      <c r="AI263" s="436">
        <f t="shared" si="110"/>
        <v>0</v>
      </c>
      <c r="AJ263" s="436">
        <f t="shared" si="110"/>
        <v>0</v>
      </c>
      <c r="AK263" s="437">
        <f>V263*O263</f>
        <v>0</v>
      </c>
      <c r="AL263" s="437">
        <f>V263*P263</f>
        <v>0</v>
      </c>
      <c r="AM263" s="437">
        <f>W263</f>
        <v>0</v>
      </c>
      <c r="AN263" s="437">
        <f>S263*O263</f>
        <v>0</v>
      </c>
      <c r="AO263" s="437">
        <f>S263*P263</f>
        <v>0</v>
      </c>
      <c r="AP263" s="437">
        <f t="shared" si="111"/>
        <v>0</v>
      </c>
      <c r="AQ263" s="437">
        <f t="shared" si="111"/>
        <v>0</v>
      </c>
      <c r="AR263" s="436"/>
      <c r="AS263" s="437">
        <f>AP263+AQ263-AR263</f>
        <v>0</v>
      </c>
    </row>
    <row r="264" spans="1:45" s="438" customFormat="1" ht="24.95" customHeight="1">
      <c r="A264" s="1134"/>
      <c r="B264" s="1134"/>
      <c r="C264" s="1139" t="s">
        <v>564</v>
      </c>
      <c r="D264" s="1134" t="s">
        <v>1051</v>
      </c>
      <c r="E264" s="1134" t="s">
        <v>1052</v>
      </c>
      <c r="F264" s="1134">
        <v>8</v>
      </c>
      <c r="G264" s="1112">
        <v>4745</v>
      </c>
      <c r="H264" s="1112"/>
      <c r="I264" s="1112"/>
      <c r="J264" s="1112"/>
      <c r="K264" s="1112"/>
      <c r="L264" s="435">
        <v>0.15</v>
      </c>
      <c r="M264" s="1112"/>
      <c r="N264" s="1112">
        <f>G264+H265+L265</f>
        <v>5456.75</v>
      </c>
      <c r="O264" s="1112">
        <v>1</v>
      </c>
      <c r="P264" s="1112"/>
      <c r="Q264" s="1112"/>
      <c r="R264" s="1112"/>
      <c r="S264" s="1112"/>
      <c r="T264" s="1134">
        <v>12</v>
      </c>
      <c r="U264" s="1138">
        <v>0.2</v>
      </c>
      <c r="V264" s="1112">
        <f>N264*U264</f>
        <v>1091.3500000000001</v>
      </c>
      <c r="W264" s="1112"/>
      <c r="X264" s="1112">
        <f>(N264+V264)*O264+W264</f>
        <v>6548.1</v>
      </c>
      <c r="Y264" s="1112">
        <f>AB264</f>
        <v>6951.9</v>
      </c>
      <c r="Z264" s="1112">
        <f>X264+Y264</f>
        <v>13500</v>
      </c>
      <c r="AA264" s="1109">
        <f>13500*O264</f>
        <v>13500</v>
      </c>
      <c r="AB264" s="1109">
        <f>AA264-X264</f>
        <v>6951.9</v>
      </c>
      <c r="AC264" s="1112">
        <f>6500*O264</f>
        <v>6500</v>
      </c>
      <c r="AD264" s="1112"/>
      <c r="AE264" s="436">
        <f t="shared" ref="AE264:AE279" si="112">G264*O264</f>
        <v>4745</v>
      </c>
      <c r="AF264" s="436">
        <f t="shared" ref="AF264:AF279" si="113">G264*P264</f>
        <v>0</v>
      </c>
      <c r="AG264" s="436">
        <f t="shared" ref="AG264:AG279" si="114">N264*O264</f>
        <v>5456.75</v>
      </c>
      <c r="AH264" s="436">
        <f t="shared" ref="AH264:AH279" si="115">N264*P264</f>
        <v>0</v>
      </c>
      <c r="AI264" s="436">
        <f t="shared" si="110"/>
        <v>711.75</v>
      </c>
      <c r="AJ264" s="436">
        <f t="shared" si="110"/>
        <v>0</v>
      </c>
      <c r="AK264" s="437">
        <f t="shared" ref="AK264:AK279" si="116">V264*O264</f>
        <v>1091.3500000000001</v>
      </c>
      <c r="AL264" s="437">
        <f t="shared" ref="AL264:AL279" si="117">V264*P264</f>
        <v>0</v>
      </c>
      <c r="AM264" s="437">
        <f t="shared" ref="AM264:AM279" si="118">W264</f>
        <v>0</v>
      </c>
      <c r="AN264" s="437">
        <f t="shared" ref="AN264:AN279" si="119">S264*O264</f>
        <v>0</v>
      </c>
      <c r="AO264" s="437">
        <f t="shared" ref="AO264:AO279" si="120">S264*P264</f>
        <v>0</v>
      </c>
      <c r="AP264" s="437">
        <f t="shared" si="111"/>
        <v>5456.75</v>
      </c>
      <c r="AQ264" s="437">
        <f t="shared" si="111"/>
        <v>0</v>
      </c>
      <c r="AR264" s="436"/>
      <c r="AS264" s="437">
        <f t="shared" ref="AS264:AS279" si="121">AP264+AQ264-AR264</f>
        <v>5456.75</v>
      </c>
    </row>
    <row r="265" spans="1:45" s="438" customFormat="1" ht="24.95" customHeight="1">
      <c r="A265" s="1134"/>
      <c r="B265" s="1134"/>
      <c r="C265" s="1139"/>
      <c r="D265" s="1134"/>
      <c r="E265" s="1134"/>
      <c r="F265" s="1134"/>
      <c r="G265" s="1112"/>
      <c r="H265" s="1112"/>
      <c r="I265" s="1112"/>
      <c r="J265" s="1112"/>
      <c r="K265" s="1112"/>
      <c r="L265" s="439">
        <f>G264*L264</f>
        <v>711.75</v>
      </c>
      <c r="M265" s="1112"/>
      <c r="N265" s="1112"/>
      <c r="O265" s="1112"/>
      <c r="P265" s="1112"/>
      <c r="Q265" s="1112"/>
      <c r="R265" s="1112"/>
      <c r="S265" s="1112"/>
      <c r="T265" s="1134"/>
      <c r="U265" s="1138"/>
      <c r="V265" s="1112"/>
      <c r="W265" s="1112"/>
      <c r="X265" s="1112"/>
      <c r="Y265" s="1112"/>
      <c r="Z265" s="1112"/>
      <c r="AA265" s="1109"/>
      <c r="AB265" s="1109"/>
      <c r="AC265" s="1112"/>
      <c r="AD265" s="1112"/>
      <c r="AE265" s="436">
        <f t="shared" si="112"/>
        <v>0</v>
      </c>
      <c r="AF265" s="436">
        <f t="shared" si="113"/>
        <v>0</v>
      </c>
      <c r="AG265" s="436">
        <f t="shared" si="114"/>
        <v>0</v>
      </c>
      <c r="AH265" s="436">
        <f t="shared" si="115"/>
        <v>0</v>
      </c>
      <c r="AI265" s="436">
        <f t="shared" ref="AI265:AJ279" si="122">AG265-AE265</f>
        <v>0</v>
      </c>
      <c r="AJ265" s="436">
        <f t="shared" si="122"/>
        <v>0</v>
      </c>
      <c r="AK265" s="437">
        <f t="shared" si="116"/>
        <v>0</v>
      </c>
      <c r="AL265" s="437">
        <f t="shared" si="117"/>
        <v>0</v>
      </c>
      <c r="AM265" s="437">
        <f t="shared" si="118"/>
        <v>0</v>
      </c>
      <c r="AN265" s="437">
        <f t="shared" si="119"/>
        <v>0</v>
      </c>
      <c r="AO265" s="437">
        <f t="shared" si="120"/>
        <v>0</v>
      </c>
      <c r="AP265" s="437">
        <f t="shared" si="111"/>
        <v>0</v>
      </c>
      <c r="AQ265" s="437">
        <f t="shared" si="111"/>
        <v>0</v>
      </c>
      <c r="AR265" s="436"/>
      <c r="AS265" s="437">
        <f t="shared" si="121"/>
        <v>0</v>
      </c>
    </row>
    <row r="266" spans="1:45" s="438" customFormat="1" ht="24.95" customHeight="1">
      <c r="A266" s="1134"/>
      <c r="B266" s="1134"/>
      <c r="C266" s="1139" t="s">
        <v>564</v>
      </c>
      <c r="D266" s="1134" t="s">
        <v>622</v>
      </c>
      <c r="E266" s="1134" t="s">
        <v>675</v>
      </c>
      <c r="F266" s="1134">
        <v>9</v>
      </c>
      <c r="G266" s="1112">
        <v>5005</v>
      </c>
      <c r="H266" s="1112"/>
      <c r="I266" s="1112"/>
      <c r="J266" s="1112"/>
      <c r="K266" s="1112"/>
      <c r="L266" s="435">
        <v>0.15</v>
      </c>
      <c r="M266" s="1140"/>
      <c r="N266" s="1112">
        <f>G266+H267+L267</f>
        <v>5755.75</v>
      </c>
      <c r="O266" s="1112">
        <v>1</v>
      </c>
      <c r="P266" s="1112"/>
      <c r="Q266" s="1140"/>
      <c r="R266" s="1140"/>
      <c r="S266" s="1140"/>
      <c r="T266" s="1134">
        <v>24</v>
      </c>
      <c r="U266" s="1138">
        <v>0.3</v>
      </c>
      <c r="V266" s="1112">
        <f>N266*U266</f>
        <v>1726.7249999999999</v>
      </c>
      <c r="W266" s="1112"/>
      <c r="X266" s="1112">
        <f>(N266+V266)*O266+W266</f>
        <v>7482.4750000000004</v>
      </c>
      <c r="Y266" s="1112">
        <f>AB266</f>
        <v>6017.5249999999996</v>
      </c>
      <c r="Z266" s="1112">
        <f>X266+Y266</f>
        <v>13500</v>
      </c>
      <c r="AA266" s="1109">
        <f>13500*O266</f>
        <v>13500</v>
      </c>
      <c r="AB266" s="1109">
        <f>AA266-X266</f>
        <v>6017.5249999999996</v>
      </c>
      <c r="AC266" s="1112">
        <f>6500*O266</f>
        <v>6500</v>
      </c>
      <c r="AD266" s="1112"/>
      <c r="AE266" s="436">
        <f t="shared" si="112"/>
        <v>5005</v>
      </c>
      <c r="AF266" s="436">
        <f t="shared" si="113"/>
        <v>0</v>
      </c>
      <c r="AG266" s="436">
        <f t="shared" si="114"/>
        <v>5755.75</v>
      </c>
      <c r="AH266" s="436">
        <f t="shared" si="115"/>
        <v>0</v>
      </c>
      <c r="AI266" s="436">
        <f t="shared" si="122"/>
        <v>750.75</v>
      </c>
      <c r="AJ266" s="436">
        <f t="shared" si="122"/>
        <v>0</v>
      </c>
      <c r="AK266" s="437">
        <f t="shared" si="116"/>
        <v>1726.7249999999999</v>
      </c>
      <c r="AL266" s="437">
        <f t="shared" si="117"/>
        <v>0</v>
      </c>
      <c r="AM266" s="437">
        <f t="shared" si="118"/>
        <v>0</v>
      </c>
      <c r="AN266" s="437">
        <f t="shared" si="119"/>
        <v>0</v>
      </c>
      <c r="AO266" s="437">
        <f t="shared" si="120"/>
        <v>0</v>
      </c>
      <c r="AP266" s="437">
        <f t="shared" si="111"/>
        <v>5755.75</v>
      </c>
      <c r="AQ266" s="437">
        <f t="shared" si="111"/>
        <v>0</v>
      </c>
      <c r="AR266" s="436"/>
      <c r="AS266" s="437">
        <f t="shared" si="121"/>
        <v>5755.75</v>
      </c>
    </row>
    <row r="267" spans="1:45" s="438" customFormat="1" ht="24.95" customHeight="1">
      <c r="A267" s="1134"/>
      <c r="B267" s="1134"/>
      <c r="C267" s="1139"/>
      <c r="D267" s="1134"/>
      <c r="E267" s="1134"/>
      <c r="F267" s="1134"/>
      <c r="G267" s="1112"/>
      <c r="H267" s="1112"/>
      <c r="I267" s="1112"/>
      <c r="J267" s="1112"/>
      <c r="K267" s="1112"/>
      <c r="L267" s="439">
        <f>G266*L266</f>
        <v>750.75</v>
      </c>
      <c r="M267" s="1140"/>
      <c r="N267" s="1112"/>
      <c r="O267" s="1112"/>
      <c r="P267" s="1112"/>
      <c r="Q267" s="1140"/>
      <c r="R267" s="1140"/>
      <c r="S267" s="1140"/>
      <c r="T267" s="1134"/>
      <c r="U267" s="1138"/>
      <c r="V267" s="1112"/>
      <c r="W267" s="1112"/>
      <c r="X267" s="1112"/>
      <c r="Y267" s="1112"/>
      <c r="Z267" s="1112"/>
      <c r="AA267" s="1109"/>
      <c r="AB267" s="1109"/>
      <c r="AC267" s="1112"/>
      <c r="AD267" s="1112"/>
      <c r="AE267" s="436">
        <f t="shared" si="112"/>
        <v>0</v>
      </c>
      <c r="AF267" s="436">
        <f t="shared" si="113"/>
        <v>0</v>
      </c>
      <c r="AG267" s="436">
        <f t="shared" si="114"/>
        <v>0</v>
      </c>
      <c r="AH267" s="436">
        <f t="shared" si="115"/>
        <v>0</v>
      </c>
      <c r="AI267" s="436">
        <f t="shared" si="122"/>
        <v>0</v>
      </c>
      <c r="AJ267" s="436">
        <f t="shared" si="122"/>
        <v>0</v>
      </c>
      <c r="AK267" s="437">
        <f t="shared" si="116"/>
        <v>0</v>
      </c>
      <c r="AL267" s="437">
        <f t="shared" si="117"/>
        <v>0</v>
      </c>
      <c r="AM267" s="437">
        <f t="shared" si="118"/>
        <v>0</v>
      </c>
      <c r="AN267" s="437">
        <f t="shared" si="119"/>
        <v>0</v>
      </c>
      <c r="AO267" s="437">
        <f t="shared" si="120"/>
        <v>0</v>
      </c>
      <c r="AP267" s="437">
        <f t="shared" si="111"/>
        <v>0</v>
      </c>
      <c r="AQ267" s="437">
        <f t="shared" si="111"/>
        <v>0</v>
      </c>
      <c r="AR267" s="436"/>
      <c r="AS267" s="437">
        <f t="shared" si="121"/>
        <v>0</v>
      </c>
    </row>
    <row r="268" spans="1:45" s="438" customFormat="1" ht="24.95" customHeight="1">
      <c r="A268" s="1134"/>
      <c r="B268" s="1134"/>
      <c r="C268" s="1139" t="s">
        <v>564</v>
      </c>
      <c r="D268" s="1134" t="s">
        <v>572</v>
      </c>
      <c r="E268" s="1134" t="s">
        <v>674</v>
      </c>
      <c r="F268" s="1134">
        <v>9</v>
      </c>
      <c r="G268" s="1112">
        <v>5005</v>
      </c>
      <c r="H268" s="1112"/>
      <c r="I268" s="1112"/>
      <c r="J268" s="1112"/>
      <c r="K268" s="1112"/>
      <c r="L268" s="435">
        <v>0.15</v>
      </c>
      <c r="M268" s="1112"/>
      <c r="N268" s="1112">
        <f>G268+H269+L269</f>
        <v>5755.75</v>
      </c>
      <c r="O268" s="1112">
        <v>1</v>
      </c>
      <c r="P268" s="1112"/>
      <c r="Q268" s="1112"/>
      <c r="R268" s="1112"/>
      <c r="S268" s="1112"/>
      <c r="T268" s="1134">
        <v>26</v>
      </c>
      <c r="U268" s="1138">
        <v>0.3</v>
      </c>
      <c r="V268" s="1112">
        <f>N268*U268</f>
        <v>1726.7249999999999</v>
      </c>
      <c r="W268" s="1112"/>
      <c r="X268" s="1112">
        <f>(N268+V268)*O268+W268</f>
        <v>7482.4750000000004</v>
      </c>
      <c r="Y268" s="1112">
        <f>AB268</f>
        <v>6017.5249999999996</v>
      </c>
      <c r="Z268" s="1112">
        <f>X268+Y268</f>
        <v>13500</v>
      </c>
      <c r="AA268" s="1109">
        <f>13500*O268</f>
        <v>13500</v>
      </c>
      <c r="AB268" s="1109">
        <f>AA268-X268</f>
        <v>6017.5249999999996</v>
      </c>
      <c r="AC268" s="1112">
        <f>6500*O268</f>
        <v>6500</v>
      </c>
      <c r="AD268" s="1112"/>
      <c r="AE268" s="436">
        <f t="shared" si="112"/>
        <v>5005</v>
      </c>
      <c r="AF268" s="436">
        <f t="shared" si="113"/>
        <v>0</v>
      </c>
      <c r="AG268" s="436">
        <f t="shared" si="114"/>
        <v>5755.75</v>
      </c>
      <c r="AH268" s="436">
        <f t="shared" si="115"/>
        <v>0</v>
      </c>
      <c r="AI268" s="436">
        <f t="shared" si="122"/>
        <v>750.75</v>
      </c>
      <c r="AJ268" s="436">
        <f t="shared" si="122"/>
        <v>0</v>
      </c>
      <c r="AK268" s="437">
        <f t="shared" si="116"/>
        <v>1726.7249999999999</v>
      </c>
      <c r="AL268" s="437">
        <f t="shared" si="117"/>
        <v>0</v>
      </c>
      <c r="AM268" s="437">
        <f t="shared" si="118"/>
        <v>0</v>
      </c>
      <c r="AN268" s="437">
        <f t="shared" si="119"/>
        <v>0</v>
      </c>
      <c r="AO268" s="437">
        <f t="shared" si="120"/>
        <v>0</v>
      </c>
      <c r="AP268" s="437">
        <f t="shared" si="111"/>
        <v>5755.75</v>
      </c>
      <c r="AQ268" s="437">
        <f t="shared" si="111"/>
        <v>0</v>
      </c>
      <c r="AR268" s="436"/>
      <c r="AS268" s="437">
        <f t="shared" si="121"/>
        <v>5755.75</v>
      </c>
    </row>
    <row r="269" spans="1:45" s="438" customFormat="1" ht="24.95" customHeight="1">
      <c r="A269" s="1134"/>
      <c r="B269" s="1134"/>
      <c r="C269" s="1139"/>
      <c r="D269" s="1134"/>
      <c r="E269" s="1134"/>
      <c r="F269" s="1134"/>
      <c r="G269" s="1112"/>
      <c r="H269" s="1112"/>
      <c r="I269" s="1112"/>
      <c r="J269" s="1112"/>
      <c r="K269" s="1112"/>
      <c r="L269" s="439">
        <f>G268*L268</f>
        <v>750.75</v>
      </c>
      <c r="M269" s="1112"/>
      <c r="N269" s="1112"/>
      <c r="O269" s="1112"/>
      <c r="P269" s="1112"/>
      <c r="Q269" s="1112"/>
      <c r="R269" s="1112"/>
      <c r="S269" s="1112"/>
      <c r="T269" s="1134"/>
      <c r="U269" s="1138"/>
      <c r="V269" s="1112"/>
      <c r="W269" s="1112"/>
      <c r="X269" s="1112"/>
      <c r="Y269" s="1112"/>
      <c r="Z269" s="1112"/>
      <c r="AA269" s="1109"/>
      <c r="AB269" s="1109"/>
      <c r="AC269" s="1112"/>
      <c r="AD269" s="1112"/>
      <c r="AE269" s="436">
        <f t="shared" si="112"/>
        <v>0</v>
      </c>
      <c r="AF269" s="436">
        <f t="shared" si="113"/>
        <v>0</v>
      </c>
      <c r="AG269" s="436">
        <f t="shared" si="114"/>
        <v>0</v>
      </c>
      <c r="AH269" s="436">
        <f t="shared" si="115"/>
        <v>0</v>
      </c>
      <c r="AI269" s="436">
        <f t="shared" si="122"/>
        <v>0</v>
      </c>
      <c r="AJ269" s="436">
        <f t="shared" si="122"/>
        <v>0</v>
      </c>
      <c r="AK269" s="437">
        <f t="shared" si="116"/>
        <v>0</v>
      </c>
      <c r="AL269" s="437">
        <f t="shared" si="117"/>
        <v>0</v>
      </c>
      <c r="AM269" s="437">
        <f t="shared" si="118"/>
        <v>0</v>
      </c>
      <c r="AN269" s="437">
        <f t="shared" si="119"/>
        <v>0</v>
      </c>
      <c r="AO269" s="437">
        <f t="shared" si="120"/>
        <v>0</v>
      </c>
      <c r="AP269" s="437">
        <f t="shared" si="111"/>
        <v>0</v>
      </c>
      <c r="AQ269" s="437">
        <f t="shared" si="111"/>
        <v>0</v>
      </c>
      <c r="AR269" s="436"/>
      <c r="AS269" s="437">
        <f t="shared" si="121"/>
        <v>0</v>
      </c>
    </row>
    <row r="270" spans="1:45" s="438" customFormat="1" ht="24.95" customHeight="1">
      <c r="A270" s="1134"/>
      <c r="B270" s="1134"/>
      <c r="C270" s="1139" t="s">
        <v>564</v>
      </c>
      <c r="D270" s="1134" t="s">
        <v>601</v>
      </c>
      <c r="E270" s="1134" t="s">
        <v>673</v>
      </c>
      <c r="F270" s="1134">
        <v>9</v>
      </c>
      <c r="G270" s="1112">
        <v>5005</v>
      </c>
      <c r="H270" s="1112"/>
      <c r="I270" s="1112"/>
      <c r="J270" s="1112"/>
      <c r="K270" s="1112"/>
      <c r="L270" s="435">
        <v>0.15</v>
      </c>
      <c r="M270" s="1112"/>
      <c r="N270" s="1112">
        <f>G270+H271+L271</f>
        <v>5755.75</v>
      </c>
      <c r="O270" s="1112">
        <v>1</v>
      </c>
      <c r="P270" s="1112"/>
      <c r="Q270" s="1112"/>
      <c r="R270" s="1112"/>
      <c r="S270" s="1112"/>
      <c r="T270" s="1134">
        <v>14</v>
      </c>
      <c r="U270" s="1138">
        <v>0.2</v>
      </c>
      <c r="V270" s="1112">
        <f>N270*U270</f>
        <v>1151.1500000000001</v>
      </c>
      <c r="W270" s="1112"/>
      <c r="X270" s="1112">
        <f>(N270+V270)*O270+W270</f>
        <v>6906.9</v>
      </c>
      <c r="Y270" s="1112">
        <f>AB270</f>
        <v>6593.1</v>
      </c>
      <c r="Z270" s="1112">
        <f>X270+Y270</f>
        <v>13500</v>
      </c>
      <c r="AA270" s="1109">
        <f>13500*O270</f>
        <v>13500</v>
      </c>
      <c r="AB270" s="1109">
        <f>AA270-X270</f>
        <v>6593.1</v>
      </c>
      <c r="AC270" s="1112">
        <f>6500*O270</f>
        <v>6500</v>
      </c>
      <c r="AD270" s="1112"/>
      <c r="AE270" s="436">
        <f t="shared" si="112"/>
        <v>5005</v>
      </c>
      <c r="AF270" s="436">
        <f t="shared" si="113"/>
        <v>0</v>
      </c>
      <c r="AG270" s="436">
        <f t="shared" si="114"/>
        <v>5755.75</v>
      </c>
      <c r="AH270" s="436">
        <f t="shared" si="115"/>
        <v>0</v>
      </c>
      <c r="AI270" s="436">
        <f t="shared" si="122"/>
        <v>750.75</v>
      </c>
      <c r="AJ270" s="436">
        <f t="shared" si="122"/>
        <v>0</v>
      </c>
      <c r="AK270" s="437">
        <f t="shared" si="116"/>
        <v>1151.1500000000001</v>
      </c>
      <c r="AL270" s="437">
        <f t="shared" si="117"/>
        <v>0</v>
      </c>
      <c r="AM270" s="437">
        <f t="shared" si="118"/>
        <v>0</v>
      </c>
      <c r="AN270" s="437">
        <f t="shared" si="119"/>
        <v>0</v>
      </c>
      <c r="AO270" s="437">
        <f t="shared" si="120"/>
        <v>0</v>
      </c>
      <c r="AP270" s="437">
        <f t="shared" si="111"/>
        <v>5755.75</v>
      </c>
      <c r="AQ270" s="437">
        <f t="shared" si="111"/>
        <v>0</v>
      </c>
      <c r="AR270" s="436"/>
      <c r="AS270" s="437">
        <f t="shared" si="121"/>
        <v>5755.75</v>
      </c>
    </row>
    <row r="271" spans="1:45" s="438" customFormat="1" ht="24.95" customHeight="1">
      <c r="A271" s="1134"/>
      <c r="B271" s="1134"/>
      <c r="C271" s="1139"/>
      <c r="D271" s="1134"/>
      <c r="E271" s="1134"/>
      <c r="F271" s="1134"/>
      <c r="G271" s="1112"/>
      <c r="H271" s="1112"/>
      <c r="I271" s="1112"/>
      <c r="J271" s="1112"/>
      <c r="K271" s="1112"/>
      <c r="L271" s="439">
        <f>G270*L270</f>
        <v>750.75</v>
      </c>
      <c r="M271" s="1112"/>
      <c r="N271" s="1112"/>
      <c r="O271" s="1112"/>
      <c r="P271" s="1112"/>
      <c r="Q271" s="1112"/>
      <c r="R271" s="1112"/>
      <c r="S271" s="1112"/>
      <c r="T271" s="1134"/>
      <c r="U271" s="1138"/>
      <c r="V271" s="1112"/>
      <c r="W271" s="1112"/>
      <c r="X271" s="1112"/>
      <c r="Y271" s="1112"/>
      <c r="Z271" s="1112"/>
      <c r="AA271" s="1109"/>
      <c r="AB271" s="1109"/>
      <c r="AC271" s="1112"/>
      <c r="AD271" s="1112"/>
      <c r="AE271" s="436">
        <f t="shared" si="112"/>
        <v>0</v>
      </c>
      <c r="AF271" s="436">
        <f t="shared" si="113"/>
        <v>0</v>
      </c>
      <c r="AG271" s="436">
        <f t="shared" si="114"/>
        <v>0</v>
      </c>
      <c r="AH271" s="436">
        <f t="shared" si="115"/>
        <v>0</v>
      </c>
      <c r="AI271" s="436">
        <f t="shared" si="122"/>
        <v>0</v>
      </c>
      <c r="AJ271" s="436">
        <f t="shared" si="122"/>
        <v>0</v>
      </c>
      <c r="AK271" s="437">
        <f t="shared" si="116"/>
        <v>0</v>
      </c>
      <c r="AL271" s="437">
        <f t="shared" si="117"/>
        <v>0</v>
      </c>
      <c r="AM271" s="437">
        <f t="shared" si="118"/>
        <v>0</v>
      </c>
      <c r="AN271" s="437">
        <f t="shared" si="119"/>
        <v>0</v>
      </c>
      <c r="AO271" s="437">
        <f t="shared" si="120"/>
        <v>0</v>
      </c>
      <c r="AP271" s="437">
        <f t="shared" si="111"/>
        <v>0</v>
      </c>
      <c r="AQ271" s="437">
        <f t="shared" si="111"/>
        <v>0</v>
      </c>
      <c r="AR271" s="436"/>
      <c r="AS271" s="437">
        <f t="shared" si="121"/>
        <v>0</v>
      </c>
    </row>
    <row r="272" spans="1:45" s="438" customFormat="1" ht="24.95" customHeight="1">
      <c r="A272" s="1134"/>
      <c r="B272" s="1134"/>
      <c r="C272" s="1139" t="s">
        <v>564</v>
      </c>
      <c r="D272" s="1134" t="s">
        <v>618</v>
      </c>
      <c r="E272" s="1134" t="s">
        <v>631</v>
      </c>
      <c r="F272" s="1134">
        <v>9</v>
      </c>
      <c r="G272" s="1112">
        <v>5005</v>
      </c>
      <c r="H272" s="1112"/>
      <c r="I272" s="1112"/>
      <c r="J272" s="1112"/>
      <c r="K272" s="1112"/>
      <c r="L272" s="435">
        <v>0.15</v>
      </c>
      <c r="M272" s="1112"/>
      <c r="N272" s="1112">
        <f>G272+H273+L273</f>
        <v>5755.75</v>
      </c>
      <c r="O272" s="1112">
        <v>1</v>
      </c>
      <c r="P272" s="1112"/>
      <c r="Q272" s="1112"/>
      <c r="R272" s="1112"/>
      <c r="S272" s="1112"/>
      <c r="T272" s="1134">
        <v>27</v>
      </c>
      <c r="U272" s="1138">
        <v>0.3</v>
      </c>
      <c r="V272" s="1112">
        <f>N272*U272</f>
        <v>1726.7249999999999</v>
      </c>
      <c r="W272" s="1112"/>
      <c r="X272" s="1112">
        <f>(N272+V272)*O272+W272</f>
        <v>7482.4750000000004</v>
      </c>
      <c r="Y272" s="1112">
        <f>AB272</f>
        <v>6017.5249999999996</v>
      </c>
      <c r="Z272" s="1112">
        <f>X272+Y272</f>
        <v>13500</v>
      </c>
      <c r="AA272" s="1109">
        <f>13500*O272</f>
        <v>13500</v>
      </c>
      <c r="AB272" s="1109">
        <f>AA272-X272</f>
        <v>6017.5249999999996</v>
      </c>
      <c r="AC272" s="1112">
        <f>6500*O272</f>
        <v>6500</v>
      </c>
      <c r="AD272" s="1112"/>
      <c r="AE272" s="436">
        <f t="shared" si="112"/>
        <v>5005</v>
      </c>
      <c r="AF272" s="436">
        <f t="shared" si="113"/>
        <v>0</v>
      </c>
      <c r="AG272" s="436">
        <f t="shared" si="114"/>
        <v>5755.75</v>
      </c>
      <c r="AH272" s="436">
        <f t="shared" si="115"/>
        <v>0</v>
      </c>
      <c r="AI272" s="436">
        <f t="shared" si="122"/>
        <v>750.75</v>
      </c>
      <c r="AJ272" s="436">
        <f t="shared" si="122"/>
        <v>0</v>
      </c>
      <c r="AK272" s="437">
        <f t="shared" si="116"/>
        <v>1726.7249999999999</v>
      </c>
      <c r="AL272" s="437">
        <f t="shared" si="117"/>
        <v>0</v>
      </c>
      <c r="AM272" s="437">
        <f t="shared" si="118"/>
        <v>0</v>
      </c>
      <c r="AN272" s="437">
        <f t="shared" si="119"/>
        <v>0</v>
      </c>
      <c r="AO272" s="437">
        <f t="shared" si="120"/>
        <v>0</v>
      </c>
      <c r="AP272" s="437">
        <f t="shared" si="111"/>
        <v>5755.75</v>
      </c>
      <c r="AQ272" s="437">
        <f t="shared" si="111"/>
        <v>0</v>
      </c>
      <c r="AR272" s="436"/>
      <c r="AS272" s="437">
        <f t="shared" si="121"/>
        <v>5755.75</v>
      </c>
    </row>
    <row r="273" spans="1:46" s="438" customFormat="1" ht="24.95" customHeight="1">
      <c r="A273" s="1134"/>
      <c r="B273" s="1134"/>
      <c r="C273" s="1139"/>
      <c r="D273" s="1134"/>
      <c r="E273" s="1134"/>
      <c r="F273" s="1134"/>
      <c r="G273" s="1112"/>
      <c r="H273" s="1112"/>
      <c r="I273" s="1112"/>
      <c r="J273" s="1112"/>
      <c r="K273" s="1112"/>
      <c r="L273" s="439">
        <f>G272*L272</f>
        <v>750.75</v>
      </c>
      <c r="M273" s="1112"/>
      <c r="N273" s="1112"/>
      <c r="O273" s="1112"/>
      <c r="P273" s="1112"/>
      <c r="Q273" s="1112"/>
      <c r="R273" s="1112"/>
      <c r="S273" s="1112"/>
      <c r="T273" s="1134"/>
      <c r="U273" s="1138"/>
      <c r="V273" s="1112"/>
      <c r="W273" s="1112"/>
      <c r="X273" s="1112"/>
      <c r="Y273" s="1112"/>
      <c r="Z273" s="1112"/>
      <c r="AA273" s="1109"/>
      <c r="AB273" s="1109"/>
      <c r="AC273" s="1112"/>
      <c r="AD273" s="1112"/>
      <c r="AE273" s="436">
        <f t="shared" si="112"/>
        <v>0</v>
      </c>
      <c r="AF273" s="436">
        <f t="shared" si="113"/>
        <v>0</v>
      </c>
      <c r="AG273" s="436">
        <f t="shared" si="114"/>
        <v>0</v>
      </c>
      <c r="AH273" s="436">
        <f t="shared" si="115"/>
        <v>0</v>
      </c>
      <c r="AI273" s="436">
        <f t="shared" si="122"/>
        <v>0</v>
      </c>
      <c r="AJ273" s="436">
        <f t="shared" si="122"/>
        <v>0</v>
      </c>
      <c r="AK273" s="437">
        <f t="shared" si="116"/>
        <v>0</v>
      </c>
      <c r="AL273" s="437">
        <f t="shared" si="117"/>
        <v>0</v>
      </c>
      <c r="AM273" s="437">
        <f t="shared" si="118"/>
        <v>0</v>
      </c>
      <c r="AN273" s="437">
        <f t="shared" si="119"/>
        <v>0</v>
      </c>
      <c r="AO273" s="437">
        <f t="shared" si="120"/>
        <v>0</v>
      </c>
      <c r="AP273" s="437">
        <f t="shared" si="111"/>
        <v>0</v>
      </c>
      <c r="AQ273" s="437">
        <f t="shared" si="111"/>
        <v>0</v>
      </c>
      <c r="AR273" s="436"/>
      <c r="AS273" s="437">
        <f t="shared" si="121"/>
        <v>0</v>
      </c>
    </row>
    <row r="274" spans="1:46" s="438" customFormat="1" ht="24.95" customHeight="1">
      <c r="A274" s="1134"/>
      <c r="B274" s="1134"/>
      <c r="C274" s="1139" t="s">
        <v>564</v>
      </c>
      <c r="D274" s="1134" t="s">
        <v>665</v>
      </c>
      <c r="E274" s="1134" t="s">
        <v>676</v>
      </c>
      <c r="F274" s="1134">
        <v>9</v>
      </c>
      <c r="G274" s="1112">
        <v>5005</v>
      </c>
      <c r="H274" s="1112"/>
      <c r="I274" s="1138"/>
      <c r="J274" s="1138"/>
      <c r="K274" s="1112"/>
      <c r="L274" s="435">
        <v>0.15</v>
      </c>
      <c r="M274" s="1140"/>
      <c r="N274" s="1112">
        <f>G274+H275+K275+L275</f>
        <v>5755.75</v>
      </c>
      <c r="O274" s="1112">
        <v>1</v>
      </c>
      <c r="P274" s="1112"/>
      <c r="Q274" s="1140"/>
      <c r="R274" s="1140"/>
      <c r="S274" s="1140"/>
      <c r="T274" s="1134">
        <v>42</v>
      </c>
      <c r="U274" s="1138">
        <v>0.3</v>
      </c>
      <c r="V274" s="1112">
        <f>N274*U274</f>
        <v>1726.7249999999999</v>
      </c>
      <c r="W274" s="1112"/>
      <c r="X274" s="1112">
        <f>(N274+V274)*O274</f>
        <v>7482.4750000000004</v>
      </c>
      <c r="Y274" s="1112">
        <f>AB274</f>
        <v>6017.5249999999996</v>
      </c>
      <c r="Z274" s="1112">
        <f>X274+Y274</f>
        <v>13500</v>
      </c>
      <c r="AA274" s="1109">
        <f>13500*O274</f>
        <v>13500</v>
      </c>
      <c r="AB274" s="1109">
        <f>AA274-X274</f>
        <v>6017.5249999999996</v>
      </c>
      <c r="AC274" s="1112">
        <f>6500*O274</f>
        <v>6500</v>
      </c>
      <c r="AD274" s="1112"/>
      <c r="AE274" s="436">
        <f>G274*O274</f>
        <v>5005</v>
      </c>
      <c r="AF274" s="436">
        <f>G274*P274</f>
        <v>0</v>
      </c>
      <c r="AG274" s="436">
        <f>N274*O274</f>
        <v>5755.75</v>
      </c>
      <c r="AH274" s="436">
        <f>N274*P274</f>
        <v>0</v>
      </c>
      <c r="AI274" s="436">
        <f>AG274-AE274</f>
        <v>750.75</v>
      </c>
      <c r="AJ274" s="436">
        <f>AH274-AF274</f>
        <v>0</v>
      </c>
      <c r="AK274" s="437">
        <f>V274*O274</f>
        <v>1726.7249999999999</v>
      </c>
      <c r="AL274" s="437">
        <f>V274*P274</f>
        <v>0</v>
      </c>
      <c r="AM274" s="437">
        <f>W274</f>
        <v>0</v>
      </c>
      <c r="AN274" s="437">
        <f>S274*O274</f>
        <v>0</v>
      </c>
      <c r="AO274" s="437">
        <f>S274*P274</f>
        <v>0</v>
      </c>
      <c r="AP274" s="437">
        <f>AG274</f>
        <v>5755.75</v>
      </c>
      <c r="AQ274" s="437">
        <f>AH274</f>
        <v>0</v>
      </c>
      <c r="AR274" s="436"/>
      <c r="AS274" s="437">
        <f>AP274+AQ274-AR274</f>
        <v>5755.75</v>
      </c>
    </row>
    <row r="275" spans="1:46" s="438" customFormat="1" ht="24.95" customHeight="1">
      <c r="A275" s="1134"/>
      <c r="B275" s="1134"/>
      <c r="C275" s="1139"/>
      <c r="D275" s="1134"/>
      <c r="E275" s="1134"/>
      <c r="F275" s="1134"/>
      <c r="G275" s="1112"/>
      <c r="H275" s="1112"/>
      <c r="I275" s="1134"/>
      <c r="J275" s="1134"/>
      <c r="K275" s="1112"/>
      <c r="L275" s="439">
        <f>G274*L274</f>
        <v>750.75</v>
      </c>
      <c r="M275" s="1140"/>
      <c r="N275" s="1112"/>
      <c r="O275" s="1112"/>
      <c r="P275" s="1112"/>
      <c r="Q275" s="1140"/>
      <c r="R275" s="1140"/>
      <c r="S275" s="1140"/>
      <c r="T275" s="1134"/>
      <c r="U275" s="1138"/>
      <c r="V275" s="1112"/>
      <c r="W275" s="1112"/>
      <c r="X275" s="1112"/>
      <c r="Y275" s="1112"/>
      <c r="Z275" s="1112"/>
      <c r="AA275" s="1109"/>
      <c r="AB275" s="1109"/>
      <c r="AC275" s="1112"/>
      <c r="AD275" s="1112"/>
      <c r="AE275" s="436">
        <f>G275*O275</f>
        <v>0</v>
      </c>
      <c r="AF275" s="436">
        <f>G275*P275</f>
        <v>0</v>
      </c>
      <c r="AG275" s="436">
        <f>N275*O275</f>
        <v>0</v>
      </c>
      <c r="AH275" s="436">
        <f>N275*P275</f>
        <v>0</v>
      </c>
      <c r="AI275" s="436">
        <f>AG275-AE275</f>
        <v>0</v>
      </c>
      <c r="AJ275" s="436">
        <f>AH275-AF275</f>
        <v>0</v>
      </c>
      <c r="AK275" s="437">
        <f>V275*O275</f>
        <v>0</v>
      </c>
      <c r="AL275" s="437">
        <f>V275*P275</f>
        <v>0</v>
      </c>
      <c r="AM275" s="437">
        <f>W275</f>
        <v>0</v>
      </c>
      <c r="AN275" s="437">
        <f>S275*O275</f>
        <v>0</v>
      </c>
      <c r="AO275" s="437">
        <f>S275*P275</f>
        <v>0</v>
      </c>
      <c r="AP275" s="437">
        <f>AG275</f>
        <v>0</v>
      </c>
      <c r="AQ275" s="437">
        <f>AH275</f>
        <v>0</v>
      </c>
      <c r="AR275" s="436"/>
      <c r="AS275" s="437">
        <f>AP275+AQ275-AR275</f>
        <v>0</v>
      </c>
    </row>
    <row r="276" spans="1:46" s="438" customFormat="1" ht="24.95" customHeight="1">
      <c r="A276" s="1134"/>
      <c r="B276" s="1134"/>
      <c r="C276" s="1139" t="s">
        <v>612</v>
      </c>
      <c r="D276" s="1134" t="s">
        <v>613</v>
      </c>
      <c r="E276" s="1134" t="s">
        <v>614</v>
      </c>
      <c r="F276" s="1134">
        <v>10</v>
      </c>
      <c r="G276" s="1112">
        <v>5265</v>
      </c>
      <c r="H276" s="1112"/>
      <c r="I276" s="1112"/>
      <c r="J276" s="1112"/>
      <c r="K276" s="1112"/>
      <c r="L276" s="435">
        <v>0.15</v>
      </c>
      <c r="M276" s="1112"/>
      <c r="N276" s="1112">
        <f>G276+H277+L277</f>
        <v>6054.75</v>
      </c>
      <c r="O276" s="1112">
        <v>1</v>
      </c>
      <c r="P276" s="1112"/>
      <c r="Q276" s="1112"/>
      <c r="R276" s="1112"/>
      <c r="S276" s="1112"/>
      <c r="T276" s="1134">
        <v>27</v>
      </c>
      <c r="U276" s="1138">
        <v>0.3</v>
      </c>
      <c r="V276" s="1112">
        <f>N276*U276</f>
        <v>1816.425</v>
      </c>
      <c r="W276" s="1112"/>
      <c r="X276" s="1112">
        <f>(N276+V276)*O276+W276</f>
        <v>7871.1750000000002</v>
      </c>
      <c r="Y276" s="1112">
        <f>AB276</f>
        <v>5628.8249999999998</v>
      </c>
      <c r="Z276" s="1112">
        <f>X276+Y276</f>
        <v>13500</v>
      </c>
      <c r="AA276" s="1109">
        <f>13500*O276</f>
        <v>13500</v>
      </c>
      <c r="AB276" s="1109">
        <f>AA276-X276</f>
        <v>5628.8249999999998</v>
      </c>
      <c r="AC276" s="1112">
        <f>6500*O276</f>
        <v>6500</v>
      </c>
      <c r="AD276" s="1112"/>
      <c r="AE276" s="436">
        <f t="shared" si="112"/>
        <v>5265</v>
      </c>
      <c r="AF276" s="436">
        <f t="shared" si="113"/>
        <v>0</v>
      </c>
      <c r="AG276" s="436">
        <f t="shared" si="114"/>
        <v>6054.75</v>
      </c>
      <c r="AH276" s="436">
        <f t="shared" si="115"/>
        <v>0</v>
      </c>
      <c r="AI276" s="436">
        <f t="shared" si="122"/>
        <v>789.75</v>
      </c>
      <c r="AJ276" s="436">
        <f t="shared" si="122"/>
        <v>0</v>
      </c>
      <c r="AK276" s="437">
        <f t="shared" si="116"/>
        <v>1816.425</v>
      </c>
      <c r="AL276" s="437">
        <f t="shared" si="117"/>
        <v>0</v>
      </c>
      <c r="AM276" s="437">
        <f t="shared" si="118"/>
        <v>0</v>
      </c>
      <c r="AN276" s="437">
        <f t="shared" si="119"/>
        <v>0</v>
      </c>
      <c r="AO276" s="437">
        <f t="shared" si="120"/>
        <v>0</v>
      </c>
      <c r="AP276" s="437">
        <f t="shared" si="111"/>
        <v>6054.75</v>
      </c>
      <c r="AQ276" s="437">
        <f t="shared" si="111"/>
        <v>0</v>
      </c>
      <c r="AR276" s="436"/>
      <c r="AS276" s="437">
        <f t="shared" si="121"/>
        <v>6054.75</v>
      </c>
    </row>
    <row r="277" spans="1:46" s="438" customFormat="1" ht="24.95" customHeight="1">
      <c r="A277" s="1134"/>
      <c r="B277" s="1134"/>
      <c r="C277" s="1139"/>
      <c r="D277" s="1134"/>
      <c r="E277" s="1134"/>
      <c r="F277" s="1134"/>
      <c r="G277" s="1112"/>
      <c r="H277" s="1112"/>
      <c r="I277" s="1112"/>
      <c r="J277" s="1112"/>
      <c r="K277" s="1112"/>
      <c r="L277" s="439">
        <f>G276*L276</f>
        <v>789.75</v>
      </c>
      <c r="M277" s="1112"/>
      <c r="N277" s="1112"/>
      <c r="O277" s="1112"/>
      <c r="P277" s="1112"/>
      <c r="Q277" s="1112"/>
      <c r="R277" s="1112"/>
      <c r="S277" s="1112"/>
      <c r="T277" s="1134"/>
      <c r="U277" s="1138"/>
      <c r="V277" s="1112"/>
      <c r="W277" s="1112"/>
      <c r="X277" s="1112"/>
      <c r="Y277" s="1112"/>
      <c r="Z277" s="1112"/>
      <c r="AA277" s="1109"/>
      <c r="AB277" s="1109"/>
      <c r="AC277" s="1112"/>
      <c r="AD277" s="1112"/>
      <c r="AE277" s="436">
        <f t="shared" si="112"/>
        <v>0</v>
      </c>
      <c r="AF277" s="436">
        <f t="shared" si="113"/>
        <v>0</v>
      </c>
      <c r="AG277" s="436">
        <f t="shared" si="114"/>
        <v>0</v>
      </c>
      <c r="AH277" s="436">
        <f t="shared" si="115"/>
        <v>0</v>
      </c>
      <c r="AI277" s="436">
        <f t="shared" si="122"/>
        <v>0</v>
      </c>
      <c r="AJ277" s="436">
        <f t="shared" si="122"/>
        <v>0</v>
      </c>
      <c r="AK277" s="437">
        <f t="shared" si="116"/>
        <v>0</v>
      </c>
      <c r="AL277" s="437">
        <f t="shared" si="117"/>
        <v>0</v>
      </c>
      <c r="AM277" s="437">
        <f t="shared" si="118"/>
        <v>0</v>
      </c>
      <c r="AN277" s="437">
        <f t="shared" si="119"/>
        <v>0</v>
      </c>
      <c r="AO277" s="437">
        <f t="shared" si="120"/>
        <v>0</v>
      </c>
      <c r="AP277" s="437">
        <f t="shared" si="111"/>
        <v>0</v>
      </c>
      <c r="AQ277" s="437">
        <f t="shared" si="111"/>
        <v>0</v>
      </c>
      <c r="AR277" s="436"/>
      <c r="AS277" s="437">
        <f t="shared" si="121"/>
        <v>0</v>
      </c>
    </row>
    <row r="278" spans="1:46" s="438" customFormat="1" ht="24.95" customHeight="1">
      <c r="A278" s="1134"/>
      <c r="B278" s="1134"/>
      <c r="C278" s="1139" t="s">
        <v>612</v>
      </c>
      <c r="D278" s="1134" t="s">
        <v>681</v>
      </c>
      <c r="E278" s="1134" t="s">
        <v>682</v>
      </c>
      <c r="F278" s="1134">
        <v>10</v>
      </c>
      <c r="G278" s="1112">
        <v>5265</v>
      </c>
      <c r="H278" s="1112"/>
      <c r="I278" s="1112"/>
      <c r="J278" s="1112"/>
      <c r="K278" s="1112"/>
      <c r="L278" s="435">
        <v>0.15</v>
      </c>
      <c r="M278" s="1140"/>
      <c r="N278" s="1112">
        <f>G278+H279+L279</f>
        <v>6054.75</v>
      </c>
      <c r="O278" s="1112">
        <v>1</v>
      </c>
      <c r="P278" s="1112"/>
      <c r="Q278" s="1140"/>
      <c r="R278" s="1140"/>
      <c r="S278" s="1140"/>
      <c r="T278" s="1134">
        <v>33</v>
      </c>
      <c r="U278" s="1138">
        <v>0.3</v>
      </c>
      <c r="V278" s="1112">
        <f>N278*U278</f>
        <v>1816.425</v>
      </c>
      <c r="W278" s="1112"/>
      <c r="X278" s="1112">
        <f>(N278+V278)*O278+W278</f>
        <v>7871.1750000000002</v>
      </c>
      <c r="Y278" s="1112">
        <f>AB278</f>
        <v>5628.8249999999998</v>
      </c>
      <c r="Z278" s="1112">
        <f>X278+Y278</f>
        <v>13500</v>
      </c>
      <c r="AA278" s="1109">
        <f>13500*O278</f>
        <v>13500</v>
      </c>
      <c r="AB278" s="1109">
        <f>AA278-X278</f>
        <v>5628.8249999999998</v>
      </c>
      <c r="AC278" s="1112">
        <f>6500*O278</f>
        <v>6500</v>
      </c>
      <c r="AD278" s="1112"/>
      <c r="AE278" s="436">
        <f t="shared" si="112"/>
        <v>5265</v>
      </c>
      <c r="AF278" s="436">
        <f t="shared" si="113"/>
        <v>0</v>
      </c>
      <c r="AG278" s="436">
        <f t="shared" si="114"/>
        <v>6054.75</v>
      </c>
      <c r="AH278" s="436">
        <f t="shared" si="115"/>
        <v>0</v>
      </c>
      <c r="AI278" s="436">
        <f t="shared" si="122"/>
        <v>789.75</v>
      </c>
      <c r="AJ278" s="436">
        <f t="shared" si="122"/>
        <v>0</v>
      </c>
      <c r="AK278" s="437">
        <f t="shared" si="116"/>
        <v>1816.425</v>
      </c>
      <c r="AL278" s="437">
        <f t="shared" si="117"/>
        <v>0</v>
      </c>
      <c r="AM278" s="437">
        <f t="shared" si="118"/>
        <v>0</v>
      </c>
      <c r="AN278" s="437">
        <f t="shared" si="119"/>
        <v>0</v>
      </c>
      <c r="AO278" s="437">
        <f t="shared" si="120"/>
        <v>0</v>
      </c>
      <c r="AP278" s="437">
        <f t="shared" si="111"/>
        <v>6054.75</v>
      </c>
      <c r="AQ278" s="437">
        <f t="shared" si="111"/>
        <v>0</v>
      </c>
      <c r="AR278" s="436"/>
      <c r="AS278" s="437">
        <f t="shared" si="121"/>
        <v>6054.75</v>
      </c>
    </row>
    <row r="279" spans="1:46" s="438" customFormat="1" ht="24.95" customHeight="1">
      <c r="A279" s="1134"/>
      <c r="B279" s="1134"/>
      <c r="C279" s="1139"/>
      <c r="D279" s="1134"/>
      <c r="E279" s="1134"/>
      <c r="F279" s="1134"/>
      <c r="G279" s="1112"/>
      <c r="H279" s="1112"/>
      <c r="I279" s="1112"/>
      <c r="J279" s="1112"/>
      <c r="K279" s="1112"/>
      <c r="L279" s="439">
        <f>G278*L278</f>
        <v>789.75</v>
      </c>
      <c r="M279" s="1140"/>
      <c r="N279" s="1112"/>
      <c r="O279" s="1112"/>
      <c r="P279" s="1112"/>
      <c r="Q279" s="1140"/>
      <c r="R279" s="1140"/>
      <c r="S279" s="1140"/>
      <c r="T279" s="1134"/>
      <c r="U279" s="1138"/>
      <c r="V279" s="1112"/>
      <c r="W279" s="1112"/>
      <c r="X279" s="1112"/>
      <c r="Y279" s="1112"/>
      <c r="Z279" s="1112"/>
      <c r="AA279" s="1109"/>
      <c r="AB279" s="1109"/>
      <c r="AC279" s="1112"/>
      <c r="AD279" s="1112"/>
      <c r="AE279" s="436">
        <f t="shared" si="112"/>
        <v>0</v>
      </c>
      <c r="AF279" s="436">
        <f t="shared" si="113"/>
        <v>0</v>
      </c>
      <c r="AG279" s="436">
        <f t="shared" si="114"/>
        <v>0</v>
      </c>
      <c r="AH279" s="436">
        <f t="shared" si="115"/>
        <v>0</v>
      </c>
      <c r="AI279" s="436">
        <f t="shared" si="122"/>
        <v>0</v>
      </c>
      <c r="AJ279" s="436">
        <f t="shared" si="122"/>
        <v>0</v>
      </c>
      <c r="AK279" s="437">
        <f t="shared" si="116"/>
        <v>0</v>
      </c>
      <c r="AL279" s="437">
        <f t="shared" si="117"/>
        <v>0</v>
      </c>
      <c r="AM279" s="437">
        <f t="shared" si="118"/>
        <v>0</v>
      </c>
      <c r="AN279" s="437">
        <f t="shared" si="119"/>
        <v>0</v>
      </c>
      <c r="AO279" s="437">
        <f t="shared" si="120"/>
        <v>0</v>
      </c>
      <c r="AP279" s="437">
        <f t="shared" si="111"/>
        <v>0</v>
      </c>
      <c r="AQ279" s="437">
        <f t="shared" si="111"/>
        <v>0</v>
      </c>
      <c r="AR279" s="436"/>
      <c r="AS279" s="437">
        <f t="shared" si="121"/>
        <v>0</v>
      </c>
    </row>
    <row r="280" spans="1:46" s="446" customFormat="1" ht="24.95" customHeight="1">
      <c r="A280" s="441"/>
      <c r="B280" s="441"/>
      <c r="C280" s="442" t="s">
        <v>318</v>
      </c>
      <c r="D280" s="443"/>
      <c r="E280" s="441"/>
      <c r="F280" s="441"/>
      <c r="G280" s="444">
        <f>SUM(G250:G279)</f>
        <v>74265</v>
      </c>
      <c r="H280" s="444">
        <f>H251</f>
        <v>500.5</v>
      </c>
      <c r="I280" s="444"/>
      <c r="J280" s="444"/>
      <c r="K280" s="444"/>
      <c r="L280" s="444">
        <f>L251+L253+L255+L257+L259+L261+L263+L265+L267+L269+L271+L279</f>
        <v>8923.5750000000007</v>
      </c>
      <c r="M280" s="444">
        <f>SUM(M250:M279)</f>
        <v>0</v>
      </c>
      <c r="N280" s="444">
        <f>SUM(N250:N279)</f>
        <v>85980.324999999997</v>
      </c>
      <c r="O280" s="444">
        <f>SUM(O250:O279)</f>
        <v>15</v>
      </c>
      <c r="P280" s="444">
        <f>SUM(P250:P279)</f>
        <v>0</v>
      </c>
      <c r="Q280" s="444"/>
      <c r="R280" s="444"/>
      <c r="S280" s="444"/>
      <c r="T280" s="444"/>
      <c r="U280" s="444"/>
      <c r="V280" s="444">
        <f t="shared" ref="V280:AO280" si="123">SUM(V250:V279)</f>
        <v>23644.747499999998</v>
      </c>
      <c r="W280" s="444">
        <f t="shared" si="123"/>
        <v>710.9</v>
      </c>
      <c r="X280" s="444">
        <f t="shared" si="123"/>
        <v>110335.9725</v>
      </c>
      <c r="Y280" s="444">
        <f>SUM(Y250:Y279)</f>
        <v>92164.027499999997</v>
      </c>
      <c r="Z280" s="444">
        <f>SUM(Z250:Z279)</f>
        <v>202500</v>
      </c>
      <c r="AA280" s="499">
        <f>SUM(AA250:AA279)</f>
        <v>202500</v>
      </c>
      <c r="AB280" s="499">
        <f>SUM(AB250:AB279)</f>
        <v>92164.027499999997</v>
      </c>
      <c r="AC280" s="444">
        <f t="shared" si="123"/>
        <v>97500</v>
      </c>
      <c r="AD280" s="444">
        <f t="shared" si="123"/>
        <v>710.9</v>
      </c>
      <c r="AE280" s="444">
        <f t="shared" si="123"/>
        <v>74265</v>
      </c>
      <c r="AF280" s="444">
        <f t="shared" si="123"/>
        <v>0</v>
      </c>
      <c r="AG280" s="444">
        <f t="shared" si="123"/>
        <v>85980.324999999997</v>
      </c>
      <c r="AH280" s="444">
        <f t="shared" si="123"/>
        <v>0</v>
      </c>
      <c r="AI280" s="444">
        <f t="shared" si="123"/>
        <v>11715.325000000001</v>
      </c>
      <c r="AJ280" s="444">
        <f t="shared" si="123"/>
        <v>0</v>
      </c>
      <c r="AK280" s="444">
        <f t="shared" si="123"/>
        <v>23644.747499999998</v>
      </c>
      <c r="AL280" s="444">
        <f t="shared" si="123"/>
        <v>0</v>
      </c>
      <c r="AM280" s="444">
        <f t="shared" si="123"/>
        <v>710.9</v>
      </c>
      <c r="AN280" s="444">
        <f t="shared" si="123"/>
        <v>0</v>
      </c>
      <c r="AO280" s="444">
        <f t="shared" si="123"/>
        <v>0</v>
      </c>
      <c r="AP280" s="444"/>
      <c r="AQ280" s="444"/>
      <c r="AR280" s="444"/>
      <c r="AS280" s="444"/>
      <c r="AT280" s="457"/>
    </row>
    <row r="281" spans="1:46" s="456" customFormat="1" ht="24.95" customHeight="1">
      <c r="A281" s="455"/>
      <c r="B281" s="455"/>
      <c r="C281" s="1136" t="s">
        <v>1028</v>
      </c>
      <c r="D281" s="1136"/>
      <c r="E281" s="455"/>
      <c r="F281" s="455"/>
      <c r="G281" s="455"/>
      <c r="H281" s="455"/>
      <c r="I281" s="455"/>
      <c r="J281" s="455"/>
      <c r="K281" s="455"/>
      <c r="L281" s="455"/>
      <c r="M281" s="455"/>
      <c r="N281" s="455"/>
      <c r="O281" s="455"/>
      <c r="P281" s="455"/>
      <c r="Q281" s="455"/>
      <c r="R281" s="455"/>
      <c r="S281" s="455"/>
      <c r="T281" s="455"/>
      <c r="U281" s="455"/>
      <c r="V281" s="455"/>
      <c r="W281" s="455"/>
      <c r="X281" s="455"/>
      <c r="Y281" s="455"/>
      <c r="Z281" s="455"/>
      <c r="AA281" s="504"/>
      <c r="AB281" s="504"/>
      <c r="AC281" s="455"/>
      <c r="AD281" s="455"/>
      <c r="AE281" s="436">
        <f t="shared" si="97"/>
        <v>0</v>
      </c>
      <c r="AF281" s="436">
        <f t="shared" si="98"/>
        <v>0</v>
      </c>
      <c r="AG281" s="436">
        <f t="shared" si="99"/>
        <v>0</v>
      </c>
      <c r="AH281" s="436">
        <f t="shared" si="100"/>
        <v>0</v>
      </c>
      <c r="AI281" s="436">
        <f>AG281-AE281</f>
        <v>0</v>
      </c>
      <c r="AJ281" s="436">
        <f t="shared" si="108"/>
        <v>0</v>
      </c>
      <c r="AK281" s="437">
        <f t="shared" si="102"/>
        <v>0</v>
      </c>
      <c r="AL281" s="437">
        <f t="shared" si="103"/>
        <v>0</v>
      </c>
      <c r="AM281" s="437">
        <f t="shared" si="104"/>
        <v>0</v>
      </c>
      <c r="AN281" s="437">
        <f t="shared" si="105"/>
        <v>0</v>
      </c>
      <c r="AO281" s="437">
        <f t="shared" si="106"/>
        <v>0</v>
      </c>
      <c r="AP281" s="437">
        <f t="shared" ref="AP281:AQ300" si="124">AG281</f>
        <v>0</v>
      </c>
      <c r="AQ281" s="437">
        <f t="shared" si="124"/>
        <v>0</v>
      </c>
      <c r="AR281" s="436"/>
      <c r="AS281" s="437">
        <f t="shared" si="95"/>
        <v>0</v>
      </c>
      <c r="AT281" s="457"/>
    </row>
    <row r="282" spans="1:46" s="438" customFormat="1" ht="24.95" customHeight="1">
      <c r="A282" s="1134"/>
      <c r="B282" s="1134"/>
      <c r="C282" s="1139" t="s">
        <v>590</v>
      </c>
      <c r="D282" s="1134" t="s">
        <v>1053</v>
      </c>
      <c r="E282" s="1134" t="s">
        <v>634</v>
      </c>
      <c r="F282" s="1134">
        <v>8</v>
      </c>
      <c r="G282" s="1112">
        <v>4745</v>
      </c>
      <c r="H282" s="435">
        <v>0.1</v>
      </c>
      <c r="I282" s="1140"/>
      <c r="J282" s="1140"/>
      <c r="K282" s="1140"/>
      <c r="L282" s="1140"/>
      <c r="M282" s="1140"/>
      <c r="N282" s="1112">
        <f>G282+H283+K283</f>
        <v>5219.5</v>
      </c>
      <c r="O282" s="1112">
        <v>1</v>
      </c>
      <c r="P282" s="1140"/>
      <c r="Q282" s="1140"/>
      <c r="R282" s="1140"/>
      <c r="S282" s="1140"/>
      <c r="T282" s="1134">
        <v>18</v>
      </c>
      <c r="U282" s="1138">
        <v>0.2</v>
      </c>
      <c r="V282" s="1112">
        <f>N282*U282</f>
        <v>1043.9000000000001</v>
      </c>
      <c r="W282" s="1112">
        <f>AD282</f>
        <v>236.59999999999991</v>
      </c>
      <c r="X282" s="1112">
        <f>(N282+V282)*O282+W282</f>
        <v>6500</v>
      </c>
      <c r="Y282" s="1112">
        <f>AB282</f>
        <v>7000</v>
      </c>
      <c r="Z282" s="1112">
        <f>X282+Y282</f>
        <v>13500</v>
      </c>
      <c r="AA282" s="1109">
        <f>13500*O282</f>
        <v>13500</v>
      </c>
      <c r="AB282" s="1109">
        <f>AA282-X282</f>
        <v>7000</v>
      </c>
      <c r="AC282" s="1112">
        <f>6500*O282</f>
        <v>6500</v>
      </c>
      <c r="AD282" s="1112">
        <f>AC282-(N282*O282)-V282</f>
        <v>236.59999999999991</v>
      </c>
      <c r="AE282" s="436">
        <f t="shared" si="97"/>
        <v>4745</v>
      </c>
      <c r="AF282" s="436">
        <f t="shared" si="98"/>
        <v>0</v>
      </c>
      <c r="AG282" s="436">
        <f t="shared" si="99"/>
        <v>5219.5</v>
      </c>
      <c r="AH282" s="436">
        <f t="shared" si="100"/>
        <v>0</v>
      </c>
      <c r="AI282" s="436">
        <f>AG282-AE282</f>
        <v>474.5</v>
      </c>
      <c r="AJ282" s="436">
        <f t="shared" si="108"/>
        <v>0</v>
      </c>
      <c r="AK282" s="437">
        <f t="shared" si="102"/>
        <v>1043.9000000000001</v>
      </c>
      <c r="AL282" s="437">
        <f t="shared" si="103"/>
        <v>0</v>
      </c>
      <c r="AM282" s="437">
        <f t="shared" si="104"/>
        <v>236.59999999999991</v>
      </c>
      <c r="AN282" s="437">
        <f t="shared" si="105"/>
        <v>0</v>
      </c>
      <c r="AO282" s="437">
        <f t="shared" si="106"/>
        <v>0</v>
      </c>
      <c r="AP282" s="437">
        <f t="shared" si="124"/>
        <v>5219.5</v>
      </c>
      <c r="AQ282" s="437">
        <f t="shared" si="124"/>
        <v>0</v>
      </c>
      <c r="AR282" s="436"/>
      <c r="AS282" s="437">
        <f t="shared" si="95"/>
        <v>5219.5</v>
      </c>
    </row>
    <row r="283" spans="1:46" s="438" customFormat="1" ht="24.95" customHeight="1">
      <c r="A283" s="1134"/>
      <c r="B283" s="1134"/>
      <c r="C283" s="1139"/>
      <c r="D283" s="1134"/>
      <c r="E283" s="1134"/>
      <c r="F283" s="1134"/>
      <c r="G283" s="1112"/>
      <c r="H283" s="449">
        <f>G282*H282</f>
        <v>474.5</v>
      </c>
      <c r="I283" s="1140"/>
      <c r="J283" s="1140"/>
      <c r="K283" s="1140"/>
      <c r="L283" s="1140"/>
      <c r="M283" s="1140"/>
      <c r="N283" s="1112"/>
      <c r="O283" s="1112"/>
      <c r="P283" s="1140"/>
      <c r="Q283" s="1140"/>
      <c r="R283" s="1140"/>
      <c r="S283" s="1140"/>
      <c r="T283" s="1134"/>
      <c r="U283" s="1138"/>
      <c r="V283" s="1112"/>
      <c r="W283" s="1112"/>
      <c r="X283" s="1112"/>
      <c r="Y283" s="1112"/>
      <c r="Z283" s="1112"/>
      <c r="AA283" s="1109"/>
      <c r="AB283" s="1109"/>
      <c r="AC283" s="1112"/>
      <c r="AD283" s="1112"/>
      <c r="AE283" s="436">
        <f t="shared" si="97"/>
        <v>0</v>
      </c>
      <c r="AF283" s="436">
        <f t="shared" si="98"/>
        <v>0</v>
      </c>
      <c r="AG283" s="436">
        <f t="shared" si="99"/>
        <v>0</v>
      </c>
      <c r="AH283" s="436">
        <f t="shared" si="100"/>
        <v>0</v>
      </c>
      <c r="AI283" s="436">
        <f>AG283-AE283</f>
        <v>0</v>
      </c>
      <c r="AJ283" s="436">
        <f t="shared" si="108"/>
        <v>0</v>
      </c>
      <c r="AK283" s="437">
        <f t="shared" si="102"/>
        <v>0</v>
      </c>
      <c r="AL283" s="437">
        <f t="shared" si="103"/>
        <v>0</v>
      </c>
      <c r="AM283" s="437">
        <f t="shared" si="104"/>
        <v>0</v>
      </c>
      <c r="AN283" s="437">
        <f t="shared" si="105"/>
        <v>0</v>
      </c>
      <c r="AO283" s="437">
        <f t="shared" si="106"/>
        <v>0</v>
      </c>
      <c r="AP283" s="437">
        <f t="shared" si="124"/>
        <v>0</v>
      </c>
      <c r="AQ283" s="437">
        <f t="shared" si="124"/>
        <v>0</v>
      </c>
      <c r="AR283" s="436"/>
      <c r="AS283" s="437">
        <f t="shared" si="95"/>
        <v>0</v>
      </c>
    </row>
    <row r="284" spans="1:46" s="438" customFormat="1" ht="24.95" customHeight="1">
      <c r="A284" s="1134"/>
      <c r="B284" s="1134"/>
      <c r="C284" s="1139" t="s">
        <v>615</v>
      </c>
      <c r="D284" s="1134" t="s">
        <v>635</v>
      </c>
      <c r="E284" s="1134" t="s">
        <v>636</v>
      </c>
      <c r="F284" s="1134">
        <v>9</v>
      </c>
      <c r="G284" s="1112">
        <v>5005</v>
      </c>
      <c r="H284" s="1112"/>
      <c r="I284" s="1112"/>
      <c r="J284" s="1112"/>
      <c r="K284" s="1112"/>
      <c r="L284" s="1112"/>
      <c r="M284" s="1140"/>
      <c r="N284" s="1112">
        <f>G284+H285+K285+L285</f>
        <v>5005</v>
      </c>
      <c r="O284" s="1112">
        <v>1</v>
      </c>
      <c r="P284" s="1112"/>
      <c r="Q284" s="1140"/>
      <c r="R284" s="1140"/>
      <c r="S284" s="1140"/>
      <c r="T284" s="1134">
        <v>29</v>
      </c>
      <c r="U284" s="1138">
        <v>0.3</v>
      </c>
      <c r="V284" s="1112">
        <f>N284*U284</f>
        <v>1501.5</v>
      </c>
      <c r="W284" s="1112"/>
      <c r="X284" s="1112">
        <f>(N284+V284)*O284+W284</f>
        <v>6506.5</v>
      </c>
      <c r="Y284" s="1112">
        <f>AB284</f>
        <v>6993.5</v>
      </c>
      <c r="Z284" s="1112">
        <f>X284+Y284</f>
        <v>13500</v>
      </c>
      <c r="AA284" s="1109">
        <f>13500*O284</f>
        <v>13500</v>
      </c>
      <c r="AB284" s="1109">
        <f>AA284-X284</f>
        <v>6993.5</v>
      </c>
      <c r="AC284" s="1112">
        <f>6500*O284</f>
        <v>6500</v>
      </c>
      <c r="AD284" s="1112"/>
      <c r="AE284" s="436">
        <f t="shared" si="97"/>
        <v>5005</v>
      </c>
      <c r="AF284" s="436">
        <f t="shared" si="98"/>
        <v>0</v>
      </c>
      <c r="AG284" s="436">
        <f t="shared" si="99"/>
        <v>5005</v>
      </c>
      <c r="AH284" s="436">
        <f t="shared" si="100"/>
        <v>0</v>
      </c>
      <c r="AI284" s="436">
        <f>AG284-AE284</f>
        <v>0</v>
      </c>
      <c r="AJ284" s="436">
        <f t="shared" si="108"/>
        <v>0</v>
      </c>
      <c r="AK284" s="437">
        <f t="shared" si="102"/>
        <v>1501.5</v>
      </c>
      <c r="AL284" s="437">
        <f t="shared" si="103"/>
        <v>0</v>
      </c>
      <c r="AM284" s="437">
        <f t="shared" si="104"/>
        <v>0</v>
      </c>
      <c r="AN284" s="437">
        <f t="shared" si="105"/>
        <v>0</v>
      </c>
      <c r="AO284" s="437">
        <f t="shared" si="106"/>
        <v>0</v>
      </c>
      <c r="AP284" s="437">
        <f t="shared" si="124"/>
        <v>5005</v>
      </c>
      <c r="AQ284" s="437">
        <f t="shared" si="124"/>
        <v>0</v>
      </c>
      <c r="AR284" s="436"/>
      <c r="AS284" s="437">
        <f t="shared" si="95"/>
        <v>5005</v>
      </c>
    </row>
    <row r="285" spans="1:46" s="438" customFormat="1" ht="24.95" customHeight="1">
      <c r="A285" s="1134"/>
      <c r="B285" s="1134"/>
      <c r="C285" s="1139"/>
      <c r="D285" s="1134"/>
      <c r="E285" s="1134"/>
      <c r="F285" s="1134"/>
      <c r="G285" s="1112"/>
      <c r="H285" s="1112"/>
      <c r="I285" s="1112"/>
      <c r="J285" s="1112"/>
      <c r="K285" s="1112"/>
      <c r="L285" s="1112"/>
      <c r="M285" s="1140"/>
      <c r="N285" s="1112"/>
      <c r="O285" s="1112"/>
      <c r="P285" s="1112"/>
      <c r="Q285" s="1140"/>
      <c r="R285" s="1140"/>
      <c r="S285" s="1140"/>
      <c r="T285" s="1134"/>
      <c r="U285" s="1138"/>
      <c r="V285" s="1112"/>
      <c r="W285" s="1112"/>
      <c r="X285" s="1112"/>
      <c r="Y285" s="1112"/>
      <c r="Z285" s="1112"/>
      <c r="AA285" s="1109"/>
      <c r="AB285" s="1109"/>
      <c r="AC285" s="1112"/>
      <c r="AD285" s="1112"/>
      <c r="AE285" s="436">
        <f t="shared" si="97"/>
        <v>0</v>
      </c>
      <c r="AF285" s="436">
        <f t="shared" si="98"/>
        <v>0</v>
      </c>
      <c r="AG285" s="436">
        <f t="shared" si="99"/>
        <v>0</v>
      </c>
      <c r="AH285" s="436">
        <f t="shared" si="100"/>
        <v>0</v>
      </c>
      <c r="AI285" s="436">
        <f>AG285-AE285</f>
        <v>0</v>
      </c>
      <c r="AJ285" s="436">
        <f t="shared" si="108"/>
        <v>0</v>
      </c>
      <c r="AK285" s="437">
        <f t="shared" si="102"/>
        <v>0</v>
      </c>
      <c r="AL285" s="437">
        <f t="shared" si="103"/>
        <v>0</v>
      </c>
      <c r="AM285" s="437">
        <f t="shared" si="104"/>
        <v>0</v>
      </c>
      <c r="AN285" s="437">
        <f t="shared" si="105"/>
        <v>0</v>
      </c>
      <c r="AO285" s="437">
        <f t="shared" si="106"/>
        <v>0</v>
      </c>
      <c r="AP285" s="437">
        <f t="shared" si="124"/>
        <v>0</v>
      </c>
      <c r="AQ285" s="437">
        <f t="shared" si="124"/>
        <v>0</v>
      </c>
      <c r="AR285" s="436"/>
      <c r="AS285" s="437">
        <f t="shared" si="95"/>
        <v>0</v>
      </c>
    </row>
    <row r="286" spans="1:46" s="438" customFormat="1" ht="24.95" customHeight="1">
      <c r="A286" s="1134"/>
      <c r="B286" s="1134"/>
      <c r="C286" s="1139" t="s">
        <v>564</v>
      </c>
      <c r="D286" s="1134" t="s">
        <v>641</v>
      </c>
      <c r="E286" s="1134" t="s">
        <v>642</v>
      </c>
      <c r="F286" s="1134">
        <v>8</v>
      </c>
      <c r="G286" s="1112">
        <v>4745</v>
      </c>
      <c r="H286" s="1112"/>
      <c r="I286" s="1112"/>
      <c r="J286" s="1112"/>
      <c r="K286" s="1112"/>
      <c r="L286" s="1112"/>
      <c r="M286" s="1112"/>
      <c r="N286" s="1112">
        <f>G286+H287</f>
        <v>4745</v>
      </c>
      <c r="O286" s="1112">
        <v>1</v>
      </c>
      <c r="P286" s="1112"/>
      <c r="Q286" s="1112"/>
      <c r="R286" s="1112"/>
      <c r="S286" s="1112"/>
      <c r="T286" s="1134">
        <v>12</v>
      </c>
      <c r="U286" s="1138">
        <v>0.2</v>
      </c>
      <c r="V286" s="1112">
        <f>N286*U286</f>
        <v>949</v>
      </c>
      <c r="W286" s="1112">
        <f>AD286</f>
        <v>806</v>
      </c>
      <c r="X286" s="1112">
        <f>(N286+V286)*O286+W286</f>
        <v>6500</v>
      </c>
      <c r="Y286" s="1112">
        <f>AB286</f>
        <v>7000</v>
      </c>
      <c r="Z286" s="1112">
        <f>X286+Y286</f>
        <v>13500</v>
      </c>
      <c r="AA286" s="1109">
        <f>13500*O286</f>
        <v>13500</v>
      </c>
      <c r="AB286" s="1109">
        <f>AA286-X286</f>
        <v>7000</v>
      </c>
      <c r="AC286" s="1112">
        <f>6500*O286</f>
        <v>6500</v>
      </c>
      <c r="AD286" s="1112">
        <f>AC286-(N286*O286)-V286</f>
        <v>806</v>
      </c>
      <c r="AE286" s="436">
        <f t="shared" si="97"/>
        <v>4745</v>
      </c>
      <c r="AF286" s="436">
        <f t="shared" si="98"/>
        <v>0</v>
      </c>
      <c r="AG286" s="436">
        <f t="shared" si="99"/>
        <v>4745</v>
      </c>
      <c r="AH286" s="436">
        <f t="shared" si="100"/>
        <v>0</v>
      </c>
      <c r="AI286" s="436">
        <f t="shared" ref="AI286:AI295" si="125">AG286-AE286</f>
        <v>0</v>
      </c>
      <c r="AJ286" s="436">
        <f t="shared" si="108"/>
        <v>0</v>
      </c>
      <c r="AK286" s="437">
        <f t="shared" si="102"/>
        <v>949</v>
      </c>
      <c r="AL286" s="437">
        <f t="shared" si="103"/>
        <v>0</v>
      </c>
      <c r="AM286" s="437">
        <f t="shared" si="104"/>
        <v>806</v>
      </c>
      <c r="AN286" s="437">
        <f t="shared" si="105"/>
        <v>0</v>
      </c>
      <c r="AO286" s="437">
        <f t="shared" si="106"/>
        <v>0</v>
      </c>
      <c r="AP286" s="437">
        <f t="shared" si="124"/>
        <v>4745</v>
      </c>
      <c r="AQ286" s="437">
        <f t="shared" si="124"/>
        <v>0</v>
      </c>
      <c r="AR286" s="436"/>
      <c r="AS286" s="437">
        <f t="shared" ref="AS286:AS357" si="126">AP286+AQ286-AR286</f>
        <v>4745</v>
      </c>
    </row>
    <row r="287" spans="1:46" s="438" customFormat="1" ht="24.95" customHeight="1">
      <c r="A287" s="1134"/>
      <c r="B287" s="1134"/>
      <c r="C287" s="1139"/>
      <c r="D287" s="1134"/>
      <c r="E287" s="1134"/>
      <c r="F287" s="1134"/>
      <c r="G287" s="1112"/>
      <c r="H287" s="1112"/>
      <c r="I287" s="1112"/>
      <c r="J287" s="1112"/>
      <c r="K287" s="1112"/>
      <c r="L287" s="1112"/>
      <c r="M287" s="1112"/>
      <c r="N287" s="1112"/>
      <c r="O287" s="1112"/>
      <c r="P287" s="1112"/>
      <c r="Q287" s="1112"/>
      <c r="R287" s="1112"/>
      <c r="S287" s="1112"/>
      <c r="T287" s="1134"/>
      <c r="U287" s="1138"/>
      <c r="V287" s="1112"/>
      <c r="W287" s="1112"/>
      <c r="X287" s="1112"/>
      <c r="Y287" s="1112"/>
      <c r="Z287" s="1112"/>
      <c r="AA287" s="1109"/>
      <c r="AB287" s="1109"/>
      <c r="AC287" s="1112"/>
      <c r="AD287" s="1112"/>
      <c r="AE287" s="436">
        <f t="shared" si="97"/>
        <v>0</v>
      </c>
      <c r="AF287" s="436">
        <f t="shared" si="98"/>
        <v>0</v>
      </c>
      <c r="AG287" s="436">
        <f t="shared" si="99"/>
        <v>0</v>
      </c>
      <c r="AH287" s="436">
        <f t="shared" si="100"/>
        <v>0</v>
      </c>
      <c r="AI287" s="436">
        <f t="shared" si="125"/>
        <v>0</v>
      </c>
      <c r="AJ287" s="436">
        <f t="shared" si="108"/>
        <v>0</v>
      </c>
      <c r="AK287" s="437">
        <f t="shared" si="102"/>
        <v>0</v>
      </c>
      <c r="AL287" s="437">
        <f t="shared" si="103"/>
        <v>0</v>
      </c>
      <c r="AM287" s="437">
        <f t="shared" si="104"/>
        <v>0</v>
      </c>
      <c r="AN287" s="437">
        <f t="shared" si="105"/>
        <v>0</v>
      </c>
      <c r="AO287" s="437">
        <f t="shared" si="106"/>
        <v>0</v>
      </c>
      <c r="AP287" s="437">
        <f t="shared" si="124"/>
        <v>0</v>
      </c>
      <c r="AQ287" s="437">
        <f t="shared" si="124"/>
        <v>0</v>
      </c>
      <c r="AR287" s="436"/>
      <c r="AS287" s="437">
        <f t="shared" si="126"/>
        <v>0</v>
      </c>
    </row>
    <row r="288" spans="1:46" s="438" customFormat="1" ht="24.95" customHeight="1">
      <c r="A288" s="1134"/>
      <c r="B288" s="1134"/>
      <c r="C288" s="1139" t="s">
        <v>564</v>
      </c>
      <c r="D288" s="1134" t="s">
        <v>643</v>
      </c>
      <c r="E288" s="1134" t="s">
        <v>644</v>
      </c>
      <c r="F288" s="1134">
        <v>9</v>
      </c>
      <c r="G288" s="1112">
        <v>5005</v>
      </c>
      <c r="H288" s="1112"/>
      <c r="I288" s="1112"/>
      <c r="J288" s="1112"/>
      <c r="K288" s="1112"/>
      <c r="L288" s="1112"/>
      <c r="M288" s="1112"/>
      <c r="N288" s="1112">
        <f>G288+H289</f>
        <v>5005</v>
      </c>
      <c r="O288" s="1112">
        <v>1</v>
      </c>
      <c r="P288" s="1112"/>
      <c r="Q288" s="1112"/>
      <c r="R288" s="1112"/>
      <c r="S288" s="1112"/>
      <c r="T288" s="1134">
        <v>15</v>
      </c>
      <c r="U288" s="1138">
        <v>0.2</v>
      </c>
      <c r="V288" s="1112">
        <f>N288*U288</f>
        <v>1001</v>
      </c>
      <c r="W288" s="1112">
        <f>AD288</f>
        <v>494</v>
      </c>
      <c r="X288" s="1112">
        <f>(N288+V288)*O288+W288</f>
        <v>6500</v>
      </c>
      <c r="Y288" s="1112">
        <f>AB288</f>
        <v>7000</v>
      </c>
      <c r="Z288" s="1112">
        <f>X288+Y288</f>
        <v>13500</v>
      </c>
      <c r="AA288" s="1109">
        <f>13500*O288</f>
        <v>13500</v>
      </c>
      <c r="AB288" s="1109">
        <f>AA288-X288</f>
        <v>7000</v>
      </c>
      <c r="AC288" s="1112">
        <f>6500*O288</f>
        <v>6500</v>
      </c>
      <c r="AD288" s="1112">
        <f>AC288-(N288*O288)-V288</f>
        <v>494</v>
      </c>
      <c r="AE288" s="436">
        <f t="shared" si="97"/>
        <v>5005</v>
      </c>
      <c r="AF288" s="436">
        <f t="shared" si="98"/>
        <v>0</v>
      </c>
      <c r="AG288" s="436">
        <f t="shared" si="99"/>
        <v>5005</v>
      </c>
      <c r="AH288" s="436">
        <f t="shared" si="100"/>
        <v>0</v>
      </c>
      <c r="AI288" s="436">
        <f t="shared" si="125"/>
        <v>0</v>
      </c>
      <c r="AJ288" s="436">
        <f t="shared" si="108"/>
        <v>0</v>
      </c>
      <c r="AK288" s="437">
        <f t="shared" si="102"/>
        <v>1001</v>
      </c>
      <c r="AL288" s="437">
        <f t="shared" si="103"/>
        <v>0</v>
      </c>
      <c r="AM288" s="437">
        <f t="shared" si="104"/>
        <v>494</v>
      </c>
      <c r="AN288" s="437">
        <f t="shared" si="105"/>
        <v>0</v>
      </c>
      <c r="AO288" s="437">
        <f t="shared" si="106"/>
        <v>0</v>
      </c>
      <c r="AP288" s="437">
        <f t="shared" si="124"/>
        <v>5005</v>
      </c>
      <c r="AQ288" s="437">
        <f t="shared" si="124"/>
        <v>0</v>
      </c>
      <c r="AR288" s="436"/>
      <c r="AS288" s="437">
        <f t="shared" si="126"/>
        <v>5005</v>
      </c>
    </row>
    <row r="289" spans="1:46" s="438" customFormat="1" ht="24.95" customHeight="1">
      <c r="A289" s="1134"/>
      <c r="B289" s="1134"/>
      <c r="C289" s="1139"/>
      <c r="D289" s="1134"/>
      <c r="E289" s="1134"/>
      <c r="F289" s="1134"/>
      <c r="G289" s="1112"/>
      <c r="H289" s="1112"/>
      <c r="I289" s="1112"/>
      <c r="J289" s="1112"/>
      <c r="K289" s="1112"/>
      <c r="L289" s="1112"/>
      <c r="M289" s="1112"/>
      <c r="N289" s="1112"/>
      <c r="O289" s="1112"/>
      <c r="P289" s="1112"/>
      <c r="Q289" s="1112"/>
      <c r="R289" s="1112"/>
      <c r="S289" s="1112"/>
      <c r="T289" s="1134"/>
      <c r="U289" s="1138"/>
      <c r="V289" s="1112"/>
      <c r="W289" s="1112"/>
      <c r="X289" s="1112"/>
      <c r="Y289" s="1112"/>
      <c r="Z289" s="1112"/>
      <c r="AA289" s="1109"/>
      <c r="AB289" s="1109"/>
      <c r="AC289" s="1112"/>
      <c r="AD289" s="1112"/>
      <c r="AE289" s="436">
        <f t="shared" si="97"/>
        <v>0</v>
      </c>
      <c r="AF289" s="436">
        <f t="shared" si="98"/>
        <v>0</v>
      </c>
      <c r="AG289" s="436">
        <f t="shared" si="99"/>
        <v>0</v>
      </c>
      <c r="AH289" s="436">
        <f t="shared" si="100"/>
        <v>0</v>
      </c>
      <c r="AI289" s="436">
        <f t="shared" si="125"/>
        <v>0</v>
      </c>
      <c r="AJ289" s="436">
        <f t="shared" si="108"/>
        <v>0</v>
      </c>
      <c r="AK289" s="437">
        <f t="shared" si="102"/>
        <v>0</v>
      </c>
      <c r="AL289" s="437">
        <f t="shared" si="103"/>
        <v>0</v>
      </c>
      <c r="AM289" s="437">
        <f t="shared" si="104"/>
        <v>0</v>
      </c>
      <c r="AN289" s="437">
        <f t="shared" si="105"/>
        <v>0</v>
      </c>
      <c r="AO289" s="437">
        <f t="shared" si="106"/>
        <v>0</v>
      </c>
      <c r="AP289" s="437">
        <f t="shared" si="124"/>
        <v>0</v>
      </c>
      <c r="AQ289" s="437">
        <f t="shared" si="124"/>
        <v>0</v>
      </c>
      <c r="AR289" s="436"/>
      <c r="AS289" s="437">
        <f t="shared" si="126"/>
        <v>0</v>
      </c>
    </row>
    <row r="290" spans="1:46" s="438" customFormat="1" ht="24.95" customHeight="1">
      <c r="A290" s="1134"/>
      <c r="B290" s="1134"/>
      <c r="C290" s="1139" t="s">
        <v>564</v>
      </c>
      <c r="D290" s="1134" t="s">
        <v>1054</v>
      </c>
      <c r="E290" s="1134" t="s">
        <v>645</v>
      </c>
      <c r="F290" s="1134">
        <v>7</v>
      </c>
      <c r="G290" s="1112">
        <v>4455</v>
      </c>
      <c r="H290" s="1112"/>
      <c r="I290" s="1112"/>
      <c r="J290" s="1112"/>
      <c r="K290" s="1112"/>
      <c r="L290" s="1112"/>
      <c r="M290" s="1112"/>
      <c r="N290" s="1112">
        <f>G290+H291</f>
        <v>4455</v>
      </c>
      <c r="O290" s="1112">
        <v>1</v>
      </c>
      <c r="P290" s="1112"/>
      <c r="Q290" s="1112"/>
      <c r="R290" s="1112"/>
      <c r="S290" s="1112"/>
      <c r="T290" s="1134">
        <v>11</v>
      </c>
      <c r="U290" s="1138">
        <v>0.2</v>
      </c>
      <c r="V290" s="1112">
        <f>N290*U290</f>
        <v>891</v>
      </c>
      <c r="W290" s="1112">
        <f>AD290</f>
        <v>1154</v>
      </c>
      <c r="X290" s="1112">
        <f>(N290+V290)*O290+W290</f>
        <v>6500</v>
      </c>
      <c r="Y290" s="1112">
        <f>AB290</f>
        <v>7000</v>
      </c>
      <c r="Z290" s="1112">
        <f>X290+Y290</f>
        <v>13500</v>
      </c>
      <c r="AA290" s="1109">
        <f>13500*O290</f>
        <v>13500</v>
      </c>
      <c r="AB290" s="1109">
        <f>AA290-X290</f>
        <v>7000</v>
      </c>
      <c r="AC290" s="1112">
        <f>6500*O290</f>
        <v>6500</v>
      </c>
      <c r="AD290" s="1112">
        <f>AC290-(N290*O290)-V290</f>
        <v>1154</v>
      </c>
      <c r="AE290" s="436">
        <f t="shared" si="97"/>
        <v>4455</v>
      </c>
      <c r="AF290" s="436">
        <f t="shared" si="98"/>
        <v>0</v>
      </c>
      <c r="AG290" s="436">
        <f t="shared" si="99"/>
        <v>4455</v>
      </c>
      <c r="AH290" s="436">
        <f t="shared" si="100"/>
        <v>0</v>
      </c>
      <c r="AI290" s="436">
        <f t="shared" si="125"/>
        <v>0</v>
      </c>
      <c r="AJ290" s="436">
        <f t="shared" si="108"/>
        <v>0</v>
      </c>
      <c r="AK290" s="437">
        <f t="shared" si="102"/>
        <v>891</v>
      </c>
      <c r="AL290" s="437">
        <f t="shared" si="103"/>
        <v>0</v>
      </c>
      <c r="AM290" s="437">
        <f t="shared" si="104"/>
        <v>1154</v>
      </c>
      <c r="AN290" s="437">
        <f t="shared" si="105"/>
        <v>0</v>
      </c>
      <c r="AO290" s="437">
        <f t="shared" si="106"/>
        <v>0</v>
      </c>
      <c r="AP290" s="437">
        <f t="shared" si="124"/>
        <v>4455</v>
      </c>
      <c r="AQ290" s="437">
        <f t="shared" si="124"/>
        <v>0</v>
      </c>
      <c r="AR290" s="436"/>
      <c r="AS290" s="437">
        <f t="shared" si="126"/>
        <v>4455</v>
      </c>
    </row>
    <row r="291" spans="1:46" s="438" customFormat="1" ht="24.95" customHeight="1">
      <c r="A291" s="1134"/>
      <c r="B291" s="1134"/>
      <c r="C291" s="1139"/>
      <c r="D291" s="1134"/>
      <c r="E291" s="1134"/>
      <c r="F291" s="1134"/>
      <c r="G291" s="1112"/>
      <c r="H291" s="1112"/>
      <c r="I291" s="1112"/>
      <c r="J291" s="1112"/>
      <c r="K291" s="1112"/>
      <c r="L291" s="1112"/>
      <c r="M291" s="1112"/>
      <c r="N291" s="1112"/>
      <c r="O291" s="1112"/>
      <c r="P291" s="1112"/>
      <c r="Q291" s="1112"/>
      <c r="R291" s="1112"/>
      <c r="S291" s="1112"/>
      <c r="T291" s="1134"/>
      <c r="U291" s="1138"/>
      <c r="V291" s="1112"/>
      <c r="W291" s="1112"/>
      <c r="X291" s="1112"/>
      <c r="Y291" s="1112"/>
      <c r="Z291" s="1112"/>
      <c r="AA291" s="1109"/>
      <c r="AB291" s="1109"/>
      <c r="AC291" s="1112"/>
      <c r="AD291" s="1112"/>
      <c r="AE291" s="436">
        <f t="shared" si="97"/>
        <v>0</v>
      </c>
      <c r="AF291" s="436">
        <f t="shared" si="98"/>
        <v>0</v>
      </c>
      <c r="AG291" s="436">
        <f t="shared" si="99"/>
        <v>0</v>
      </c>
      <c r="AH291" s="436">
        <f t="shared" si="100"/>
        <v>0</v>
      </c>
      <c r="AI291" s="436">
        <f t="shared" si="125"/>
        <v>0</v>
      </c>
      <c r="AJ291" s="436">
        <f t="shared" si="108"/>
        <v>0</v>
      </c>
      <c r="AK291" s="437">
        <f t="shared" si="102"/>
        <v>0</v>
      </c>
      <c r="AL291" s="437">
        <f t="shared" si="103"/>
        <v>0</v>
      </c>
      <c r="AM291" s="437">
        <f t="shared" si="104"/>
        <v>0</v>
      </c>
      <c r="AN291" s="437">
        <f t="shared" si="105"/>
        <v>0</v>
      </c>
      <c r="AO291" s="437">
        <f t="shared" si="106"/>
        <v>0</v>
      </c>
      <c r="AP291" s="437">
        <f t="shared" si="124"/>
        <v>0</v>
      </c>
      <c r="AQ291" s="437">
        <f t="shared" si="124"/>
        <v>0</v>
      </c>
      <c r="AR291" s="436"/>
      <c r="AS291" s="437">
        <f t="shared" si="126"/>
        <v>0</v>
      </c>
    </row>
    <row r="292" spans="1:46" s="438" customFormat="1" ht="24.95" customHeight="1">
      <c r="A292" s="1134"/>
      <c r="B292" s="1134"/>
      <c r="C292" s="1139" t="s">
        <v>564</v>
      </c>
      <c r="D292" s="1134" t="s">
        <v>646</v>
      </c>
      <c r="E292" s="1134" t="s">
        <v>647</v>
      </c>
      <c r="F292" s="1134">
        <v>9</v>
      </c>
      <c r="G292" s="1112">
        <v>5005</v>
      </c>
      <c r="H292" s="1112"/>
      <c r="I292" s="1138"/>
      <c r="J292" s="1138"/>
      <c r="K292" s="1112"/>
      <c r="L292" s="1140"/>
      <c r="M292" s="1140"/>
      <c r="N292" s="1112">
        <f>G292+I293</f>
        <v>5005</v>
      </c>
      <c r="O292" s="1112">
        <v>0.5</v>
      </c>
      <c r="P292" s="1112"/>
      <c r="Q292" s="1140"/>
      <c r="R292" s="1140"/>
      <c r="S292" s="1140"/>
      <c r="T292" s="1134">
        <v>28</v>
      </c>
      <c r="U292" s="1138">
        <v>0.3</v>
      </c>
      <c r="V292" s="1112">
        <f>N292*U292</f>
        <v>1501.5</v>
      </c>
      <c r="W292" s="1112"/>
      <c r="X292" s="1112">
        <f>(N292+V292)*O292</f>
        <v>3253.25</v>
      </c>
      <c r="Y292" s="1112">
        <f>AB292</f>
        <v>3496.75</v>
      </c>
      <c r="Z292" s="1112">
        <f>X292+Y292</f>
        <v>6750</v>
      </c>
      <c r="AA292" s="1109">
        <f>13500*O292</f>
        <v>6750</v>
      </c>
      <c r="AB292" s="1109">
        <f>AA292-X292</f>
        <v>3496.75</v>
      </c>
      <c r="AC292" s="1112">
        <f>6500*O292</f>
        <v>3250</v>
      </c>
      <c r="AD292" s="1112"/>
      <c r="AE292" s="436">
        <f t="shared" ref="AE292:AE359" si="127">G292*O292</f>
        <v>2502.5</v>
      </c>
      <c r="AF292" s="436">
        <f t="shared" ref="AF292:AF359" si="128">G292*P292</f>
        <v>0</v>
      </c>
      <c r="AG292" s="436">
        <f t="shared" ref="AG292:AG359" si="129">N292*O292</f>
        <v>2502.5</v>
      </c>
      <c r="AH292" s="436">
        <f t="shared" ref="AH292:AH359" si="130">N292*P292</f>
        <v>0</v>
      </c>
      <c r="AI292" s="436">
        <f t="shared" si="125"/>
        <v>0</v>
      </c>
      <c r="AJ292" s="436">
        <f t="shared" si="108"/>
        <v>0</v>
      </c>
      <c r="AK292" s="437">
        <f t="shared" ref="AK292:AK359" si="131">V292*O292</f>
        <v>750.75</v>
      </c>
      <c r="AL292" s="437">
        <f t="shared" ref="AL292:AL359" si="132">V292*P292</f>
        <v>0</v>
      </c>
      <c r="AM292" s="437">
        <f t="shared" ref="AM292:AM359" si="133">W292</f>
        <v>0</v>
      </c>
      <c r="AN292" s="437">
        <f t="shared" ref="AN292:AN355" si="134">S292*O292</f>
        <v>0</v>
      </c>
      <c r="AO292" s="437">
        <f t="shared" ref="AO292:AO355" si="135">S292*P292</f>
        <v>0</v>
      </c>
      <c r="AP292" s="437">
        <f t="shared" si="124"/>
        <v>2502.5</v>
      </c>
      <c r="AQ292" s="437">
        <f t="shared" si="124"/>
        <v>0</v>
      </c>
      <c r="AR292" s="436"/>
      <c r="AS292" s="437">
        <f t="shared" si="126"/>
        <v>2502.5</v>
      </c>
    </row>
    <row r="293" spans="1:46" s="438" customFormat="1" ht="24.95" customHeight="1">
      <c r="A293" s="1134"/>
      <c r="B293" s="1134"/>
      <c r="C293" s="1139"/>
      <c r="D293" s="1134"/>
      <c r="E293" s="1134"/>
      <c r="F293" s="1134"/>
      <c r="G293" s="1112"/>
      <c r="H293" s="1112"/>
      <c r="I293" s="1134"/>
      <c r="J293" s="1134"/>
      <c r="K293" s="1112"/>
      <c r="L293" s="1140"/>
      <c r="M293" s="1140"/>
      <c r="N293" s="1112"/>
      <c r="O293" s="1112"/>
      <c r="P293" s="1112"/>
      <c r="Q293" s="1140"/>
      <c r="R293" s="1140"/>
      <c r="S293" s="1140"/>
      <c r="T293" s="1134"/>
      <c r="U293" s="1138"/>
      <c r="V293" s="1112"/>
      <c r="W293" s="1112"/>
      <c r="X293" s="1112"/>
      <c r="Y293" s="1112"/>
      <c r="Z293" s="1112"/>
      <c r="AA293" s="1109"/>
      <c r="AB293" s="1109"/>
      <c r="AC293" s="1112"/>
      <c r="AD293" s="1112"/>
      <c r="AE293" s="436">
        <f t="shared" si="127"/>
        <v>0</v>
      </c>
      <c r="AF293" s="436">
        <f t="shared" si="128"/>
        <v>0</v>
      </c>
      <c r="AG293" s="436">
        <f t="shared" si="129"/>
        <v>0</v>
      </c>
      <c r="AH293" s="436">
        <f t="shared" si="130"/>
        <v>0</v>
      </c>
      <c r="AI293" s="436">
        <f t="shared" si="125"/>
        <v>0</v>
      </c>
      <c r="AJ293" s="436">
        <f t="shared" si="108"/>
        <v>0</v>
      </c>
      <c r="AK293" s="437">
        <f t="shared" si="131"/>
        <v>0</v>
      </c>
      <c r="AL293" s="437">
        <f t="shared" si="132"/>
        <v>0</v>
      </c>
      <c r="AM293" s="437">
        <f t="shared" si="133"/>
        <v>0</v>
      </c>
      <c r="AN293" s="437">
        <f t="shared" si="134"/>
        <v>0</v>
      </c>
      <c r="AO293" s="437">
        <f t="shared" si="135"/>
        <v>0</v>
      </c>
      <c r="AP293" s="437">
        <f t="shared" si="124"/>
        <v>0</v>
      </c>
      <c r="AQ293" s="437">
        <f t="shared" si="124"/>
        <v>0</v>
      </c>
      <c r="AR293" s="436"/>
      <c r="AS293" s="437">
        <f t="shared" si="126"/>
        <v>0</v>
      </c>
    </row>
    <row r="294" spans="1:46" s="438" customFormat="1" ht="24.95" customHeight="1">
      <c r="A294" s="1134"/>
      <c r="B294" s="1134"/>
      <c r="C294" s="1139" t="s">
        <v>564</v>
      </c>
      <c r="D294" s="1134" t="s">
        <v>1055</v>
      </c>
      <c r="E294" s="1134" t="s">
        <v>648</v>
      </c>
      <c r="F294" s="1134">
        <v>9</v>
      </c>
      <c r="G294" s="1112">
        <v>5005</v>
      </c>
      <c r="H294" s="1112"/>
      <c r="I294" s="1112"/>
      <c r="J294" s="1112"/>
      <c r="K294" s="1112"/>
      <c r="L294" s="1112"/>
      <c r="M294" s="1112"/>
      <c r="N294" s="1112">
        <f>G294+I295</f>
        <v>5005</v>
      </c>
      <c r="O294" s="1112">
        <v>1</v>
      </c>
      <c r="P294" s="1112"/>
      <c r="Q294" s="1112"/>
      <c r="R294" s="1112"/>
      <c r="S294" s="1112"/>
      <c r="T294" s="1134">
        <v>29</v>
      </c>
      <c r="U294" s="1138">
        <v>0.3</v>
      </c>
      <c r="V294" s="1112">
        <f>N294*U294</f>
        <v>1501.5</v>
      </c>
      <c r="W294" s="1112"/>
      <c r="X294" s="1112">
        <f>(N294+V294)*O294</f>
        <v>6506.5</v>
      </c>
      <c r="Y294" s="1112">
        <f>AB294</f>
        <v>6993.5</v>
      </c>
      <c r="Z294" s="1112">
        <f>X294+Y294</f>
        <v>13500</v>
      </c>
      <c r="AA294" s="1109">
        <f>13500*O294</f>
        <v>13500</v>
      </c>
      <c r="AB294" s="1109">
        <f>AA294-X294</f>
        <v>6993.5</v>
      </c>
      <c r="AC294" s="1112">
        <f>6500*O294</f>
        <v>6500</v>
      </c>
      <c r="AD294" s="1112"/>
      <c r="AE294" s="436">
        <f t="shared" si="127"/>
        <v>5005</v>
      </c>
      <c r="AF294" s="436">
        <f t="shared" si="128"/>
        <v>0</v>
      </c>
      <c r="AG294" s="436">
        <f t="shared" si="129"/>
        <v>5005</v>
      </c>
      <c r="AH294" s="436">
        <f t="shared" si="130"/>
        <v>0</v>
      </c>
      <c r="AI294" s="436">
        <f t="shared" si="125"/>
        <v>0</v>
      </c>
      <c r="AJ294" s="436">
        <f t="shared" si="108"/>
        <v>0</v>
      </c>
      <c r="AK294" s="437">
        <f t="shared" si="131"/>
        <v>1501.5</v>
      </c>
      <c r="AL294" s="437">
        <f t="shared" si="132"/>
        <v>0</v>
      </c>
      <c r="AM294" s="437">
        <f t="shared" si="133"/>
        <v>0</v>
      </c>
      <c r="AN294" s="437">
        <f t="shared" si="134"/>
        <v>0</v>
      </c>
      <c r="AO294" s="437">
        <f t="shared" si="135"/>
        <v>0</v>
      </c>
      <c r="AP294" s="437">
        <f t="shared" si="124"/>
        <v>5005</v>
      </c>
      <c r="AQ294" s="437">
        <f t="shared" si="124"/>
        <v>0</v>
      </c>
      <c r="AR294" s="436"/>
      <c r="AS294" s="437">
        <f t="shared" si="126"/>
        <v>5005</v>
      </c>
    </row>
    <row r="295" spans="1:46" s="438" customFormat="1" ht="24.95" customHeight="1">
      <c r="A295" s="1134"/>
      <c r="B295" s="1134"/>
      <c r="C295" s="1139"/>
      <c r="D295" s="1134"/>
      <c r="E295" s="1134"/>
      <c r="F295" s="1134"/>
      <c r="G295" s="1112"/>
      <c r="H295" s="1112"/>
      <c r="I295" s="1112"/>
      <c r="J295" s="1112"/>
      <c r="K295" s="1112"/>
      <c r="L295" s="1112"/>
      <c r="M295" s="1112"/>
      <c r="N295" s="1112"/>
      <c r="O295" s="1112"/>
      <c r="P295" s="1112"/>
      <c r="Q295" s="1112"/>
      <c r="R295" s="1112"/>
      <c r="S295" s="1112"/>
      <c r="T295" s="1134"/>
      <c r="U295" s="1138"/>
      <c r="V295" s="1112"/>
      <c r="W295" s="1112"/>
      <c r="X295" s="1112"/>
      <c r="Y295" s="1112"/>
      <c r="Z295" s="1112"/>
      <c r="AA295" s="1109"/>
      <c r="AB295" s="1109"/>
      <c r="AC295" s="1112"/>
      <c r="AD295" s="1112"/>
      <c r="AE295" s="436">
        <f t="shared" si="127"/>
        <v>0</v>
      </c>
      <c r="AF295" s="436">
        <f t="shared" si="128"/>
        <v>0</v>
      </c>
      <c r="AG295" s="436">
        <f t="shared" si="129"/>
        <v>0</v>
      </c>
      <c r="AH295" s="436">
        <f t="shared" si="130"/>
        <v>0</v>
      </c>
      <c r="AI295" s="436">
        <f t="shared" si="125"/>
        <v>0</v>
      </c>
      <c r="AJ295" s="436">
        <f t="shared" si="108"/>
        <v>0</v>
      </c>
      <c r="AK295" s="437">
        <f t="shared" si="131"/>
        <v>0</v>
      </c>
      <c r="AL295" s="437">
        <f t="shared" si="132"/>
        <v>0</v>
      </c>
      <c r="AM295" s="437">
        <f t="shared" si="133"/>
        <v>0</v>
      </c>
      <c r="AN295" s="437">
        <f t="shared" si="134"/>
        <v>0</v>
      </c>
      <c r="AO295" s="437">
        <f t="shared" si="135"/>
        <v>0</v>
      </c>
      <c r="AP295" s="437">
        <f t="shared" si="124"/>
        <v>0</v>
      </c>
      <c r="AQ295" s="437">
        <f t="shared" si="124"/>
        <v>0</v>
      </c>
      <c r="AR295" s="436"/>
      <c r="AS295" s="437">
        <f t="shared" si="126"/>
        <v>0</v>
      </c>
    </row>
    <row r="296" spans="1:46" s="446" customFormat="1" ht="24.95" customHeight="1">
      <c r="A296" s="441"/>
      <c r="B296" s="441"/>
      <c r="C296" s="442" t="s">
        <v>318</v>
      </c>
      <c r="D296" s="443"/>
      <c r="E296" s="441"/>
      <c r="F296" s="441"/>
      <c r="G296" s="444">
        <f>SUM(G282:G295)</f>
        <v>33965</v>
      </c>
      <c r="H296" s="441">
        <f>H283</f>
        <v>474.5</v>
      </c>
      <c r="I296" s="441"/>
      <c r="J296" s="441"/>
      <c r="K296" s="441"/>
      <c r="L296" s="441"/>
      <c r="M296" s="441"/>
      <c r="N296" s="444">
        <f>SUM(N282:N295)</f>
        <v>34439.5</v>
      </c>
      <c r="O296" s="444">
        <f>SUM(O282:O295)</f>
        <v>6.5</v>
      </c>
      <c r="P296" s="444">
        <f>SUM(P282:P295)</f>
        <v>0</v>
      </c>
      <c r="Q296" s="444"/>
      <c r="R296" s="444"/>
      <c r="S296" s="444"/>
      <c r="T296" s="444"/>
      <c r="U296" s="444"/>
      <c r="V296" s="444">
        <f t="shared" ref="V296:AD296" si="136">SUM(V282:V295)</f>
        <v>8389.4</v>
      </c>
      <c r="W296" s="444">
        <f t="shared" si="136"/>
        <v>2690.6</v>
      </c>
      <c r="X296" s="444">
        <f t="shared" si="136"/>
        <v>42266.25</v>
      </c>
      <c r="Y296" s="444">
        <f t="shared" si="136"/>
        <v>45483.75</v>
      </c>
      <c r="Z296" s="444">
        <f t="shared" si="136"/>
        <v>87750</v>
      </c>
      <c r="AA296" s="499">
        <f t="shared" si="136"/>
        <v>87750</v>
      </c>
      <c r="AB296" s="499">
        <f t="shared" si="136"/>
        <v>45483.75</v>
      </c>
      <c r="AC296" s="444">
        <f t="shared" si="136"/>
        <v>42250</v>
      </c>
      <c r="AD296" s="444">
        <f t="shared" si="136"/>
        <v>2690.6</v>
      </c>
      <c r="AE296" s="436"/>
      <c r="AF296" s="436"/>
      <c r="AG296" s="436"/>
      <c r="AH296" s="436"/>
      <c r="AI296" s="436"/>
      <c r="AJ296" s="436"/>
      <c r="AK296" s="437"/>
      <c r="AL296" s="437"/>
      <c r="AM296" s="437"/>
      <c r="AN296" s="437"/>
      <c r="AO296" s="437"/>
      <c r="AP296" s="437">
        <f t="shared" si="124"/>
        <v>0</v>
      </c>
      <c r="AQ296" s="437">
        <f t="shared" si="124"/>
        <v>0</v>
      </c>
      <c r="AR296" s="436"/>
      <c r="AS296" s="437">
        <f t="shared" si="126"/>
        <v>0</v>
      </c>
      <c r="AT296" s="457"/>
    </row>
    <row r="297" spans="1:46" s="456" customFormat="1" ht="24.95" customHeight="1">
      <c r="A297" s="455"/>
      <c r="B297" s="455"/>
      <c r="C297" s="1136" t="s">
        <v>1029</v>
      </c>
      <c r="D297" s="1136"/>
      <c r="E297" s="455"/>
      <c r="F297" s="455"/>
      <c r="G297" s="455"/>
      <c r="H297" s="455"/>
      <c r="I297" s="455"/>
      <c r="J297" s="455"/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55"/>
      <c r="V297" s="455"/>
      <c r="W297" s="455"/>
      <c r="X297" s="455"/>
      <c r="Y297" s="455"/>
      <c r="Z297" s="455"/>
      <c r="AA297" s="504"/>
      <c r="AB297" s="504"/>
      <c r="AC297" s="455"/>
      <c r="AD297" s="455"/>
      <c r="AE297" s="436">
        <f t="shared" si="127"/>
        <v>0</v>
      </c>
      <c r="AF297" s="436">
        <f t="shared" si="128"/>
        <v>0</v>
      </c>
      <c r="AG297" s="436">
        <f t="shared" si="129"/>
        <v>0</v>
      </c>
      <c r="AH297" s="436">
        <f t="shared" si="130"/>
        <v>0</v>
      </c>
      <c r="AI297" s="436">
        <f t="shared" ref="AI297:AI313" si="137">AG297-AE297</f>
        <v>0</v>
      </c>
      <c r="AJ297" s="436">
        <f t="shared" si="108"/>
        <v>0</v>
      </c>
      <c r="AK297" s="437">
        <f t="shared" si="131"/>
        <v>0</v>
      </c>
      <c r="AL297" s="437">
        <f t="shared" si="132"/>
        <v>0</v>
      </c>
      <c r="AM297" s="437">
        <f t="shared" si="133"/>
        <v>0</v>
      </c>
      <c r="AN297" s="437">
        <f t="shared" si="134"/>
        <v>0</v>
      </c>
      <c r="AO297" s="437">
        <f t="shared" si="135"/>
        <v>0</v>
      </c>
      <c r="AP297" s="437">
        <f t="shared" si="124"/>
        <v>0</v>
      </c>
      <c r="AQ297" s="437">
        <f t="shared" si="124"/>
        <v>0</v>
      </c>
      <c r="AR297" s="436"/>
      <c r="AS297" s="437">
        <f t="shared" si="126"/>
        <v>0</v>
      </c>
      <c r="AT297" s="457"/>
    </row>
    <row r="298" spans="1:46" s="438" customFormat="1" ht="24.95" customHeight="1">
      <c r="A298" s="1134"/>
      <c r="B298" s="1134"/>
      <c r="C298" s="1139" t="s">
        <v>590</v>
      </c>
      <c r="D298" s="1134" t="s">
        <v>1047</v>
      </c>
      <c r="E298" s="1134" t="s">
        <v>649</v>
      </c>
      <c r="F298" s="1134">
        <v>9</v>
      </c>
      <c r="G298" s="1112">
        <v>5005</v>
      </c>
      <c r="H298" s="435">
        <v>0.1</v>
      </c>
      <c r="I298" s="1140"/>
      <c r="J298" s="1140"/>
      <c r="K298" s="1140"/>
      <c r="L298" s="1140"/>
      <c r="M298" s="1140"/>
      <c r="N298" s="1112">
        <f>G298+H299+K299</f>
        <v>5505.5</v>
      </c>
      <c r="O298" s="1112">
        <v>1</v>
      </c>
      <c r="P298" s="1140"/>
      <c r="Q298" s="1140"/>
      <c r="R298" s="1140"/>
      <c r="S298" s="1140"/>
      <c r="T298" s="1134">
        <v>31</v>
      </c>
      <c r="U298" s="1138">
        <v>0.3</v>
      </c>
      <c r="V298" s="1112">
        <f>N298*U298</f>
        <v>1651.6499999999999</v>
      </c>
      <c r="W298" s="1112"/>
      <c r="X298" s="1112">
        <f>(N298+V298)*O298</f>
        <v>7157.15</v>
      </c>
      <c r="Y298" s="1112">
        <f>AB298</f>
        <v>6342.85</v>
      </c>
      <c r="Z298" s="1112">
        <f>X298+Y298</f>
        <v>13500</v>
      </c>
      <c r="AA298" s="1109">
        <f>13500*O298</f>
        <v>13500</v>
      </c>
      <c r="AB298" s="1109">
        <f>AA298-X298</f>
        <v>6342.85</v>
      </c>
      <c r="AC298" s="1112">
        <f>6500*O298</f>
        <v>6500</v>
      </c>
      <c r="AD298" s="1112"/>
      <c r="AE298" s="436">
        <f t="shared" si="127"/>
        <v>5005</v>
      </c>
      <c r="AF298" s="436">
        <f t="shared" si="128"/>
        <v>0</v>
      </c>
      <c r="AG298" s="436">
        <f t="shared" si="129"/>
        <v>5505.5</v>
      </c>
      <c r="AH298" s="436">
        <f t="shared" si="130"/>
        <v>0</v>
      </c>
      <c r="AI298" s="436">
        <f t="shared" si="137"/>
        <v>500.5</v>
      </c>
      <c r="AJ298" s="436">
        <f t="shared" si="108"/>
        <v>0</v>
      </c>
      <c r="AK298" s="437">
        <f t="shared" si="131"/>
        <v>1651.6499999999999</v>
      </c>
      <c r="AL298" s="437">
        <f t="shared" si="132"/>
        <v>0</v>
      </c>
      <c r="AM298" s="437">
        <f t="shared" si="133"/>
        <v>0</v>
      </c>
      <c r="AN298" s="437">
        <f t="shared" si="134"/>
        <v>0</v>
      </c>
      <c r="AO298" s="437">
        <f t="shared" si="135"/>
        <v>0</v>
      </c>
      <c r="AP298" s="437">
        <f t="shared" si="124"/>
        <v>5505.5</v>
      </c>
      <c r="AQ298" s="437">
        <f t="shared" si="124"/>
        <v>0</v>
      </c>
      <c r="AR298" s="436"/>
      <c r="AS298" s="437">
        <f t="shared" si="126"/>
        <v>5505.5</v>
      </c>
    </row>
    <row r="299" spans="1:46" s="438" customFormat="1" ht="24.95" customHeight="1">
      <c r="A299" s="1134"/>
      <c r="B299" s="1134"/>
      <c r="C299" s="1139"/>
      <c r="D299" s="1134"/>
      <c r="E299" s="1134"/>
      <c r="F299" s="1134"/>
      <c r="G299" s="1112"/>
      <c r="H299" s="449">
        <f>G298*H298</f>
        <v>500.5</v>
      </c>
      <c r="I299" s="1140"/>
      <c r="J299" s="1140"/>
      <c r="K299" s="1140"/>
      <c r="L299" s="1140"/>
      <c r="M299" s="1140"/>
      <c r="N299" s="1112"/>
      <c r="O299" s="1112"/>
      <c r="P299" s="1140"/>
      <c r="Q299" s="1140"/>
      <c r="R299" s="1140"/>
      <c r="S299" s="1140"/>
      <c r="T299" s="1134"/>
      <c r="U299" s="1138"/>
      <c r="V299" s="1112"/>
      <c r="W299" s="1112"/>
      <c r="X299" s="1112"/>
      <c r="Y299" s="1112"/>
      <c r="Z299" s="1112"/>
      <c r="AA299" s="1109"/>
      <c r="AB299" s="1109"/>
      <c r="AC299" s="1112"/>
      <c r="AD299" s="1112"/>
      <c r="AE299" s="436">
        <f t="shared" si="127"/>
        <v>0</v>
      </c>
      <c r="AF299" s="436">
        <f t="shared" si="128"/>
        <v>0</v>
      </c>
      <c r="AG299" s="436">
        <f t="shared" si="129"/>
        <v>0</v>
      </c>
      <c r="AH299" s="436">
        <f t="shared" si="130"/>
        <v>0</v>
      </c>
      <c r="AI299" s="436">
        <f t="shared" si="137"/>
        <v>0</v>
      </c>
      <c r="AJ299" s="436">
        <f t="shared" si="108"/>
        <v>0</v>
      </c>
      <c r="AK299" s="437">
        <f t="shared" si="131"/>
        <v>0</v>
      </c>
      <c r="AL299" s="437">
        <f t="shared" si="132"/>
        <v>0</v>
      </c>
      <c r="AM299" s="437">
        <f t="shared" si="133"/>
        <v>0</v>
      </c>
      <c r="AN299" s="437">
        <f t="shared" si="134"/>
        <v>0</v>
      </c>
      <c r="AO299" s="437">
        <f t="shared" si="135"/>
        <v>0</v>
      </c>
      <c r="AP299" s="437">
        <f t="shared" si="124"/>
        <v>0</v>
      </c>
      <c r="AQ299" s="437">
        <f t="shared" si="124"/>
        <v>0</v>
      </c>
      <c r="AR299" s="436"/>
      <c r="AS299" s="437">
        <f t="shared" si="126"/>
        <v>0</v>
      </c>
    </row>
    <row r="300" spans="1:46" s="438" customFormat="1" ht="24.95" customHeight="1">
      <c r="A300" s="1134"/>
      <c r="B300" s="1134"/>
      <c r="C300" s="1139" t="s">
        <v>615</v>
      </c>
      <c r="D300" s="1134" t="s">
        <v>1042</v>
      </c>
      <c r="E300" s="1134" t="s">
        <v>650</v>
      </c>
      <c r="F300" s="1134">
        <v>9</v>
      </c>
      <c r="G300" s="1112">
        <v>5005</v>
      </c>
      <c r="H300" s="1112"/>
      <c r="I300" s="1112"/>
      <c r="J300" s="1112"/>
      <c r="K300" s="1112"/>
      <c r="L300" s="1112"/>
      <c r="M300" s="1112"/>
      <c r="N300" s="1112">
        <f>G300+H301</f>
        <v>5005</v>
      </c>
      <c r="O300" s="1112">
        <v>1</v>
      </c>
      <c r="P300" s="1140"/>
      <c r="Q300" s="1140"/>
      <c r="R300" s="1140"/>
      <c r="S300" s="1140"/>
      <c r="T300" s="1134">
        <v>16</v>
      </c>
      <c r="U300" s="1138">
        <v>0.2</v>
      </c>
      <c r="V300" s="1112">
        <f>N300*U300</f>
        <v>1001</v>
      </c>
      <c r="W300" s="1112">
        <f>AD300</f>
        <v>494</v>
      </c>
      <c r="X300" s="1112">
        <f>(N300+V300)*O300+W300</f>
        <v>6500</v>
      </c>
      <c r="Y300" s="1112">
        <f>AB300</f>
        <v>7000</v>
      </c>
      <c r="Z300" s="1112">
        <f>X300+Y300</f>
        <v>13500</v>
      </c>
      <c r="AA300" s="1109">
        <f>13500*O300</f>
        <v>13500</v>
      </c>
      <c r="AB300" s="1109">
        <f>AA300-X300</f>
        <v>7000</v>
      </c>
      <c r="AC300" s="1112">
        <f>6500*O300</f>
        <v>6500</v>
      </c>
      <c r="AD300" s="1112">
        <f>AC300-(N300*O300)-V300</f>
        <v>494</v>
      </c>
      <c r="AE300" s="436">
        <f t="shared" si="127"/>
        <v>5005</v>
      </c>
      <c r="AF300" s="436">
        <f t="shared" si="128"/>
        <v>0</v>
      </c>
      <c r="AG300" s="436">
        <f t="shared" si="129"/>
        <v>5005</v>
      </c>
      <c r="AH300" s="436">
        <f t="shared" si="130"/>
        <v>0</v>
      </c>
      <c r="AI300" s="436">
        <f t="shared" si="137"/>
        <v>0</v>
      </c>
      <c r="AJ300" s="436">
        <f t="shared" si="108"/>
        <v>0</v>
      </c>
      <c r="AK300" s="437">
        <f t="shared" si="131"/>
        <v>1001</v>
      </c>
      <c r="AL300" s="437">
        <f t="shared" si="132"/>
        <v>0</v>
      </c>
      <c r="AM300" s="437">
        <f t="shared" si="133"/>
        <v>494</v>
      </c>
      <c r="AN300" s="437">
        <f t="shared" si="134"/>
        <v>0</v>
      </c>
      <c r="AO300" s="437">
        <f t="shared" si="135"/>
        <v>0</v>
      </c>
      <c r="AP300" s="437">
        <f t="shared" si="124"/>
        <v>5005</v>
      </c>
      <c r="AQ300" s="437">
        <f t="shared" si="124"/>
        <v>0</v>
      </c>
      <c r="AR300" s="436"/>
      <c r="AS300" s="437">
        <f t="shared" si="126"/>
        <v>5005</v>
      </c>
    </row>
    <row r="301" spans="1:46" s="438" customFormat="1" ht="24.95" customHeight="1">
      <c r="A301" s="1134"/>
      <c r="B301" s="1134"/>
      <c r="C301" s="1139"/>
      <c r="D301" s="1134"/>
      <c r="E301" s="1134"/>
      <c r="F301" s="1134"/>
      <c r="G301" s="1112"/>
      <c r="H301" s="1112"/>
      <c r="I301" s="1112"/>
      <c r="J301" s="1112"/>
      <c r="K301" s="1112"/>
      <c r="L301" s="1112"/>
      <c r="M301" s="1112"/>
      <c r="N301" s="1112"/>
      <c r="O301" s="1112"/>
      <c r="P301" s="1140"/>
      <c r="Q301" s="1140"/>
      <c r="R301" s="1140"/>
      <c r="S301" s="1140"/>
      <c r="T301" s="1134"/>
      <c r="U301" s="1138"/>
      <c r="V301" s="1112"/>
      <c r="W301" s="1112"/>
      <c r="X301" s="1112"/>
      <c r="Y301" s="1112"/>
      <c r="Z301" s="1112"/>
      <c r="AA301" s="1109"/>
      <c r="AB301" s="1109"/>
      <c r="AC301" s="1112"/>
      <c r="AD301" s="1112"/>
      <c r="AE301" s="436">
        <f t="shared" si="127"/>
        <v>0</v>
      </c>
      <c r="AF301" s="436">
        <f t="shared" si="128"/>
        <v>0</v>
      </c>
      <c r="AG301" s="436">
        <f t="shared" si="129"/>
        <v>0</v>
      </c>
      <c r="AH301" s="436">
        <f t="shared" si="130"/>
        <v>0</v>
      </c>
      <c r="AI301" s="436">
        <f t="shared" si="137"/>
        <v>0</v>
      </c>
      <c r="AJ301" s="436">
        <f t="shared" si="108"/>
        <v>0</v>
      </c>
      <c r="AK301" s="437">
        <f t="shared" si="131"/>
        <v>0</v>
      </c>
      <c r="AL301" s="437">
        <f t="shared" si="132"/>
        <v>0</v>
      </c>
      <c r="AM301" s="437">
        <f t="shared" si="133"/>
        <v>0</v>
      </c>
      <c r="AN301" s="437">
        <f t="shared" si="134"/>
        <v>0</v>
      </c>
      <c r="AO301" s="437">
        <f t="shared" si="135"/>
        <v>0</v>
      </c>
      <c r="AP301" s="437">
        <f t="shared" ref="AP301:AQ347" si="138">AG301</f>
        <v>0</v>
      </c>
      <c r="AQ301" s="437">
        <f t="shared" si="138"/>
        <v>0</v>
      </c>
      <c r="AR301" s="436"/>
      <c r="AS301" s="437">
        <f t="shared" si="126"/>
        <v>0</v>
      </c>
    </row>
    <row r="302" spans="1:46" s="438" customFormat="1" ht="24.95" customHeight="1">
      <c r="A302" s="1134"/>
      <c r="B302" s="1134"/>
      <c r="C302" s="1139" t="s">
        <v>564</v>
      </c>
      <c r="D302" s="1134" t="s">
        <v>651</v>
      </c>
      <c r="E302" s="1140" t="s">
        <v>652</v>
      </c>
      <c r="F302" s="1134">
        <v>9</v>
      </c>
      <c r="G302" s="1112">
        <v>5005</v>
      </c>
      <c r="H302" s="1112"/>
      <c r="I302" s="1112"/>
      <c r="J302" s="1112"/>
      <c r="K302" s="1112"/>
      <c r="L302" s="1112"/>
      <c r="M302" s="1112"/>
      <c r="N302" s="1112">
        <f>G302+H303</f>
        <v>5005</v>
      </c>
      <c r="O302" s="1112">
        <v>1</v>
      </c>
      <c r="P302" s="1112"/>
      <c r="Q302" s="1112"/>
      <c r="R302" s="1112"/>
      <c r="S302" s="1112"/>
      <c r="T302" s="1134">
        <v>38</v>
      </c>
      <c r="U302" s="1138">
        <v>0.3</v>
      </c>
      <c r="V302" s="1112">
        <f>N302*U302</f>
        <v>1501.5</v>
      </c>
      <c r="W302" s="1112"/>
      <c r="X302" s="1112">
        <f>(N302+V302)*O302</f>
        <v>6506.5</v>
      </c>
      <c r="Y302" s="1112">
        <f>AB302</f>
        <v>6993.5</v>
      </c>
      <c r="Z302" s="1112">
        <f>X302+Y302</f>
        <v>13500</v>
      </c>
      <c r="AA302" s="1109">
        <f>13500*O302</f>
        <v>13500</v>
      </c>
      <c r="AB302" s="1109">
        <f>AA302-X302</f>
        <v>6993.5</v>
      </c>
      <c r="AC302" s="1112">
        <f>6500*O302</f>
        <v>6500</v>
      </c>
      <c r="AD302" s="1112"/>
      <c r="AE302" s="436">
        <f t="shared" si="127"/>
        <v>5005</v>
      </c>
      <c r="AF302" s="436">
        <f t="shared" si="128"/>
        <v>0</v>
      </c>
      <c r="AG302" s="436">
        <f t="shared" si="129"/>
        <v>5005</v>
      </c>
      <c r="AH302" s="436">
        <f t="shared" si="130"/>
        <v>0</v>
      </c>
      <c r="AI302" s="436">
        <f t="shared" si="137"/>
        <v>0</v>
      </c>
      <c r="AJ302" s="436">
        <f t="shared" si="108"/>
        <v>0</v>
      </c>
      <c r="AK302" s="437">
        <f t="shared" si="131"/>
        <v>1501.5</v>
      </c>
      <c r="AL302" s="437">
        <f t="shared" si="132"/>
        <v>0</v>
      </c>
      <c r="AM302" s="437">
        <f t="shared" si="133"/>
        <v>0</v>
      </c>
      <c r="AN302" s="437">
        <f t="shared" si="134"/>
        <v>0</v>
      </c>
      <c r="AO302" s="437">
        <f t="shared" si="135"/>
        <v>0</v>
      </c>
      <c r="AP302" s="437">
        <f t="shared" si="138"/>
        <v>5005</v>
      </c>
      <c r="AQ302" s="437">
        <f t="shared" si="138"/>
        <v>0</v>
      </c>
      <c r="AR302" s="436"/>
      <c r="AS302" s="437">
        <f t="shared" si="126"/>
        <v>5005</v>
      </c>
    </row>
    <row r="303" spans="1:46" s="438" customFormat="1" ht="24.95" customHeight="1">
      <c r="A303" s="1134"/>
      <c r="B303" s="1134"/>
      <c r="C303" s="1139"/>
      <c r="D303" s="1134"/>
      <c r="E303" s="1140"/>
      <c r="F303" s="1134"/>
      <c r="G303" s="1112"/>
      <c r="H303" s="1112"/>
      <c r="I303" s="1112"/>
      <c r="J303" s="1112"/>
      <c r="K303" s="1112"/>
      <c r="L303" s="1112"/>
      <c r="M303" s="1112"/>
      <c r="N303" s="1112"/>
      <c r="O303" s="1112"/>
      <c r="P303" s="1112"/>
      <c r="Q303" s="1112"/>
      <c r="R303" s="1112"/>
      <c r="S303" s="1112"/>
      <c r="T303" s="1134"/>
      <c r="U303" s="1138"/>
      <c r="V303" s="1112"/>
      <c r="W303" s="1112"/>
      <c r="X303" s="1112"/>
      <c r="Y303" s="1112"/>
      <c r="Z303" s="1112"/>
      <c r="AA303" s="1109"/>
      <c r="AB303" s="1109"/>
      <c r="AC303" s="1112"/>
      <c r="AD303" s="1112"/>
      <c r="AE303" s="436">
        <f t="shared" si="127"/>
        <v>0</v>
      </c>
      <c r="AF303" s="436">
        <f t="shared" si="128"/>
        <v>0</v>
      </c>
      <c r="AG303" s="436">
        <f t="shared" si="129"/>
        <v>0</v>
      </c>
      <c r="AH303" s="436">
        <f t="shared" si="130"/>
        <v>0</v>
      </c>
      <c r="AI303" s="436">
        <f t="shared" si="137"/>
        <v>0</v>
      </c>
      <c r="AJ303" s="436">
        <f t="shared" si="108"/>
        <v>0</v>
      </c>
      <c r="AK303" s="437">
        <f t="shared" si="131"/>
        <v>0</v>
      </c>
      <c r="AL303" s="437">
        <f t="shared" si="132"/>
        <v>0</v>
      </c>
      <c r="AM303" s="437">
        <f t="shared" si="133"/>
        <v>0</v>
      </c>
      <c r="AN303" s="437">
        <f t="shared" si="134"/>
        <v>0</v>
      </c>
      <c r="AO303" s="437">
        <f t="shared" si="135"/>
        <v>0</v>
      </c>
      <c r="AP303" s="437">
        <f t="shared" si="138"/>
        <v>0</v>
      </c>
      <c r="AQ303" s="437">
        <f t="shared" si="138"/>
        <v>0</v>
      </c>
      <c r="AR303" s="436"/>
      <c r="AS303" s="437">
        <f t="shared" si="126"/>
        <v>0</v>
      </c>
    </row>
    <row r="304" spans="1:46" s="438" customFormat="1" ht="24.95" customHeight="1">
      <c r="A304" s="1134"/>
      <c r="B304" s="1134"/>
      <c r="C304" s="1139" t="s">
        <v>564</v>
      </c>
      <c r="D304" s="1134" t="s">
        <v>653</v>
      </c>
      <c r="E304" s="1140" t="s">
        <v>654</v>
      </c>
      <c r="F304" s="1134">
        <v>9</v>
      </c>
      <c r="G304" s="1112">
        <v>5005</v>
      </c>
      <c r="H304" s="1112"/>
      <c r="I304" s="1112"/>
      <c r="J304" s="1112"/>
      <c r="K304" s="1112"/>
      <c r="L304" s="1112"/>
      <c r="M304" s="1112"/>
      <c r="N304" s="1112">
        <f>G304+H305</f>
        <v>5005</v>
      </c>
      <c r="O304" s="1112">
        <v>1</v>
      </c>
      <c r="P304" s="1112"/>
      <c r="Q304" s="1112"/>
      <c r="R304" s="1112"/>
      <c r="S304" s="1112"/>
      <c r="T304" s="1134">
        <v>35</v>
      </c>
      <c r="U304" s="1138">
        <v>0.3</v>
      </c>
      <c r="V304" s="1112">
        <f>N304*U304</f>
        <v>1501.5</v>
      </c>
      <c r="W304" s="1112"/>
      <c r="X304" s="1112">
        <f>(N304+V304)*O304</f>
        <v>6506.5</v>
      </c>
      <c r="Y304" s="1112">
        <f>AB304</f>
        <v>6993.5</v>
      </c>
      <c r="Z304" s="1112">
        <f>X304+Y304</f>
        <v>13500</v>
      </c>
      <c r="AA304" s="1109">
        <f>13500*O304</f>
        <v>13500</v>
      </c>
      <c r="AB304" s="1109">
        <f>AA304-X304</f>
        <v>6993.5</v>
      </c>
      <c r="AC304" s="1112">
        <f>6500*O304</f>
        <v>6500</v>
      </c>
      <c r="AD304" s="1112"/>
      <c r="AE304" s="436">
        <f t="shared" si="127"/>
        <v>5005</v>
      </c>
      <c r="AF304" s="436">
        <f t="shared" si="128"/>
        <v>0</v>
      </c>
      <c r="AG304" s="436">
        <f t="shared" si="129"/>
        <v>5005</v>
      </c>
      <c r="AH304" s="436">
        <f t="shared" si="130"/>
        <v>0</v>
      </c>
      <c r="AI304" s="436">
        <f t="shared" si="137"/>
        <v>0</v>
      </c>
      <c r="AJ304" s="436">
        <f t="shared" si="108"/>
        <v>0</v>
      </c>
      <c r="AK304" s="437">
        <f t="shared" si="131"/>
        <v>1501.5</v>
      </c>
      <c r="AL304" s="437">
        <f t="shared" si="132"/>
        <v>0</v>
      </c>
      <c r="AM304" s="437">
        <f t="shared" si="133"/>
        <v>0</v>
      </c>
      <c r="AN304" s="437">
        <f t="shared" si="134"/>
        <v>0</v>
      </c>
      <c r="AO304" s="437">
        <f t="shared" si="135"/>
        <v>0</v>
      </c>
      <c r="AP304" s="437">
        <f t="shared" si="138"/>
        <v>5005</v>
      </c>
      <c r="AQ304" s="437">
        <f t="shared" si="138"/>
        <v>0</v>
      </c>
      <c r="AR304" s="436"/>
      <c r="AS304" s="437">
        <f t="shared" si="126"/>
        <v>5005</v>
      </c>
    </row>
    <row r="305" spans="1:46" s="438" customFormat="1" ht="24.95" customHeight="1">
      <c r="A305" s="1134"/>
      <c r="B305" s="1134"/>
      <c r="C305" s="1139"/>
      <c r="D305" s="1134"/>
      <c r="E305" s="1140"/>
      <c r="F305" s="1134"/>
      <c r="G305" s="1112"/>
      <c r="H305" s="1112"/>
      <c r="I305" s="1112"/>
      <c r="J305" s="1112"/>
      <c r="K305" s="1112"/>
      <c r="L305" s="1112"/>
      <c r="M305" s="1112"/>
      <c r="N305" s="1112"/>
      <c r="O305" s="1112"/>
      <c r="P305" s="1112"/>
      <c r="Q305" s="1112"/>
      <c r="R305" s="1112"/>
      <c r="S305" s="1112"/>
      <c r="T305" s="1134"/>
      <c r="U305" s="1138"/>
      <c r="V305" s="1112"/>
      <c r="W305" s="1112"/>
      <c r="X305" s="1112"/>
      <c r="Y305" s="1112"/>
      <c r="Z305" s="1112"/>
      <c r="AA305" s="1109"/>
      <c r="AB305" s="1109"/>
      <c r="AC305" s="1112"/>
      <c r="AD305" s="1112"/>
      <c r="AE305" s="436">
        <f t="shared" si="127"/>
        <v>0</v>
      </c>
      <c r="AF305" s="436">
        <f t="shared" si="128"/>
        <v>0</v>
      </c>
      <c r="AG305" s="436">
        <f t="shared" si="129"/>
        <v>0</v>
      </c>
      <c r="AH305" s="436">
        <f t="shared" si="130"/>
        <v>0</v>
      </c>
      <c r="AI305" s="436">
        <f t="shared" si="137"/>
        <v>0</v>
      </c>
      <c r="AJ305" s="436">
        <f t="shared" si="108"/>
        <v>0</v>
      </c>
      <c r="AK305" s="437">
        <f t="shared" si="131"/>
        <v>0</v>
      </c>
      <c r="AL305" s="437">
        <f t="shared" si="132"/>
        <v>0</v>
      </c>
      <c r="AM305" s="437">
        <f t="shared" si="133"/>
        <v>0</v>
      </c>
      <c r="AN305" s="437">
        <f t="shared" si="134"/>
        <v>0</v>
      </c>
      <c r="AO305" s="437">
        <f t="shared" si="135"/>
        <v>0</v>
      </c>
      <c r="AP305" s="437">
        <f t="shared" si="138"/>
        <v>0</v>
      </c>
      <c r="AQ305" s="437">
        <f t="shared" si="138"/>
        <v>0</v>
      </c>
      <c r="AR305" s="436"/>
      <c r="AS305" s="437">
        <f t="shared" si="126"/>
        <v>0</v>
      </c>
    </row>
    <row r="306" spans="1:46" s="438" customFormat="1" ht="24.95" customHeight="1">
      <c r="A306" s="1134"/>
      <c r="B306" s="1134"/>
      <c r="C306" s="1139" t="s">
        <v>564</v>
      </c>
      <c r="D306" s="1134" t="s">
        <v>646</v>
      </c>
      <c r="E306" s="1134" t="s">
        <v>647</v>
      </c>
      <c r="F306" s="1134">
        <v>9</v>
      </c>
      <c r="G306" s="1112">
        <v>5005</v>
      </c>
      <c r="H306" s="1112"/>
      <c r="I306" s="1112"/>
      <c r="J306" s="1112"/>
      <c r="K306" s="1112"/>
      <c r="L306" s="1112"/>
      <c r="M306" s="1112"/>
      <c r="N306" s="1112">
        <f>G306+H307</f>
        <v>5005</v>
      </c>
      <c r="O306" s="1112">
        <v>0.5</v>
      </c>
      <c r="P306" s="1112"/>
      <c r="Q306" s="1112"/>
      <c r="R306" s="1112"/>
      <c r="S306" s="1112"/>
      <c r="T306" s="1134">
        <v>28</v>
      </c>
      <c r="U306" s="1138">
        <v>0.3</v>
      </c>
      <c r="V306" s="1112">
        <f>N306*U306</f>
        <v>1501.5</v>
      </c>
      <c r="W306" s="1112"/>
      <c r="X306" s="1112">
        <f>(N306+V306)*O306</f>
        <v>3253.25</v>
      </c>
      <c r="Y306" s="1112">
        <f>AB306</f>
        <v>3496.75</v>
      </c>
      <c r="Z306" s="1112">
        <f>X306+Y306</f>
        <v>6750</v>
      </c>
      <c r="AA306" s="1109">
        <f>13500*O306</f>
        <v>6750</v>
      </c>
      <c r="AB306" s="1109">
        <f>AA306-X306</f>
        <v>3496.75</v>
      </c>
      <c r="AC306" s="1112">
        <f>6500*O306</f>
        <v>3250</v>
      </c>
      <c r="AD306" s="1112"/>
      <c r="AE306" s="436">
        <f t="shared" si="127"/>
        <v>2502.5</v>
      </c>
      <c r="AF306" s="436">
        <f t="shared" si="128"/>
        <v>0</v>
      </c>
      <c r="AG306" s="436">
        <f t="shared" si="129"/>
        <v>2502.5</v>
      </c>
      <c r="AH306" s="436">
        <f t="shared" si="130"/>
        <v>0</v>
      </c>
      <c r="AI306" s="436">
        <f t="shared" si="137"/>
        <v>0</v>
      </c>
      <c r="AJ306" s="436">
        <f t="shared" si="108"/>
        <v>0</v>
      </c>
      <c r="AK306" s="437">
        <f t="shared" si="131"/>
        <v>750.75</v>
      </c>
      <c r="AL306" s="437">
        <f t="shared" si="132"/>
        <v>0</v>
      </c>
      <c r="AM306" s="437">
        <f t="shared" si="133"/>
        <v>0</v>
      </c>
      <c r="AN306" s="437">
        <f t="shared" si="134"/>
        <v>0</v>
      </c>
      <c r="AO306" s="437">
        <f t="shared" si="135"/>
        <v>0</v>
      </c>
      <c r="AP306" s="437">
        <f t="shared" si="138"/>
        <v>2502.5</v>
      </c>
      <c r="AQ306" s="437">
        <f t="shared" si="138"/>
        <v>0</v>
      </c>
      <c r="AR306" s="436"/>
      <c r="AS306" s="437">
        <f t="shared" si="126"/>
        <v>2502.5</v>
      </c>
    </row>
    <row r="307" spans="1:46" s="438" customFormat="1" ht="24.95" customHeight="1">
      <c r="A307" s="1134"/>
      <c r="B307" s="1134"/>
      <c r="C307" s="1139"/>
      <c r="D307" s="1134"/>
      <c r="E307" s="1134"/>
      <c r="F307" s="1134"/>
      <c r="G307" s="1112"/>
      <c r="H307" s="1112"/>
      <c r="I307" s="1112"/>
      <c r="J307" s="1112"/>
      <c r="K307" s="1112"/>
      <c r="L307" s="1112"/>
      <c r="M307" s="1112"/>
      <c r="N307" s="1112"/>
      <c r="O307" s="1112"/>
      <c r="P307" s="1112"/>
      <c r="Q307" s="1112"/>
      <c r="R307" s="1112"/>
      <c r="S307" s="1112"/>
      <c r="T307" s="1134"/>
      <c r="U307" s="1138"/>
      <c r="V307" s="1112"/>
      <c r="W307" s="1112"/>
      <c r="X307" s="1112"/>
      <c r="Y307" s="1112"/>
      <c r="Z307" s="1112"/>
      <c r="AA307" s="1109"/>
      <c r="AB307" s="1109"/>
      <c r="AC307" s="1112"/>
      <c r="AD307" s="1112"/>
      <c r="AE307" s="436">
        <f t="shared" si="127"/>
        <v>0</v>
      </c>
      <c r="AF307" s="436">
        <f t="shared" si="128"/>
        <v>0</v>
      </c>
      <c r="AG307" s="436">
        <f t="shared" si="129"/>
        <v>0</v>
      </c>
      <c r="AH307" s="436">
        <f t="shared" si="130"/>
        <v>0</v>
      </c>
      <c r="AI307" s="436">
        <f t="shared" si="137"/>
        <v>0</v>
      </c>
      <c r="AJ307" s="436">
        <f t="shared" si="108"/>
        <v>0</v>
      </c>
      <c r="AK307" s="437">
        <f t="shared" si="131"/>
        <v>0</v>
      </c>
      <c r="AL307" s="437">
        <f t="shared" si="132"/>
        <v>0</v>
      </c>
      <c r="AM307" s="437">
        <f t="shared" si="133"/>
        <v>0</v>
      </c>
      <c r="AN307" s="437">
        <f t="shared" si="134"/>
        <v>0</v>
      </c>
      <c r="AO307" s="437">
        <f t="shared" si="135"/>
        <v>0</v>
      </c>
      <c r="AP307" s="437">
        <f t="shared" si="138"/>
        <v>0</v>
      </c>
      <c r="AQ307" s="437">
        <f t="shared" si="138"/>
        <v>0</v>
      </c>
      <c r="AR307" s="436"/>
      <c r="AS307" s="437">
        <f t="shared" si="126"/>
        <v>0</v>
      </c>
    </row>
    <row r="308" spans="1:46" s="438" customFormat="1" ht="24.95" customHeight="1">
      <c r="A308" s="1134"/>
      <c r="B308" s="1134"/>
      <c r="C308" s="1139" t="s">
        <v>564</v>
      </c>
      <c r="D308" s="1134" t="s">
        <v>620</v>
      </c>
      <c r="E308" s="1140" t="s">
        <v>655</v>
      </c>
      <c r="F308" s="1134">
        <v>9</v>
      </c>
      <c r="G308" s="1112">
        <v>5005</v>
      </c>
      <c r="H308" s="1112"/>
      <c r="I308" s="1112"/>
      <c r="J308" s="1112"/>
      <c r="K308" s="1112"/>
      <c r="L308" s="1140"/>
      <c r="M308" s="1140"/>
      <c r="N308" s="1112">
        <f>G308+I309</f>
        <v>5005</v>
      </c>
      <c r="O308" s="1112">
        <v>1</v>
      </c>
      <c r="P308" s="1112"/>
      <c r="Q308" s="1140"/>
      <c r="R308" s="1140"/>
      <c r="S308" s="1140"/>
      <c r="T308" s="1134">
        <v>32</v>
      </c>
      <c r="U308" s="1138">
        <v>0.3</v>
      </c>
      <c r="V308" s="1112">
        <f>N308*U308</f>
        <v>1501.5</v>
      </c>
      <c r="W308" s="1112"/>
      <c r="X308" s="1112">
        <f>(N308+V308)*O308</f>
        <v>6506.5</v>
      </c>
      <c r="Y308" s="1112">
        <f>AB308</f>
        <v>6993.5</v>
      </c>
      <c r="Z308" s="1112">
        <f>X308+Y308</f>
        <v>13500</v>
      </c>
      <c r="AA308" s="1109">
        <f>13500*O308</f>
        <v>13500</v>
      </c>
      <c r="AB308" s="1109">
        <f>AA308-X308</f>
        <v>6993.5</v>
      </c>
      <c r="AC308" s="1112">
        <f>6500*O308</f>
        <v>6500</v>
      </c>
      <c r="AD308" s="1112"/>
      <c r="AE308" s="436">
        <f t="shared" si="127"/>
        <v>5005</v>
      </c>
      <c r="AF308" s="436">
        <f t="shared" si="128"/>
        <v>0</v>
      </c>
      <c r="AG308" s="436">
        <f t="shared" si="129"/>
        <v>5005</v>
      </c>
      <c r="AH308" s="436">
        <f t="shared" si="130"/>
        <v>0</v>
      </c>
      <c r="AI308" s="436">
        <f t="shared" si="137"/>
        <v>0</v>
      </c>
      <c r="AJ308" s="436">
        <f t="shared" si="108"/>
        <v>0</v>
      </c>
      <c r="AK308" s="437">
        <f t="shared" si="131"/>
        <v>1501.5</v>
      </c>
      <c r="AL308" s="437">
        <f t="shared" si="132"/>
        <v>0</v>
      </c>
      <c r="AM308" s="437">
        <f t="shared" si="133"/>
        <v>0</v>
      </c>
      <c r="AN308" s="437">
        <f t="shared" si="134"/>
        <v>0</v>
      </c>
      <c r="AO308" s="437">
        <f t="shared" si="135"/>
        <v>0</v>
      </c>
      <c r="AP308" s="437">
        <f t="shared" si="138"/>
        <v>5005</v>
      </c>
      <c r="AQ308" s="437">
        <f t="shared" si="138"/>
        <v>0</v>
      </c>
      <c r="AR308" s="436"/>
      <c r="AS308" s="437">
        <f t="shared" si="126"/>
        <v>5005</v>
      </c>
    </row>
    <row r="309" spans="1:46" s="438" customFormat="1" ht="24.95" customHeight="1">
      <c r="A309" s="1134"/>
      <c r="B309" s="1134"/>
      <c r="C309" s="1139"/>
      <c r="D309" s="1134"/>
      <c r="E309" s="1140"/>
      <c r="F309" s="1134"/>
      <c r="G309" s="1112"/>
      <c r="H309" s="1112"/>
      <c r="I309" s="1112"/>
      <c r="J309" s="1112"/>
      <c r="K309" s="1112"/>
      <c r="L309" s="1140"/>
      <c r="M309" s="1140"/>
      <c r="N309" s="1112"/>
      <c r="O309" s="1112"/>
      <c r="P309" s="1112"/>
      <c r="Q309" s="1140"/>
      <c r="R309" s="1140"/>
      <c r="S309" s="1140"/>
      <c r="T309" s="1134"/>
      <c r="U309" s="1138"/>
      <c r="V309" s="1112"/>
      <c r="W309" s="1112"/>
      <c r="X309" s="1112"/>
      <c r="Y309" s="1112"/>
      <c r="Z309" s="1112"/>
      <c r="AA309" s="1109"/>
      <c r="AB309" s="1109"/>
      <c r="AC309" s="1112"/>
      <c r="AD309" s="1112"/>
      <c r="AE309" s="436">
        <f t="shared" si="127"/>
        <v>0</v>
      </c>
      <c r="AF309" s="436">
        <f t="shared" si="128"/>
        <v>0</v>
      </c>
      <c r="AG309" s="436">
        <f t="shared" si="129"/>
        <v>0</v>
      </c>
      <c r="AH309" s="436">
        <f t="shared" si="130"/>
        <v>0</v>
      </c>
      <c r="AI309" s="436">
        <f t="shared" si="137"/>
        <v>0</v>
      </c>
      <c r="AJ309" s="436">
        <f t="shared" si="108"/>
        <v>0</v>
      </c>
      <c r="AK309" s="437">
        <f t="shared" si="131"/>
        <v>0</v>
      </c>
      <c r="AL309" s="437">
        <f t="shared" si="132"/>
        <v>0</v>
      </c>
      <c r="AM309" s="437">
        <f t="shared" si="133"/>
        <v>0</v>
      </c>
      <c r="AN309" s="437">
        <f t="shared" si="134"/>
        <v>0</v>
      </c>
      <c r="AO309" s="437">
        <f t="shared" si="135"/>
        <v>0</v>
      </c>
      <c r="AP309" s="437">
        <f t="shared" si="138"/>
        <v>0</v>
      </c>
      <c r="AQ309" s="437">
        <f t="shared" si="138"/>
        <v>0</v>
      </c>
      <c r="AR309" s="436"/>
      <c r="AS309" s="437">
        <f t="shared" si="126"/>
        <v>0</v>
      </c>
    </row>
    <row r="310" spans="1:46" s="438" customFormat="1" ht="24.95" customHeight="1">
      <c r="A310" s="1134"/>
      <c r="B310" s="1134"/>
      <c r="C310" s="1139" t="s">
        <v>564</v>
      </c>
      <c r="D310" s="1134"/>
      <c r="E310" s="1140"/>
      <c r="F310" s="1134">
        <v>9</v>
      </c>
      <c r="G310" s="1112">
        <v>5005</v>
      </c>
      <c r="H310" s="1112"/>
      <c r="I310" s="1138"/>
      <c r="J310" s="1138"/>
      <c r="K310" s="1112"/>
      <c r="L310" s="1140"/>
      <c r="M310" s="1140"/>
      <c r="N310" s="1112">
        <f>G310+I311</f>
        <v>5005</v>
      </c>
      <c r="O310" s="1112"/>
      <c r="P310" s="1112"/>
      <c r="Q310" s="1140"/>
      <c r="R310" s="1140"/>
      <c r="S310" s="1140"/>
      <c r="T310" s="1134">
        <v>30</v>
      </c>
      <c r="U310" s="1138">
        <v>0.3</v>
      </c>
      <c r="V310" s="1112">
        <f>N310*U310</f>
        <v>1501.5</v>
      </c>
      <c r="W310" s="1112"/>
      <c r="X310" s="1112">
        <f>(N310+V310)*O310</f>
        <v>0</v>
      </c>
      <c r="Y310" s="1112">
        <f>AB310</f>
        <v>0</v>
      </c>
      <c r="Z310" s="1112">
        <f>X310+Y310</f>
        <v>0</v>
      </c>
      <c r="AA310" s="1109">
        <f>13500*O310</f>
        <v>0</v>
      </c>
      <c r="AB310" s="1109">
        <f>AA310-X310</f>
        <v>0</v>
      </c>
      <c r="AC310" s="1112">
        <f>6500*O310</f>
        <v>0</v>
      </c>
      <c r="AD310" s="1112"/>
      <c r="AE310" s="436">
        <f t="shared" si="127"/>
        <v>0</v>
      </c>
      <c r="AF310" s="436">
        <f t="shared" si="128"/>
        <v>0</v>
      </c>
      <c r="AG310" s="436">
        <f t="shared" si="129"/>
        <v>0</v>
      </c>
      <c r="AH310" s="436">
        <f t="shared" si="130"/>
        <v>0</v>
      </c>
      <c r="AI310" s="436">
        <f t="shared" si="137"/>
        <v>0</v>
      </c>
      <c r="AJ310" s="436">
        <f t="shared" si="108"/>
        <v>0</v>
      </c>
      <c r="AK310" s="437">
        <f t="shared" si="131"/>
        <v>0</v>
      </c>
      <c r="AL310" s="437">
        <f t="shared" si="132"/>
        <v>0</v>
      </c>
      <c r="AM310" s="437">
        <f t="shared" si="133"/>
        <v>0</v>
      </c>
      <c r="AN310" s="437">
        <f t="shared" si="134"/>
        <v>0</v>
      </c>
      <c r="AO310" s="437">
        <f t="shared" si="135"/>
        <v>0</v>
      </c>
      <c r="AP310" s="437">
        <f t="shared" si="138"/>
        <v>0</v>
      </c>
      <c r="AQ310" s="437">
        <f t="shared" si="138"/>
        <v>0</v>
      </c>
      <c r="AR310" s="436"/>
      <c r="AS310" s="437">
        <f t="shared" si="126"/>
        <v>0</v>
      </c>
    </row>
    <row r="311" spans="1:46" s="438" customFormat="1" ht="24.95" customHeight="1">
      <c r="A311" s="1134"/>
      <c r="B311" s="1134"/>
      <c r="C311" s="1139"/>
      <c r="D311" s="1134"/>
      <c r="E311" s="1140"/>
      <c r="F311" s="1134"/>
      <c r="G311" s="1112"/>
      <c r="H311" s="1112"/>
      <c r="I311" s="1134"/>
      <c r="J311" s="1134"/>
      <c r="K311" s="1112"/>
      <c r="L311" s="1140"/>
      <c r="M311" s="1140"/>
      <c r="N311" s="1112"/>
      <c r="O311" s="1112"/>
      <c r="P311" s="1112"/>
      <c r="Q311" s="1140"/>
      <c r="R311" s="1140"/>
      <c r="S311" s="1140"/>
      <c r="T311" s="1134"/>
      <c r="U311" s="1138"/>
      <c r="V311" s="1112"/>
      <c r="W311" s="1112"/>
      <c r="X311" s="1112"/>
      <c r="Y311" s="1112"/>
      <c r="Z311" s="1112"/>
      <c r="AA311" s="1109"/>
      <c r="AB311" s="1109"/>
      <c r="AC311" s="1112"/>
      <c r="AD311" s="1112"/>
      <c r="AE311" s="436">
        <f t="shared" si="127"/>
        <v>0</v>
      </c>
      <c r="AF311" s="436">
        <f t="shared" si="128"/>
        <v>0</v>
      </c>
      <c r="AG311" s="436">
        <f t="shared" si="129"/>
        <v>0</v>
      </c>
      <c r="AH311" s="436">
        <f t="shared" si="130"/>
        <v>0</v>
      </c>
      <c r="AI311" s="436">
        <f t="shared" si="137"/>
        <v>0</v>
      </c>
      <c r="AJ311" s="436">
        <f t="shared" si="108"/>
        <v>0</v>
      </c>
      <c r="AK311" s="437">
        <f t="shared" si="131"/>
        <v>0</v>
      </c>
      <c r="AL311" s="437">
        <f t="shared" si="132"/>
        <v>0</v>
      </c>
      <c r="AM311" s="437">
        <f t="shared" si="133"/>
        <v>0</v>
      </c>
      <c r="AN311" s="437">
        <f t="shared" si="134"/>
        <v>0</v>
      </c>
      <c r="AO311" s="437">
        <f t="shared" si="135"/>
        <v>0</v>
      </c>
      <c r="AP311" s="437">
        <f t="shared" si="138"/>
        <v>0</v>
      </c>
      <c r="AQ311" s="437">
        <f t="shared" si="138"/>
        <v>0</v>
      </c>
      <c r="AR311" s="436"/>
      <c r="AS311" s="437">
        <f t="shared" si="126"/>
        <v>0</v>
      </c>
    </row>
    <row r="312" spans="1:46" s="438" customFormat="1" ht="24.95" customHeight="1">
      <c r="A312" s="1134"/>
      <c r="B312" s="1134"/>
      <c r="C312" s="1139" t="s">
        <v>564</v>
      </c>
      <c r="D312" s="1134" t="s">
        <v>639</v>
      </c>
      <c r="E312" s="1134" t="s">
        <v>656</v>
      </c>
      <c r="F312" s="1134">
        <v>9</v>
      </c>
      <c r="G312" s="1112">
        <v>5005</v>
      </c>
      <c r="H312" s="1112"/>
      <c r="I312" s="1112"/>
      <c r="J312" s="1112"/>
      <c r="K312" s="1112"/>
      <c r="L312" s="1112"/>
      <c r="M312" s="1112"/>
      <c r="N312" s="1112">
        <f>G312+I313</f>
        <v>5005</v>
      </c>
      <c r="O312" s="1112">
        <v>1</v>
      </c>
      <c r="P312" s="1112"/>
      <c r="Q312" s="1112"/>
      <c r="R312" s="1112"/>
      <c r="S312" s="1112"/>
      <c r="T312" s="1134">
        <v>28</v>
      </c>
      <c r="U312" s="1138">
        <v>0.3</v>
      </c>
      <c r="V312" s="1112">
        <f>N312*U312</f>
        <v>1501.5</v>
      </c>
      <c r="W312" s="1112"/>
      <c r="X312" s="1112">
        <f>(N312+V312)*O312+W312</f>
        <v>6506.5</v>
      </c>
      <c r="Y312" s="1112">
        <f>AB312</f>
        <v>6993.5</v>
      </c>
      <c r="Z312" s="1112">
        <f>X312+Y312</f>
        <v>13500</v>
      </c>
      <c r="AA312" s="1109">
        <f>13500*O312</f>
        <v>13500</v>
      </c>
      <c r="AB312" s="1109">
        <f>AA312-X312</f>
        <v>6993.5</v>
      </c>
      <c r="AC312" s="1112">
        <f>6500*O312</f>
        <v>6500</v>
      </c>
      <c r="AD312" s="1112"/>
      <c r="AE312" s="436">
        <f t="shared" si="127"/>
        <v>5005</v>
      </c>
      <c r="AF312" s="436">
        <f t="shared" si="128"/>
        <v>0</v>
      </c>
      <c r="AG312" s="436">
        <f t="shared" si="129"/>
        <v>5005</v>
      </c>
      <c r="AH312" s="436">
        <f t="shared" si="130"/>
        <v>0</v>
      </c>
      <c r="AI312" s="436">
        <f t="shared" si="137"/>
        <v>0</v>
      </c>
      <c r="AJ312" s="436">
        <f t="shared" si="108"/>
        <v>0</v>
      </c>
      <c r="AK312" s="437">
        <f t="shared" si="131"/>
        <v>1501.5</v>
      </c>
      <c r="AL312" s="437">
        <f t="shared" si="132"/>
        <v>0</v>
      </c>
      <c r="AM312" s="437">
        <f t="shared" si="133"/>
        <v>0</v>
      </c>
      <c r="AN312" s="437">
        <f t="shared" si="134"/>
        <v>0</v>
      </c>
      <c r="AO312" s="437">
        <f t="shared" si="135"/>
        <v>0</v>
      </c>
      <c r="AP312" s="437">
        <f t="shared" si="138"/>
        <v>5005</v>
      </c>
      <c r="AQ312" s="437">
        <f t="shared" si="138"/>
        <v>0</v>
      </c>
      <c r="AR312" s="436"/>
      <c r="AS312" s="437">
        <f t="shared" si="126"/>
        <v>5005</v>
      </c>
    </row>
    <row r="313" spans="1:46" s="438" customFormat="1" ht="24.95" customHeight="1">
      <c r="A313" s="1134"/>
      <c r="B313" s="1134"/>
      <c r="C313" s="1139"/>
      <c r="D313" s="1134"/>
      <c r="E313" s="1134"/>
      <c r="F313" s="1134"/>
      <c r="G313" s="1112"/>
      <c r="H313" s="1112"/>
      <c r="I313" s="1112"/>
      <c r="J313" s="1112"/>
      <c r="K313" s="1112"/>
      <c r="L313" s="1112"/>
      <c r="M313" s="1112"/>
      <c r="N313" s="1112"/>
      <c r="O313" s="1112"/>
      <c r="P313" s="1112"/>
      <c r="Q313" s="1112"/>
      <c r="R313" s="1112"/>
      <c r="S313" s="1112"/>
      <c r="T313" s="1134"/>
      <c r="U313" s="1138"/>
      <c r="V313" s="1112"/>
      <c r="W313" s="1112"/>
      <c r="X313" s="1112"/>
      <c r="Y313" s="1112"/>
      <c r="Z313" s="1112"/>
      <c r="AA313" s="1109"/>
      <c r="AB313" s="1109"/>
      <c r="AC313" s="1112"/>
      <c r="AD313" s="1112"/>
      <c r="AE313" s="436">
        <f t="shared" si="127"/>
        <v>0</v>
      </c>
      <c r="AF313" s="436">
        <f t="shared" si="128"/>
        <v>0</v>
      </c>
      <c r="AG313" s="436">
        <f t="shared" si="129"/>
        <v>0</v>
      </c>
      <c r="AH313" s="436">
        <f t="shared" si="130"/>
        <v>0</v>
      </c>
      <c r="AI313" s="436">
        <f t="shared" si="137"/>
        <v>0</v>
      </c>
      <c r="AJ313" s="436">
        <f t="shared" si="108"/>
        <v>0</v>
      </c>
      <c r="AK313" s="437">
        <f t="shared" si="131"/>
        <v>0</v>
      </c>
      <c r="AL313" s="437">
        <f t="shared" si="132"/>
        <v>0</v>
      </c>
      <c r="AM313" s="437">
        <f t="shared" si="133"/>
        <v>0</v>
      </c>
      <c r="AN313" s="437">
        <f t="shared" si="134"/>
        <v>0</v>
      </c>
      <c r="AO313" s="437">
        <f t="shared" si="135"/>
        <v>0</v>
      </c>
      <c r="AP313" s="437">
        <f t="shared" si="138"/>
        <v>0</v>
      </c>
      <c r="AQ313" s="437">
        <f t="shared" si="138"/>
        <v>0</v>
      </c>
      <c r="AR313" s="436"/>
      <c r="AS313" s="437">
        <f t="shared" si="126"/>
        <v>0</v>
      </c>
    </row>
    <row r="314" spans="1:46" s="446" customFormat="1" ht="24.95" customHeight="1">
      <c r="A314" s="441"/>
      <c r="B314" s="441"/>
      <c r="C314" s="442" t="s">
        <v>318</v>
      </c>
      <c r="D314" s="443"/>
      <c r="E314" s="441"/>
      <c r="F314" s="441"/>
      <c r="G314" s="444">
        <f>SUM(G298:G313)</f>
        <v>40040</v>
      </c>
      <c r="H314" s="441">
        <f>H299</f>
        <v>500.5</v>
      </c>
      <c r="I314" s="441"/>
      <c r="J314" s="441"/>
      <c r="K314" s="441"/>
      <c r="L314" s="441"/>
      <c r="M314" s="441"/>
      <c r="N314" s="444">
        <f>SUM(N298:N313)</f>
        <v>40540.5</v>
      </c>
      <c r="O314" s="444">
        <f>SUM(O298:O313)</f>
        <v>6.5</v>
      </c>
      <c r="P314" s="444">
        <f>SUM(P298:P313)</f>
        <v>0</v>
      </c>
      <c r="Q314" s="444"/>
      <c r="R314" s="444"/>
      <c r="S314" s="444"/>
      <c r="T314" s="444"/>
      <c r="U314" s="444"/>
      <c r="V314" s="444">
        <f t="shared" ref="V314:AD314" si="139">SUM(V298:V313)</f>
        <v>11661.65</v>
      </c>
      <c r="W314" s="444">
        <f t="shared" si="139"/>
        <v>494</v>
      </c>
      <c r="X314" s="444">
        <f t="shared" si="139"/>
        <v>42936.4</v>
      </c>
      <c r="Y314" s="444">
        <f t="shared" si="139"/>
        <v>44813.599999999999</v>
      </c>
      <c r="Z314" s="444">
        <f t="shared" si="139"/>
        <v>87750</v>
      </c>
      <c r="AA314" s="499">
        <f t="shared" si="139"/>
        <v>87750</v>
      </c>
      <c r="AB314" s="499">
        <f t="shared" si="139"/>
        <v>44813.599999999999</v>
      </c>
      <c r="AC314" s="444">
        <f t="shared" si="139"/>
        <v>42250</v>
      </c>
      <c r="AD314" s="444">
        <f t="shared" si="139"/>
        <v>494</v>
      </c>
      <c r="AE314" s="436"/>
      <c r="AF314" s="436"/>
      <c r="AG314" s="436"/>
      <c r="AH314" s="436"/>
      <c r="AI314" s="436"/>
      <c r="AJ314" s="436"/>
      <c r="AK314" s="437"/>
      <c r="AL314" s="437"/>
      <c r="AM314" s="437"/>
      <c r="AN314" s="437"/>
      <c r="AO314" s="437"/>
      <c r="AP314" s="437">
        <f t="shared" si="138"/>
        <v>0</v>
      </c>
      <c r="AQ314" s="437">
        <f t="shared" si="138"/>
        <v>0</v>
      </c>
      <c r="AR314" s="436"/>
      <c r="AS314" s="437">
        <f t="shared" si="126"/>
        <v>0</v>
      </c>
      <c r="AT314" s="457"/>
    </row>
    <row r="315" spans="1:46" s="456" customFormat="1" ht="24.95" customHeight="1">
      <c r="A315" s="455"/>
      <c r="B315" s="455"/>
      <c r="C315" s="1136" t="s">
        <v>1031</v>
      </c>
      <c r="D315" s="1136"/>
      <c r="E315" s="455"/>
      <c r="F315" s="455"/>
      <c r="G315" s="455"/>
      <c r="H315" s="455"/>
      <c r="I315" s="455"/>
      <c r="J315" s="455"/>
      <c r="K315" s="455"/>
      <c r="L315" s="455"/>
      <c r="M315" s="455"/>
      <c r="N315" s="455"/>
      <c r="O315" s="455"/>
      <c r="P315" s="455"/>
      <c r="Q315" s="455"/>
      <c r="R315" s="455"/>
      <c r="S315" s="455"/>
      <c r="T315" s="455"/>
      <c r="U315" s="455"/>
      <c r="V315" s="455"/>
      <c r="W315" s="455"/>
      <c r="X315" s="455"/>
      <c r="Y315" s="455"/>
      <c r="Z315" s="455"/>
      <c r="AA315" s="504"/>
      <c r="AB315" s="504"/>
      <c r="AC315" s="455"/>
      <c r="AD315" s="455"/>
      <c r="AE315" s="436">
        <f t="shared" si="127"/>
        <v>0</v>
      </c>
      <c r="AF315" s="436">
        <f t="shared" si="128"/>
        <v>0</v>
      </c>
      <c r="AG315" s="436">
        <f t="shared" si="129"/>
        <v>0</v>
      </c>
      <c r="AH315" s="436">
        <f t="shared" si="130"/>
        <v>0</v>
      </c>
      <c r="AI315" s="436">
        <f t="shared" ref="AI315:AJ330" si="140">AG315-AE315</f>
        <v>0</v>
      </c>
      <c r="AJ315" s="436">
        <f t="shared" si="108"/>
        <v>0</v>
      </c>
      <c r="AK315" s="437">
        <f t="shared" si="131"/>
        <v>0</v>
      </c>
      <c r="AL315" s="437">
        <f t="shared" si="132"/>
        <v>0</v>
      </c>
      <c r="AM315" s="437">
        <f t="shared" si="133"/>
        <v>0</v>
      </c>
      <c r="AN315" s="437">
        <f t="shared" si="134"/>
        <v>0</v>
      </c>
      <c r="AO315" s="437">
        <f t="shared" si="135"/>
        <v>0</v>
      </c>
      <c r="AP315" s="437">
        <f t="shared" si="138"/>
        <v>0</v>
      </c>
      <c r="AQ315" s="437">
        <f t="shared" si="138"/>
        <v>0</v>
      </c>
      <c r="AR315" s="436"/>
      <c r="AS315" s="437">
        <f t="shared" si="126"/>
        <v>0</v>
      </c>
      <c r="AT315" s="457"/>
    </row>
    <row r="316" spans="1:46" s="461" customFormat="1" ht="24.95" customHeight="1">
      <c r="A316" s="1143"/>
      <c r="B316" s="1143"/>
      <c r="C316" s="1141" t="s">
        <v>590</v>
      </c>
      <c r="D316" s="1134" t="s">
        <v>1056</v>
      </c>
      <c r="E316" s="1144" t="s">
        <v>658</v>
      </c>
      <c r="F316" s="1143">
        <v>9</v>
      </c>
      <c r="G316" s="1142">
        <v>5005</v>
      </c>
      <c r="H316" s="458">
        <v>0.1</v>
      </c>
      <c r="I316" s="1142"/>
      <c r="J316" s="1142"/>
      <c r="K316" s="1142"/>
      <c r="L316" s="1142"/>
      <c r="M316" s="1142"/>
      <c r="N316" s="1142">
        <f>G316+H317</f>
        <v>5505.5</v>
      </c>
      <c r="O316" s="1142">
        <v>1</v>
      </c>
      <c r="P316" s="1142"/>
      <c r="Q316" s="1142"/>
      <c r="R316" s="1142"/>
      <c r="S316" s="1142"/>
      <c r="T316" s="1143">
        <v>14</v>
      </c>
      <c r="U316" s="1173">
        <v>0.2</v>
      </c>
      <c r="V316" s="1142">
        <f>N316*U316</f>
        <v>1101.1000000000001</v>
      </c>
      <c r="W316" s="1142"/>
      <c r="X316" s="1142">
        <f>(N316+V316)*O316+W316</f>
        <v>6606.6</v>
      </c>
      <c r="Y316" s="1112">
        <f>AB316</f>
        <v>6893.4</v>
      </c>
      <c r="Z316" s="1112">
        <f>X316+Y316</f>
        <v>13500</v>
      </c>
      <c r="AA316" s="1109">
        <f>13500*O316</f>
        <v>13500</v>
      </c>
      <c r="AB316" s="1109">
        <f>AA316-X316</f>
        <v>6893.4</v>
      </c>
      <c r="AC316" s="1112">
        <f>6500*O316</f>
        <v>6500</v>
      </c>
      <c r="AD316" s="1142"/>
      <c r="AE316" s="459">
        <f t="shared" si="127"/>
        <v>5005</v>
      </c>
      <c r="AF316" s="459">
        <f t="shared" si="128"/>
        <v>0</v>
      </c>
      <c r="AG316" s="459">
        <f t="shared" si="129"/>
        <v>5505.5</v>
      </c>
      <c r="AH316" s="459">
        <f t="shared" si="130"/>
        <v>0</v>
      </c>
      <c r="AI316" s="459">
        <f t="shared" si="140"/>
        <v>500.5</v>
      </c>
      <c r="AJ316" s="459">
        <f t="shared" si="108"/>
        <v>0</v>
      </c>
      <c r="AK316" s="460">
        <f t="shared" si="131"/>
        <v>1101.1000000000001</v>
      </c>
      <c r="AL316" s="460">
        <f t="shared" si="132"/>
        <v>0</v>
      </c>
      <c r="AM316" s="460">
        <f t="shared" si="133"/>
        <v>0</v>
      </c>
      <c r="AN316" s="460">
        <f t="shared" si="134"/>
        <v>0</v>
      </c>
      <c r="AO316" s="460">
        <f t="shared" si="135"/>
        <v>0</v>
      </c>
      <c r="AP316" s="460">
        <f t="shared" si="138"/>
        <v>5505.5</v>
      </c>
      <c r="AQ316" s="460">
        <f t="shared" si="138"/>
        <v>0</v>
      </c>
      <c r="AR316" s="459"/>
      <c r="AS316" s="460">
        <f t="shared" si="126"/>
        <v>5505.5</v>
      </c>
      <c r="AT316" s="438"/>
    </row>
    <row r="317" spans="1:46" s="461" customFormat="1" ht="24.95" customHeight="1">
      <c r="A317" s="1143"/>
      <c r="B317" s="1143"/>
      <c r="C317" s="1141"/>
      <c r="D317" s="1134"/>
      <c r="E317" s="1144"/>
      <c r="F317" s="1143"/>
      <c r="G317" s="1142"/>
      <c r="H317" s="462">
        <f>G316*H316</f>
        <v>500.5</v>
      </c>
      <c r="I317" s="1142"/>
      <c r="J317" s="1142"/>
      <c r="K317" s="1142"/>
      <c r="L317" s="1142"/>
      <c r="M317" s="1142"/>
      <c r="N317" s="1142"/>
      <c r="O317" s="1142"/>
      <c r="P317" s="1142"/>
      <c r="Q317" s="1142"/>
      <c r="R317" s="1142"/>
      <c r="S317" s="1142"/>
      <c r="T317" s="1143"/>
      <c r="U317" s="1173"/>
      <c r="V317" s="1142"/>
      <c r="W317" s="1142"/>
      <c r="X317" s="1142"/>
      <c r="Y317" s="1112"/>
      <c r="Z317" s="1112"/>
      <c r="AA317" s="1109"/>
      <c r="AB317" s="1109"/>
      <c r="AC317" s="1112"/>
      <c r="AD317" s="1142"/>
      <c r="AE317" s="459">
        <f t="shared" si="127"/>
        <v>0</v>
      </c>
      <c r="AF317" s="459">
        <f t="shared" si="128"/>
        <v>0</v>
      </c>
      <c r="AG317" s="459">
        <f t="shared" si="129"/>
        <v>0</v>
      </c>
      <c r="AH317" s="459">
        <f t="shared" si="130"/>
        <v>0</v>
      </c>
      <c r="AI317" s="459">
        <f t="shared" si="140"/>
        <v>0</v>
      </c>
      <c r="AJ317" s="459">
        <f t="shared" si="108"/>
        <v>0</v>
      </c>
      <c r="AK317" s="460">
        <f t="shared" si="131"/>
        <v>0</v>
      </c>
      <c r="AL317" s="460">
        <f t="shared" si="132"/>
        <v>0</v>
      </c>
      <c r="AM317" s="460">
        <f t="shared" si="133"/>
        <v>0</v>
      </c>
      <c r="AN317" s="460">
        <f t="shared" si="134"/>
        <v>0</v>
      </c>
      <c r="AO317" s="460">
        <f t="shared" si="135"/>
        <v>0</v>
      </c>
      <c r="AP317" s="460">
        <f t="shared" si="138"/>
        <v>0</v>
      </c>
      <c r="AQ317" s="460">
        <f t="shared" si="138"/>
        <v>0</v>
      </c>
      <c r="AR317" s="459"/>
      <c r="AS317" s="460">
        <f t="shared" si="126"/>
        <v>0</v>
      </c>
      <c r="AT317" s="438"/>
    </row>
    <row r="318" spans="1:46" s="461" customFormat="1" ht="24.95" customHeight="1">
      <c r="A318" s="1143"/>
      <c r="B318" s="1143"/>
      <c r="C318" s="1141" t="s">
        <v>657</v>
      </c>
      <c r="D318" s="1134" t="s">
        <v>605</v>
      </c>
      <c r="E318" s="1134" t="s">
        <v>606</v>
      </c>
      <c r="F318" s="1143">
        <v>9</v>
      </c>
      <c r="G318" s="1142">
        <v>5005</v>
      </c>
      <c r="H318" s="1142"/>
      <c r="I318" s="1142"/>
      <c r="J318" s="1142"/>
      <c r="K318" s="1142"/>
      <c r="L318" s="1142"/>
      <c r="M318" s="1142"/>
      <c r="N318" s="1142">
        <f>G318+H319</f>
        <v>5005</v>
      </c>
      <c r="O318" s="1142">
        <v>1</v>
      </c>
      <c r="P318" s="1142"/>
      <c r="Q318" s="1142"/>
      <c r="R318" s="1142"/>
      <c r="S318" s="1142"/>
      <c r="T318" s="1143">
        <v>26</v>
      </c>
      <c r="U318" s="1173">
        <v>0.3</v>
      </c>
      <c r="V318" s="1142">
        <f>N318*U318</f>
        <v>1501.5</v>
      </c>
      <c r="W318" s="1142"/>
      <c r="X318" s="1142">
        <f>(N318+V318)*O318+W318</f>
        <v>6506.5</v>
      </c>
      <c r="Y318" s="1112">
        <f>AB318</f>
        <v>6993.5</v>
      </c>
      <c r="Z318" s="1112">
        <f>X318+Y318</f>
        <v>13500</v>
      </c>
      <c r="AA318" s="1109">
        <f>13500*O318</f>
        <v>13500</v>
      </c>
      <c r="AB318" s="1109">
        <f>AA318-X318</f>
        <v>6993.5</v>
      </c>
      <c r="AC318" s="1112">
        <f>6500*O318</f>
        <v>6500</v>
      </c>
      <c r="AD318" s="1142"/>
      <c r="AE318" s="459">
        <f t="shared" si="127"/>
        <v>5005</v>
      </c>
      <c r="AF318" s="459">
        <f t="shared" si="128"/>
        <v>0</v>
      </c>
      <c r="AG318" s="459">
        <f t="shared" si="129"/>
        <v>5005</v>
      </c>
      <c r="AH318" s="459">
        <f t="shared" si="130"/>
        <v>0</v>
      </c>
      <c r="AI318" s="459">
        <f t="shared" si="140"/>
        <v>0</v>
      </c>
      <c r="AJ318" s="459">
        <f t="shared" si="108"/>
        <v>0</v>
      </c>
      <c r="AK318" s="460">
        <f t="shared" si="131"/>
        <v>1501.5</v>
      </c>
      <c r="AL318" s="460">
        <f t="shared" si="132"/>
        <v>0</v>
      </c>
      <c r="AM318" s="460">
        <f t="shared" si="133"/>
        <v>0</v>
      </c>
      <c r="AN318" s="460">
        <f t="shared" si="134"/>
        <v>0</v>
      </c>
      <c r="AO318" s="460">
        <f t="shared" si="135"/>
        <v>0</v>
      </c>
      <c r="AP318" s="460">
        <f t="shared" si="138"/>
        <v>5005</v>
      </c>
      <c r="AQ318" s="460">
        <f t="shared" si="138"/>
        <v>0</v>
      </c>
      <c r="AR318" s="459"/>
      <c r="AS318" s="460">
        <f t="shared" si="126"/>
        <v>5005</v>
      </c>
      <c r="AT318" s="438"/>
    </row>
    <row r="319" spans="1:46" s="461" customFormat="1" ht="24.95" customHeight="1">
      <c r="A319" s="1143"/>
      <c r="B319" s="1143"/>
      <c r="C319" s="1141"/>
      <c r="D319" s="1134"/>
      <c r="E319" s="1134"/>
      <c r="F319" s="1143"/>
      <c r="G319" s="1142"/>
      <c r="H319" s="1142"/>
      <c r="I319" s="1142"/>
      <c r="J319" s="1142"/>
      <c r="K319" s="1142"/>
      <c r="L319" s="1142"/>
      <c r="M319" s="1142"/>
      <c r="N319" s="1142"/>
      <c r="O319" s="1142"/>
      <c r="P319" s="1142"/>
      <c r="Q319" s="1142"/>
      <c r="R319" s="1142"/>
      <c r="S319" s="1142"/>
      <c r="T319" s="1143"/>
      <c r="U319" s="1173"/>
      <c r="V319" s="1142"/>
      <c r="W319" s="1142"/>
      <c r="X319" s="1142"/>
      <c r="Y319" s="1112"/>
      <c r="Z319" s="1112"/>
      <c r="AA319" s="1109"/>
      <c r="AB319" s="1109"/>
      <c r="AC319" s="1112"/>
      <c r="AD319" s="1142"/>
      <c r="AE319" s="459">
        <f t="shared" si="127"/>
        <v>0</v>
      </c>
      <c r="AF319" s="459">
        <f t="shared" si="128"/>
        <v>0</v>
      </c>
      <c r="AG319" s="459">
        <f t="shared" si="129"/>
        <v>0</v>
      </c>
      <c r="AH319" s="459">
        <f t="shared" si="130"/>
        <v>0</v>
      </c>
      <c r="AI319" s="459">
        <f t="shared" si="140"/>
        <v>0</v>
      </c>
      <c r="AJ319" s="459">
        <f t="shared" si="108"/>
        <v>0</v>
      </c>
      <c r="AK319" s="460">
        <f t="shared" si="131"/>
        <v>0</v>
      </c>
      <c r="AL319" s="460">
        <f t="shared" si="132"/>
        <v>0</v>
      </c>
      <c r="AM319" s="460">
        <f t="shared" si="133"/>
        <v>0</v>
      </c>
      <c r="AN319" s="460">
        <f t="shared" si="134"/>
        <v>0</v>
      </c>
      <c r="AO319" s="460">
        <f t="shared" si="135"/>
        <v>0</v>
      </c>
      <c r="AP319" s="460">
        <f t="shared" si="138"/>
        <v>0</v>
      </c>
      <c r="AQ319" s="460">
        <f t="shared" si="138"/>
        <v>0</v>
      </c>
      <c r="AR319" s="459"/>
      <c r="AS319" s="460">
        <f t="shared" si="126"/>
        <v>0</v>
      </c>
      <c r="AT319" s="438"/>
    </row>
    <row r="320" spans="1:46" s="461" customFormat="1" ht="24.95" customHeight="1">
      <c r="A320" s="1143"/>
      <c r="B320" s="1143"/>
      <c r="C320" s="1141" t="s">
        <v>657</v>
      </c>
      <c r="D320" s="1134" t="s">
        <v>659</v>
      </c>
      <c r="E320" s="1134" t="s">
        <v>660</v>
      </c>
      <c r="F320" s="1143">
        <v>9</v>
      </c>
      <c r="G320" s="1142">
        <v>5005</v>
      </c>
      <c r="H320" s="1142"/>
      <c r="I320" s="1142"/>
      <c r="J320" s="1142"/>
      <c r="K320" s="1142"/>
      <c r="L320" s="1142"/>
      <c r="M320" s="1142"/>
      <c r="N320" s="1142">
        <f>G320+H321</f>
        <v>5005</v>
      </c>
      <c r="O320" s="1142">
        <f>0.5+0.5</f>
        <v>1</v>
      </c>
      <c r="P320" s="1142"/>
      <c r="Q320" s="1142"/>
      <c r="R320" s="1142"/>
      <c r="S320" s="1142"/>
      <c r="T320" s="1143">
        <v>34</v>
      </c>
      <c r="U320" s="1173">
        <v>0.3</v>
      </c>
      <c r="V320" s="1142">
        <f>N320*U320</f>
        <v>1501.5</v>
      </c>
      <c r="W320" s="1142"/>
      <c r="X320" s="1142">
        <f>(N320+V320)*O320+W320</f>
        <v>6506.5</v>
      </c>
      <c r="Y320" s="1112">
        <f>AB320</f>
        <v>6993.5</v>
      </c>
      <c r="Z320" s="1112">
        <f>X320+Y320</f>
        <v>13500</v>
      </c>
      <c r="AA320" s="1109">
        <f>13500*O320</f>
        <v>13500</v>
      </c>
      <c r="AB320" s="1109">
        <f>AA320-X320</f>
        <v>6993.5</v>
      </c>
      <c r="AC320" s="1112">
        <f>6500*O320</f>
        <v>6500</v>
      </c>
      <c r="AD320" s="1142"/>
      <c r="AE320" s="459">
        <f t="shared" si="127"/>
        <v>5005</v>
      </c>
      <c r="AF320" s="459">
        <f t="shared" si="128"/>
        <v>0</v>
      </c>
      <c r="AG320" s="459">
        <f t="shared" si="129"/>
        <v>5005</v>
      </c>
      <c r="AH320" s="459">
        <f t="shared" si="130"/>
        <v>0</v>
      </c>
      <c r="AI320" s="459">
        <f t="shared" si="140"/>
        <v>0</v>
      </c>
      <c r="AJ320" s="459">
        <f t="shared" si="108"/>
        <v>0</v>
      </c>
      <c r="AK320" s="460">
        <f t="shared" si="131"/>
        <v>1501.5</v>
      </c>
      <c r="AL320" s="460">
        <f t="shared" si="132"/>
        <v>0</v>
      </c>
      <c r="AM320" s="460">
        <f t="shared" si="133"/>
        <v>0</v>
      </c>
      <c r="AN320" s="460">
        <f t="shared" si="134"/>
        <v>0</v>
      </c>
      <c r="AO320" s="460">
        <f t="shared" si="135"/>
        <v>0</v>
      </c>
      <c r="AP320" s="460">
        <f t="shared" si="138"/>
        <v>5005</v>
      </c>
      <c r="AQ320" s="460">
        <f t="shared" si="138"/>
        <v>0</v>
      </c>
      <c r="AR320" s="459"/>
      <c r="AS320" s="460">
        <f t="shared" si="126"/>
        <v>5005</v>
      </c>
      <c r="AT320" s="438"/>
    </row>
    <row r="321" spans="1:46" s="461" customFormat="1" ht="24.95" customHeight="1">
      <c r="A321" s="1143"/>
      <c r="B321" s="1143"/>
      <c r="C321" s="1141"/>
      <c r="D321" s="1134"/>
      <c r="E321" s="1134"/>
      <c r="F321" s="1143"/>
      <c r="G321" s="1142"/>
      <c r="H321" s="1142"/>
      <c r="I321" s="1142"/>
      <c r="J321" s="1142"/>
      <c r="K321" s="1142"/>
      <c r="L321" s="1142"/>
      <c r="M321" s="1142"/>
      <c r="N321" s="1142"/>
      <c r="O321" s="1142"/>
      <c r="P321" s="1142"/>
      <c r="Q321" s="1142"/>
      <c r="R321" s="1142"/>
      <c r="S321" s="1142"/>
      <c r="T321" s="1143"/>
      <c r="U321" s="1173"/>
      <c r="V321" s="1142"/>
      <c r="W321" s="1142"/>
      <c r="X321" s="1142"/>
      <c r="Y321" s="1112"/>
      <c r="Z321" s="1112"/>
      <c r="AA321" s="1109"/>
      <c r="AB321" s="1109"/>
      <c r="AC321" s="1112"/>
      <c r="AD321" s="1142"/>
      <c r="AE321" s="459">
        <f t="shared" si="127"/>
        <v>0</v>
      </c>
      <c r="AF321" s="459">
        <f t="shared" si="128"/>
        <v>0</v>
      </c>
      <c r="AG321" s="459">
        <f t="shared" si="129"/>
        <v>0</v>
      </c>
      <c r="AH321" s="459">
        <f t="shared" si="130"/>
        <v>0</v>
      </c>
      <c r="AI321" s="459">
        <f t="shared" si="140"/>
        <v>0</v>
      </c>
      <c r="AJ321" s="459">
        <f t="shared" si="140"/>
        <v>0</v>
      </c>
      <c r="AK321" s="460">
        <f t="shared" si="131"/>
        <v>0</v>
      </c>
      <c r="AL321" s="460">
        <f t="shared" si="132"/>
        <v>0</v>
      </c>
      <c r="AM321" s="460">
        <f t="shared" si="133"/>
        <v>0</v>
      </c>
      <c r="AN321" s="460">
        <f t="shared" si="134"/>
        <v>0</v>
      </c>
      <c r="AO321" s="460">
        <f t="shared" si="135"/>
        <v>0</v>
      </c>
      <c r="AP321" s="460">
        <f t="shared" si="138"/>
        <v>0</v>
      </c>
      <c r="AQ321" s="460">
        <f t="shared" si="138"/>
        <v>0</v>
      </c>
      <c r="AR321" s="459"/>
      <c r="AS321" s="460">
        <f t="shared" si="126"/>
        <v>0</v>
      </c>
      <c r="AT321" s="438"/>
    </row>
    <row r="322" spans="1:46" s="461" customFormat="1" ht="24.95" customHeight="1">
      <c r="A322" s="1143"/>
      <c r="B322" s="1143"/>
      <c r="C322" s="1141" t="s">
        <v>657</v>
      </c>
      <c r="D322" s="1134" t="s">
        <v>637</v>
      </c>
      <c r="E322" s="1134" t="s">
        <v>638</v>
      </c>
      <c r="F322" s="1143">
        <v>9</v>
      </c>
      <c r="G322" s="1142">
        <v>5005</v>
      </c>
      <c r="H322" s="1142"/>
      <c r="I322" s="1142"/>
      <c r="J322" s="1142"/>
      <c r="K322" s="1142"/>
      <c r="L322" s="1144"/>
      <c r="M322" s="1144"/>
      <c r="N322" s="1142">
        <f>G322+I323</f>
        <v>5005</v>
      </c>
      <c r="O322" s="1142">
        <v>1</v>
      </c>
      <c r="P322" s="1142"/>
      <c r="Q322" s="1144"/>
      <c r="R322" s="1144"/>
      <c r="S322" s="1144"/>
      <c r="T322" s="1134">
        <v>15</v>
      </c>
      <c r="U322" s="1138">
        <v>0.2</v>
      </c>
      <c r="V322" s="1142">
        <f>N322*U322</f>
        <v>1001</v>
      </c>
      <c r="W322" s="1142">
        <f>AD322</f>
        <v>494</v>
      </c>
      <c r="X322" s="1142">
        <f>(N322+V322)*O322+W322</f>
        <v>6500</v>
      </c>
      <c r="Y322" s="1112">
        <f>AB322</f>
        <v>7000</v>
      </c>
      <c r="Z322" s="1112">
        <f>X322+Y322</f>
        <v>13500</v>
      </c>
      <c r="AA322" s="1109">
        <f>13500*O322</f>
        <v>13500</v>
      </c>
      <c r="AB322" s="1109">
        <f>AA322-X322</f>
        <v>7000</v>
      </c>
      <c r="AC322" s="1112">
        <f>6500*O322</f>
        <v>6500</v>
      </c>
      <c r="AD322" s="1142">
        <f>AC322-(N322*O322)-V322</f>
        <v>494</v>
      </c>
      <c r="AE322" s="459">
        <f t="shared" si="127"/>
        <v>5005</v>
      </c>
      <c r="AF322" s="459">
        <f t="shared" si="128"/>
        <v>0</v>
      </c>
      <c r="AG322" s="459">
        <f t="shared" si="129"/>
        <v>5005</v>
      </c>
      <c r="AH322" s="459">
        <f t="shared" si="130"/>
        <v>0</v>
      </c>
      <c r="AI322" s="459">
        <f t="shared" si="140"/>
        <v>0</v>
      </c>
      <c r="AJ322" s="459">
        <f t="shared" si="140"/>
        <v>0</v>
      </c>
      <c r="AK322" s="460">
        <f t="shared" si="131"/>
        <v>1001</v>
      </c>
      <c r="AL322" s="460">
        <f t="shared" si="132"/>
        <v>0</v>
      </c>
      <c r="AM322" s="460">
        <f t="shared" si="133"/>
        <v>494</v>
      </c>
      <c r="AN322" s="460">
        <f t="shared" si="134"/>
        <v>0</v>
      </c>
      <c r="AO322" s="460">
        <f t="shared" si="135"/>
        <v>0</v>
      </c>
      <c r="AP322" s="460">
        <f t="shared" si="138"/>
        <v>5005</v>
      </c>
      <c r="AQ322" s="460">
        <f t="shared" si="138"/>
        <v>0</v>
      </c>
      <c r="AR322" s="459"/>
      <c r="AS322" s="460">
        <f t="shared" si="126"/>
        <v>5005</v>
      </c>
      <c r="AT322" s="438"/>
    </row>
    <row r="323" spans="1:46" s="461" customFormat="1" ht="24.95" customHeight="1">
      <c r="A323" s="1143"/>
      <c r="B323" s="1143"/>
      <c r="C323" s="1141"/>
      <c r="D323" s="1134"/>
      <c r="E323" s="1134"/>
      <c r="F323" s="1143"/>
      <c r="G323" s="1142"/>
      <c r="H323" s="1142"/>
      <c r="I323" s="1142"/>
      <c r="J323" s="1142"/>
      <c r="K323" s="1142"/>
      <c r="L323" s="1144"/>
      <c r="M323" s="1144"/>
      <c r="N323" s="1142"/>
      <c r="O323" s="1142"/>
      <c r="P323" s="1142"/>
      <c r="Q323" s="1144"/>
      <c r="R323" s="1144"/>
      <c r="S323" s="1144"/>
      <c r="T323" s="1134"/>
      <c r="U323" s="1138"/>
      <c r="V323" s="1142"/>
      <c r="W323" s="1142"/>
      <c r="X323" s="1142"/>
      <c r="Y323" s="1112"/>
      <c r="Z323" s="1112"/>
      <c r="AA323" s="1109"/>
      <c r="AB323" s="1109"/>
      <c r="AC323" s="1112"/>
      <c r="AD323" s="1142"/>
      <c r="AE323" s="459">
        <f t="shared" si="127"/>
        <v>0</v>
      </c>
      <c r="AF323" s="459">
        <f t="shared" si="128"/>
        <v>0</v>
      </c>
      <c r="AG323" s="459">
        <f t="shared" si="129"/>
        <v>0</v>
      </c>
      <c r="AH323" s="459">
        <f t="shared" si="130"/>
        <v>0</v>
      </c>
      <c r="AI323" s="459">
        <f t="shared" si="140"/>
        <v>0</v>
      </c>
      <c r="AJ323" s="459">
        <f t="shared" si="140"/>
        <v>0</v>
      </c>
      <c r="AK323" s="460">
        <f t="shared" si="131"/>
        <v>0</v>
      </c>
      <c r="AL323" s="460">
        <f t="shared" si="132"/>
        <v>0</v>
      </c>
      <c r="AM323" s="460">
        <f t="shared" si="133"/>
        <v>0</v>
      </c>
      <c r="AN323" s="460">
        <f t="shared" si="134"/>
        <v>0</v>
      </c>
      <c r="AO323" s="460">
        <f t="shared" si="135"/>
        <v>0</v>
      </c>
      <c r="AP323" s="460">
        <f t="shared" si="138"/>
        <v>0</v>
      </c>
      <c r="AQ323" s="460">
        <f t="shared" si="138"/>
        <v>0</v>
      </c>
      <c r="AR323" s="459"/>
      <c r="AS323" s="460">
        <f t="shared" si="126"/>
        <v>0</v>
      </c>
      <c r="AT323" s="438"/>
    </row>
    <row r="324" spans="1:46" s="461" customFormat="1" ht="24.95" customHeight="1">
      <c r="A324" s="1143"/>
      <c r="B324" s="1143"/>
      <c r="C324" s="1141" t="s">
        <v>657</v>
      </c>
      <c r="D324" s="1134" t="s">
        <v>628</v>
      </c>
      <c r="E324" s="1134" t="s">
        <v>667</v>
      </c>
      <c r="F324" s="1143">
        <v>9</v>
      </c>
      <c r="G324" s="1142">
        <v>5005</v>
      </c>
      <c r="H324" s="1142"/>
      <c r="I324" s="1173"/>
      <c r="J324" s="1173"/>
      <c r="K324" s="1142"/>
      <c r="L324" s="1144"/>
      <c r="M324" s="1144"/>
      <c r="N324" s="1142">
        <f>G324+I325</f>
        <v>5005</v>
      </c>
      <c r="O324" s="1142">
        <v>1</v>
      </c>
      <c r="P324" s="1142"/>
      <c r="Q324" s="1144"/>
      <c r="R324" s="1144"/>
      <c r="S324" s="1144"/>
      <c r="T324" s="1134">
        <v>20</v>
      </c>
      <c r="U324" s="1138">
        <v>0.2</v>
      </c>
      <c r="V324" s="1142">
        <f>N324*U324</f>
        <v>1001</v>
      </c>
      <c r="W324" s="1142">
        <f>AD324</f>
        <v>494</v>
      </c>
      <c r="X324" s="1142">
        <f>(N324+V324)*O324+W324</f>
        <v>6500</v>
      </c>
      <c r="Y324" s="1112">
        <f>AB324</f>
        <v>7000</v>
      </c>
      <c r="Z324" s="1112">
        <f>X324+Y324</f>
        <v>13500</v>
      </c>
      <c r="AA324" s="1109">
        <f>13500*O324</f>
        <v>13500</v>
      </c>
      <c r="AB324" s="1109">
        <f>AA324-X324</f>
        <v>7000</v>
      </c>
      <c r="AC324" s="1112">
        <f>6500*O324</f>
        <v>6500</v>
      </c>
      <c r="AD324" s="1142">
        <f>AC324-(N324*O324)-V324</f>
        <v>494</v>
      </c>
      <c r="AE324" s="459">
        <f>G324*O324</f>
        <v>5005</v>
      </c>
      <c r="AF324" s="459">
        <f>G324*P324</f>
        <v>0</v>
      </c>
      <c r="AG324" s="459">
        <f>N324*O324</f>
        <v>5005</v>
      </c>
      <c r="AH324" s="459">
        <f>N324*P324</f>
        <v>0</v>
      </c>
      <c r="AI324" s="459">
        <f>AG324-AE324</f>
        <v>0</v>
      </c>
      <c r="AJ324" s="459">
        <f>AH324-AF324</f>
        <v>0</v>
      </c>
      <c r="AK324" s="460">
        <f>V324*O324</f>
        <v>1001</v>
      </c>
      <c r="AL324" s="460">
        <f>V324*P324</f>
        <v>0</v>
      </c>
      <c r="AM324" s="460">
        <f>W324</f>
        <v>494</v>
      </c>
      <c r="AN324" s="460">
        <f>S324*O324</f>
        <v>0</v>
      </c>
      <c r="AO324" s="460">
        <f>S324*P324</f>
        <v>0</v>
      </c>
      <c r="AP324" s="460">
        <f>AG324</f>
        <v>5005</v>
      </c>
      <c r="AQ324" s="460">
        <f>AH324</f>
        <v>0</v>
      </c>
      <c r="AR324" s="459"/>
      <c r="AS324" s="460">
        <f>AP324+AQ324-AR324</f>
        <v>5005</v>
      </c>
      <c r="AT324" s="438"/>
    </row>
    <row r="325" spans="1:46" s="461" customFormat="1" ht="24.95" customHeight="1">
      <c r="A325" s="1143"/>
      <c r="B325" s="1143"/>
      <c r="C325" s="1141"/>
      <c r="D325" s="1134"/>
      <c r="E325" s="1134"/>
      <c r="F325" s="1143"/>
      <c r="G325" s="1142"/>
      <c r="H325" s="1142"/>
      <c r="I325" s="1143"/>
      <c r="J325" s="1143"/>
      <c r="K325" s="1142"/>
      <c r="L325" s="1144"/>
      <c r="M325" s="1144"/>
      <c r="N325" s="1142"/>
      <c r="O325" s="1142"/>
      <c r="P325" s="1142"/>
      <c r="Q325" s="1144"/>
      <c r="R325" s="1144"/>
      <c r="S325" s="1144"/>
      <c r="T325" s="1134"/>
      <c r="U325" s="1138"/>
      <c r="V325" s="1142"/>
      <c r="W325" s="1142"/>
      <c r="X325" s="1142"/>
      <c r="Y325" s="1112"/>
      <c r="Z325" s="1112"/>
      <c r="AA325" s="1109"/>
      <c r="AB325" s="1109"/>
      <c r="AC325" s="1112"/>
      <c r="AD325" s="1142"/>
      <c r="AE325" s="459">
        <f>G325*O325</f>
        <v>0</v>
      </c>
      <c r="AF325" s="459">
        <f>G325*P325</f>
        <v>0</v>
      </c>
      <c r="AG325" s="459">
        <f>N325*O325</f>
        <v>0</v>
      </c>
      <c r="AH325" s="459">
        <f>N325*P325</f>
        <v>0</v>
      </c>
      <c r="AI325" s="459">
        <f>AG325-AE325</f>
        <v>0</v>
      </c>
      <c r="AJ325" s="459">
        <f>AH325-AF325</f>
        <v>0</v>
      </c>
      <c r="AK325" s="460">
        <f>V325*O325</f>
        <v>0</v>
      </c>
      <c r="AL325" s="460">
        <f>V325*P325</f>
        <v>0</v>
      </c>
      <c r="AM325" s="460">
        <f>W325</f>
        <v>0</v>
      </c>
      <c r="AN325" s="460">
        <f>S325*O325</f>
        <v>0</v>
      </c>
      <c r="AO325" s="460">
        <f>S325*P325</f>
        <v>0</v>
      </c>
      <c r="AP325" s="460">
        <f>AG325</f>
        <v>0</v>
      </c>
      <c r="AQ325" s="460">
        <f>AH325</f>
        <v>0</v>
      </c>
      <c r="AR325" s="459"/>
      <c r="AS325" s="460">
        <f>AP325+AQ325-AR325</f>
        <v>0</v>
      </c>
      <c r="AT325" s="438"/>
    </row>
    <row r="326" spans="1:46" s="461" customFormat="1" ht="24.95" customHeight="1">
      <c r="A326" s="1143"/>
      <c r="B326" s="1143"/>
      <c r="C326" s="1141" t="s">
        <v>657</v>
      </c>
      <c r="D326" s="1134" t="s">
        <v>639</v>
      </c>
      <c r="E326" s="1134" t="s">
        <v>640</v>
      </c>
      <c r="F326" s="1143">
        <v>9</v>
      </c>
      <c r="G326" s="1142">
        <v>5005</v>
      </c>
      <c r="H326" s="1142"/>
      <c r="I326" s="1173"/>
      <c r="J326" s="1173"/>
      <c r="K326" s="1142"/>
      <c r="L326" s="1144"/>
      <c r="M326" s="1144"/>
      <c r="N326" s="1142">
        <f>G326+I327</f>
        <v>5005</v>
      </c>
      <c r="O326" s="1142">
        <v>1</v>
      </c>
      <c r="P326" s="1142"/>
      <c r="Q326" s="1144"/>
      <c r="R326" s="1144"/>
      <c r="S326" s="1144"/>
      <c r="T326" s="1134">
        <v>34</v>
      </c>
      <c r="U326" s="1138">
        <v>0.3</v>
      </c>
      <c r="V326" s="1142">
        <f>N326*U326</f>
        <v>1501.5</v>
      </c>
      <c r="W326" s="1142"/>
      <c r="X326" s="1142">
        <f>(N326+V326)*O326+W326</f>
        <v>6506.5</v>
      </c>
      <c r="Y326" s="1112">
        <f>AB326</f>
        <v>6993.5</v>
      </c>
      <c r="Z326" s="1112">
        <f>X326+Y326</f>
        <v>13500</v>
      </c>
      <c r="AA326" s="1109">
        <f>13500*O326</f>
        <v>13500</v>
      </c>
      <c r="AB326" s="1109">
        <f>AA326-X326</f>
        <v>6993.5</v>
      </c>
      <c r="AC326" s="1112">
        <f>6500*O326</f>
        <v>6500</v>
      </c>
      <c r="AD326" s="1142"/>
      <c r="AE326" s="459">
        <f t="shared" si="127"/>
        <v>5005</v>
      </c>
      <c r="AF326" s="459">
        <f t="shared" si="128"/>
        <v>0</v>
      </c>
      <c r="AG326" s="459">
        <f t="shared" si="129"/>
        <v>5005</v>
      </c>
      <c r="AH326" s="459">
        <f t="shared" si="130"/>
        <v>0</v>
      </c>
      <c r="AI326" s="459">
        <f t="shared" si="140"/>
        <v>0</v>
      </c>
      <c r="AJ326" s="459">
        <f t="shared" si="140"/>
        <v>0</v>
      </c>
      <c r="AK326" s="460">
        <f t="shared" si="131"/>
        <v>1501.5</v>
      </c>
      <c r="AL326" s="460">
        <f t="shared" si="132"/>
        <v>0</v>
      </c>
      <c r="AM326" s="460">
        <f t="shared" si="133"/>
        <v>0</v>
      </c>
      <c r="AN326" s="460">
        <f t="shared" si="134"/>
        <v>0</v>
      </c>
      <c r="AO326" s="460">
        <f t="shared" si="135"/>
        <v>0</v>
      </c>
      <c r="AP326" s="460">
        <f t="shared" si="138"/>
        <v>5005</v>
      </c>
      <c r="AQ326" s="460">
        <f t="shared" si="138"/>
        <v>0</v>
      </c>
      <c r="AR326" s="459"/>
      <c r="AS326" s="460">
        <f t="shared" si="126"/>
        <v>5005</v>
      </c>
      <c r="AT326" s="438"/>
    </row>
    <row r="327" spans="1:46" s="461" customFormat="1" ht="24.95" customHeight="1">
      <c r="A327" s="1143"/>
      <c r="B327" s="1143"/>
      <c r="C327" s="1141"/>
      <c r="D327" s="1134"/>
      <c r="E327" s="1134"/>
      <c r="F327" s="1143"/>
      <c r="G327" s="1142"/>
      <c r="H327" s="1142"/>
      <c r="I327" s="1143"/>
      <c r="J327" s="1143"/>
      <c r="K327" s="1142"/>
      <c r="L327" s="1144"/>
      <c r="M327" s="1144"/>
      <c r="N327" s="1142"/>
      <c r="O327" s="1142"/>
      <c r="P327" s="1142"/>
      <c r="Q327" s="1144"/>
      <c r="R327" s="1144"/>
      <c r="S327" s="1144"/>
      <c r="T327" s="1134"/>
      <c r="U327" s="1138"/>
      <c r="V327" s="1142"/>
      <c r="W327" s="1142"/>
      <c r="X327" s="1142"/>
      <c r="Y327" s="1112"/>
      <c r="Z327" s="1112"/>
      <c r="AA327" s="1109"/>
      <c r="AB327" s="1109"/>
      <c r="AC327" s="1112"/>
      <c r="AD327" s="1142"/>
      <c r="AE327" s="459">
        <f t="shared" si="127"/>
        <v>0</v>
      </c>
      <c r="AF327" s="459">
        <f t="shared" si="128"/>
        <v>0</v>
      </c>
      <c r="AG327" s="459">
        <f t="shared" si="129"/>
        <v>0</v>
      </c>
      <c r="AH327" s="459">
        <f t="shared" si="130"/>
        <v>0</v>
      </c>
      <c r="AI327" s="459">
        <f t="shared" si="140"/>
        <v>0</v>
      </c>
      <c r="AJ327" s="459">
        <f t="shared" si="140"/>
        <v>0</v>
      </c>
      <c r="AK327" s="460">
        <f t="shared" si="131"/>
        <v>0</v>
      </c>
      <c r="AL327" s="460">
        <f t="shared" si="132"/>
        <v>0</v>
      </c>
      <c r="AM327" s="460">
        <f t="shared" si="133"/>
        <v>0</v>
      </c>
      <c r="AN327" s="460">
        <f t="shared" si="134"/>
        <v>0</v>
      </c>
      <c r="AO327" s="460">
        <f t="shared" si="135"/>
        <v>0</v>
      </c>
      <c r="AP327" s="460">
        <f t="shared" si="138"/>
        <v>0</v>
      </c>
      <c r="AQ327" s="460">
        <f t="shared" si="138"/>
        <v>0</v>
      </c>
      <c r="AR327" s="459"/>
      <c r="AS327" s="460">
        <f t="shared" si="126"/>
        <v>0</v>
      </c>
      <c r="AT327" s="438"/>
    </row>
    <row r="328" spans="1:46" s="446" customFormat="1" ht="24.95" customHeight="1">
      <c r="A328" s="441"/>
      <c r="B328" s="441"/>
      <c r="C328" s="442" t="s">
        <v>318</v>
      </c>
      <c r="D328" s="443"/>
      <c r="E328" s="441"/>
      <c r="F328" s="441"/>
      <c r="G328" s="444">
        <f>SUM(G316:G327)</f>
        <v>30030</v>
      </c>
      <c r="H328" s="441">
        <f>H317</f>
        <v>500.5</v>
      </c>
      <c r="I328" s="441"/>
      <c r="J328" s="441"/>
      <c r="K328" s="441"/>
      <c r="L328" s="441"/>
      <c r="M328" s="441"/>
      <c r="N328" s="444">
        <f>SUM(N316:N327)</f>
        <v>30530.5</v>
      </c>
      <c r="O328" s="444">
        <f>SUM(O316:O327)</f>
        <v>6</v>
      </c>
      <c r="P328" s="444">
        <f>SUM(P316:P327)</f>
        <v>0</v>
      </c>
      <c r="Q328" s="444"/>
      <c r="R328" s="444"/>
      <c r="S328" s="444"/>
      <c r="T328" s="444"/>
      <c r="U328" s="444"/>
      <c r="V328" s="444">
        <f t="shared" ref="V328:AD328" si="141">SUM(V316:V327)</f>
        <v>7607.6</v>
      </c>
      <c r="W328" s="444">
        <f t="shared" si="141"/>
        <v>988</v>
      </c>
      <c r="X328" s="444">
        <f t="shared" si="141"/>
        <v>39126.1</v>
      </c>
      <c r="Y328" s="444">
        <f t="shared" si="141"/>
        <v>41873.9</v>
      </c>
      <c r="Z328" s="444">
        <f t="shared" si="141"/>
        <v>81000</v>
      </c>
      <c r="AA328" s="499">
        <f t="shared" si="141"/>
        <v>81000</v>
      </c>
      <c r="AB328" s="499">
        <f t="shared" si="141"/>
        <v>41873.9</v>
      </c>
      <c r="AC328" s="444">
        <f t="shared" si="141"/>
        <v>39000</v>
      </c>
      <c r="AD328" s="444">
        <f t="shared" si="141"/>
        <v>988</v>
      </c>
      <c r="AE328" s="436"/>
      <c r="AF328" s="436"/>
      <c r="AG328" s="436"/>
      <c r="AH328" s="436"/>
      <c r="AI328" s="436"/>
      <c r="AJ328" s="436"/>
      <c r="AK328" s="437"/>
      <c r="AL328" s="437"/>
      <c r="AM328" s="437"/>
      <c r="AN328" s="437"/>
      <c r="AO328" s="437"/>
      <c r="AP328" s="437">
        <f t="shared" si="138"/>
        <v>0</v>
      </c>
      <c r="AQ328" s="437">
        <f t="shared" si="138"/>
        <v>0</v>
      </c>
      <c r="AR328" s="436"/>
      <c r="AS328" s="437">
        <f t="shared" si="126"/>
        <v>0</v>
      </c>
      <c r="AT328" s="457"/>
    </row>
    <row r="329" spans="1:46" s="456" customFormat="1" ht="24.95" customHeight="1">
      <c r="A329" s="455"/>
      <c r="B329" s="455"/>
      <c r="C329" s="1136" t="s">
        <v>1057</v>
      </c>
      <c r="D329" s="1136"/>
      <c r="E329" s="455"/>
      <c r="F329" s="455"/>
      <c r="G329" s="455"/>
      <c r="H329" s="455"/>
      <c r="I329" s="455"/>
      <c r="J329" s="455"/>
      <c r="K329" s="455"/>
      <c r="L329" s="455"/>
      <c r="M329" s="455"/>
      <c r="N329" s="455"/>
      <c r="O329" s="455"/>
      <c r="P329" s="455"/>
      <c r="Q329" s="455"/>
      <c r="R329" s="455"/>
      <c r="S329" s="455"/>
      <c r="T329" s="455"/>
      <c r="U329" s="455"/>
      <c r="V329" s="455"/>
      <c r="W329" s="455"/>
      <c r="X329" s="455"/>
      <c r="Y329" s="455"/>
      <c r="Z329" s="455"/>
      <c r="AA329" s="504"/>
      <c r="AB329" s="504"/>
      <c r="AC329" s="455"/>
      <c r="AD329" s="455"/>
      <c r="AE329" s="436">
        <f t="shared" si="127"/>
        <v>0</v>
      </c>
      <c r="AF329" s="436">
        <f t="shared" si="128"/>
        <v>0</v>
      </c>
      <c r="AG329" s="436">
        <f t="shared" si="129"/>
        <v>0</v>
      </c>
      <c r="AH329" s="436">
        <f t="shared" si="130"/>
        <v>0</v>
      </c>
      <c r="AI329" s="436">
        <f t="shared" si="140"/>
        <v>0</v>
      </c>
      <c r="AJ329" s="436">
        <f t="shared" si="140"/>
        <v>0</v>
      </c>
      <c r="AK329" s="437">
        <f t="shared" si="131"/>
        <v>0</v>
      </c>
      <c r="AL329" s="437">
        <f t="shared" si="132"/>
        <v>0</v>
      </c>
      <c r="AM329" s="437">
        <f t="shared" si="133"/>
        <v>0</v>
      </c>
      <c r="AN329" s="437">
        <f t="shared" si="134"/>
        <v>0</v>
      </c>
      <c r="AO329" s="437">
        <f t="shared" si="135"/>
        <v>0</v>
      </c>
      <c r="AP329" s="437">
        <f t="shared" si="138"/>
        <v>0</v>
      </c>
      <c r="AQ329" s="437">
        <f t="shared" si="138"/>
        <v>0</v>
      </c>
      <c r="AR329" s="436"/>
      <c r="AS329" s="437">
        <f t="shared" si="126"/>
        <v>0</v>
      </c>
      <c r="AT329" s="457"/>
    </row>
    <row r="330" spans="1:46" s="438" customFormat="1" ht="24.95" customHeight="1">
      <c r="A330" s="1134"/>
      <c r="B330" s="1134"/>
      <c r="C330" s="1141" t="s">
        <v>590</v>
      </c>
      <c r="D330" s="1134" t="s">
        <v>577</v>
      </c>
      <c r="E330" s="1134" t="s">
        <v>632</v>
      </c>
      <c r="F330" s="1134">
        <v>9</v>
      </c>
      <c r="G330" s="1112">
        <v>5005</v>
      </c>
      <c r="H330" s="435">
        <v>0.1</v>
      </c>
      <c r="I330" s="1112"/>
      <c r="J330" s="1112"/>
      <c r="K330" s="1112"/>
      <c r="L330" s="1112"/>
      <c r="M330" s="1112"/>
      <c r="N330" s="1112">
        <f>G330+H331</f>
        <v>5505.5</v>
      </c>
      <c r="O330" s="1112">
        <v>1</v>
      </c>
      <c r="P330" s="1112"/>
      <c r="Q330" s="1112"/>
      <c r="R330" s="1112"/>
      <c r="S330" s="1112"/>
      <c r="T330" s="1134">
        <v>31</v>
      </c>
      <c r="U330" s="1138">
        <v>0.3</v>
      </c>
      <c r="V330" s="1112">
        <f>N330*U330</f>
        <v>1651.6499999999999</v>
      </c>
      <c r="W330" s="1112"/>
      <c r="X330" s="1112">
        <f>(N330+V330)*O330+W330</f>
        <v>7157.15</v>
      </c>
      <c r="Y330" s="1112">
        <f>AB330</f>
        <v>6342.85</v>
      </c>
      <c r="Z330" s="1112">
        <f>X330+Y330</f>
        <v>13500</v>
      </c>
      <c r="AA330" s="1109">
        <f>13500*O330</f>
        <v>13500</v>
      </c>
      <c r="AB330" s="1109">
        <f>AA330-X330</f>
        <v>6342.85</v>
      </c>
      <c r="AC330" s="1112">
        <f>6500*O330</f>
        <v>6500</v>
      </c>
      <c r="AD330" s="1142"/>
      <c r="AE330" s="436">
        <f t="shared" si="127"/>
        <v>5005</v>
      </c>
      <c r="AF330" s="436">
        <f t="shared" si="128"/>
        <v>0</v>
      </c>
      <c r="AG330" s="436">
        <f t="shared" si="129"/>
        <v>5505.5</v>
      </c>
      <c r="AH330" s="436">
        <f t="shared" si="130"/>
        <v>0</v>
      </c>
      <c r="AI330" s="436">
        <f t="shared" si="140"/>
        <v>500.5</v>
      </c>
      <c r="AJ330" s="436">
        <f t="shared" si="140"/>
        <v>0</v>
      </c>
      <c r="AK330" s="437">
        <f t="shared" si="131"/>
        <v>1651.6499999999999</v>
      </c>
      <c r="AL330" s="437">
        <f t="shared" si="132"/>
        <v>0</v>
      </c>
      <c r="AM330" s="437">
        <f t="shared" si="133"/>
        <v>0</v>
      </c>
      <c r="AN330" s="437">
        <f t="shared" si="134"/>
        <v>0</v>
      </c>
      <c r="AO330" s="437">
        <f t="shared" si="135"/>
        <v>0</v>
      </c>
      <c r="AP330" s="437">
        <f t="shared" si="138"/>
        <v>5505.5</v>
      </c>
      <c r="AQ330" s="437">
        <f t="shared" si="138"/>
        <v>0</v>
      </c>
      <c r="AR330" s="436"/>
      <c r="AS330" s="437">
        <f t="shared" si="126"/>
        <v>5505.5</v>
      </c>
    </row>
    <row r="331" spans="1:46" s="438" customFormat="1" ht="24.95" customHeight="1">
      <c r="A331" s="1134"/>
      <c r="B331" s="1134"/>
      <c r="C331" s="1141"/>
      <c r="D331" s="1134"/>
      <c r="E331" s="1134"/>
      <c r="F331" s="1134"/>
      <c r="G331" s="1112"/>
      <c r="H331" s="449">
        <f>G330*H330</f>
        <v>500.5</v>
      </c>
      <c r="I331" s="1112"/>
      <c r="J331" s="1112"/>
      <c r="K331" s="1112"/>
      <c r="L331" s="1112"/>
      <c r="M331" s="1112"/>
      <c r="N331" s="1112"/>
      <c r="O331" s="1112"/>
      <c r="P331" s="1112"/>
      <c r="Q331" s="1112"/>
      <c r="R331" s="1112"/>
      <c r="S331" s="1112"/>
      <c r="T331" s="1134"/>
      <c r="U331" s="1138"/>
      <c r="V331" s="1112"/>
      <c r="W331" s="1112"/>
      <c r="X331" s="1112"/>
      <c r="Y331" s="1112"/>
      <c r="Z331" s="1112"/>
      <c r="AA331" s="1109"/>
      <c r="AB331" s="1109"/>
      <c r="AC331" s="1112"/>
      <c r="AD331" s="1142"/>
      <c r="AE331" s="436">
        <f t="shared" si="127"/>
        <v>0</v>
      </c>
      <c r="AF331" s="436">
        <f t="shared" si="128"/>
        <v>0</v>
      </c>
      <c r="AG331" s="436">
        <f t="shared" si="129"/>
        <v>0</v>
      </c>
      <c r="AH331" s="436">
        <f t="shared" si="130"/>
        <v>0</v>
      </c>
      <c r="AI331" s="436">
        <f t="shared" ref="AI331:AJ359" si="142">AG331-AE331</f>
        <v>0</v>
      </c>
      <c r="AJ331" s="436">
        <f t="shared" si="142"/>
        <v>0</v>
      </c>
      <c r="AK331" s="437">
        <f t="shared" si="131"/>
        <v>0</v>
      </c>
      <c r="AL331" s="437">
        <f t="shared" si="132"/>
        <v>0</v>
      </c>
      <c r="AM331" s="437">
        <f t="shared" si="133"/>
        <v>0</v>
      </c>
      <c r="AN331" s="437">
        <f t="shared" si="134"/>
        <v>0</v>
      </c>
      <c r="AO331" s="437">
        <f t="shared" si="135"/>
        <v>0</v>
      </c>
      <c r="AP331" s="437">
        <f t="shared" si="138"/>
        <v>0</v>
      </c>
      <c r="AQ331" s="437">
        <f t="shared" si="138"/>
        <v>0</v>
      </c>
      <c r="AR331" s="436"/>
      <c r="AS331" s="437">
        <f t="shared" si="126"/>
        <v>0</v>
      </c>
    </row>
    <row r="332" spans="1:46" s="438" customFormat="1" ht="24.95" customHeight="1">
      <c r="A332" s="1134"/>
      <c r="B332" s="1134"/>
      <c r="C332" s="1139" t="s">
        <v>564</v>
      </c>
      <c r="D332" s="1134" t="s">
        <v>620</v>
      </c>
      <c r="E332" s="1134" t="s">
        <v>621</v>
      </c>
      <c r="F332" s="1134">
        <v>9</v>
      </c>
      <c r="G332" s="1112">
        <v>5005</v>
      </c>
      <c r="H332" s="1112"/>
      <c r="I332" s="1138"/>
      <c r="J332" s="1138"/>
      <c r="K332" s="1112"/>
      <c r="L332" s="1140"/>
      <c r="M332" s="1140"/>
      <c r="N332" s="1112">
        <f>G332+I333</f>
        <v>5005</v>
      </c>
      <c r="O332" s="1112">
        <v>1</v>
      </c>
      <c r="P332" s="1112"/>
      <c r="Q332" s="1140"/>
      <c r="R332" s="1140"/>
      <c r="S332" s="1140"/>
      <c r="T332" s="1134">
        <v>30</v>
      </c>
      <c r="U332" s="1138">
        <v>0.3</v>
      </c>
      <c r="V332" s="1112">
        <f>N332*U332</f>
        <v>1501.5</v>
      </c>
      <c r="W332" s="1112"/>
      <c r="X332" s="1112">
        <f>(N332+V332)*O332+W332</f>
        <v>6506.5</v>
      </c>
      <c r="Y332" s="1112">
        <f>AB332</f>
        <v>6993.5</v>
      </c>
      <c r="Z332" s="1112">
        <f>X332+Y332</f>
        <v>13500</v>
      </c>
      <c r="AA332" s="1109">
        <f>13500*O332</f>
        <v>13500</v>
      </c>
      <c r="AB332" s="1109">
        <f>AA332-X332</f>
        <v>6993.5</v>
      </c>
      <c r="AC332" s="1112">
        <f>6500*O332</f>
        <v>6500</v>
      </c>
      <c r="AD332" s="1142"/>
      <c r="AE332" s="436">
        <f t="shared" si="127"/>
        <v>5005</v>
      </c>
      <c r="AF332" s="436">
        <f t="shared" si="128"/>
        <v>0</v>
      </c>
      <c r="AG332" s="436">
        <f t="shared" si="129"/>
        <v>5005</v>
      </c>
      <c r="AH332" s="436">
        <f t="shared" si="130"/>
        <v>0</v>
      </c>
      <c r="AI332" s="436">
        <f t="shared" si="142"/>
        <v>0</v>
      </c>
      <c r="AJ332" s="436">
        <f t="shared" si="142"/>
        <v>0</v>
      </c>
      <c r="AK332" s="437">
        <f t="shared" si="131"/>
        <v>1501.5</v>
      </c>
      <c r="AL332" s="437">
        <f t="shared" si="132"/>
        <v>0</v>
      </c>
      <c r="AM332" s="437">
        <f t="shared" si="133"/>
        <v>0</v>
      </c>
      <c r="AN332" s="437">
        <f t="shared" si="134"/>
        <v>0</v>
      </c>
      <c r="AO332" s="437">
        <f t="shared" si="135"/>
        <v>0</v>
      </c>
      <c r="AP332" s="437">
        <f t="shared" si="138"/>
        <v>5005</v>
      </c>
      <c r="AQ332" s="437">
        <f t="shared" si="138"/>
        <v>0</v>
      </c>
      <c r="AR332" s="436"/>
      <c r="AS332" s="437">
        <f t="shared" si="126"/>
        <v>5005</v>
      </c>
    </row>
    <row r="333" spans="1:46" s="438" customFormat="1" ht="24.95" customHeight="1">
      <c r="A333" s="1134"/>
      <c r="B333" s="1134"/>
      <c r="C333" s="1139"/>
      <c r="D333" s="1134"/>
      <c r="E333" s="1134"/>
      <c r="F333" s="1134"/>
      <c r="G333" s="1112"/>
      <c r="H333" s="1112"/>
      <c r="I333" s="1134"/>
      <c r="J333" s="1134"/>
      <c r="K333" s="1112"/>
      <c r="L333" s="1140"/>
      <c r="M333" s="1140"/>
      <c r="N333" s="1112"/>
      <c r="O333" s="1112"/>
      <c r="P333" s="1112"/>
      <c r="Q333" s="1140"/>
      <c r="R333" s="1140"/>
      <c r="S333" s="1140"/>
      <c r="T333" s="1134"/>
      <c r="U333" s="1138"/>
      <c r="V333" s="1112"/>
      <c r="W333" s="1112"/>
      <c r="X333" s="1112"/>
      <c r="Y333" s="1112"/>
      <c r="Z333" s="1112"/>
      <c r="AA333" s="1109"/>
      <c r="AB333" s="1109"/>
      <c r="AC333" s="1112"/>
      <c r="AD333" s="1142"/>
      <c r="AE333" s="436">
        <f t="shared" si="127"/>
        <v>0</v>
      </c>
      <c r="AF333" s="436">
        <f t="shared" si="128"/>
        <v>0</v>
      </c>
      <c r="AG333" s="436">
        <f t="shared" si="129"/>
        <v>0</v>
      </c>
      <c r="AH333" s="436">
        <f t="shared" si="130"/>
        <v>0</v>
      </c>
      <c r="AI333" s="436">
        <f t="shared" si="142"/>
        <v>0</v>
      </c>
      <c r="AJ333" s="436">
        <f t="shared" si="142"/>
        <v>0</v>
      </c>
      <c r="AK333" s="437">
        <f t="shared" si="131"/>
        <v>0</v>
      </c>
      <c r="AL333" s="437">
        <f t="shared" si="132"/>
        <v>0</v>
      </c>
      <c r="AM333" s="437">
        <f t="shared" si="133"/>
        <v>0</v>
      </c>
      <c r="AN333" s="437">
        <f t="shared" si="134"/>
        <v>0</v>
      </c>
      <c r="AO333" s="437">
        <f t="shared" si="135"/>
        <v>0</v>
      </c>
      <c r="AP333" s="437">
        <f t="shared" si="138"/>
        <v>0</v>
      </c>
      <c r="AQ333" s="437">
        <f t="shared" si="138"/>
        <v>0</v>
      </c>
      <c r="AR333" s="436"/>
      <c r="AS333" s="437">
        <f t="shared" si="126"/>
        <v>0</v>
      </c>
    </row>
    <row r="334" spans="1:46" s="438" customFormat="1" ht="24.95" customHeight="1">
      <c r="A334" s="1134"/>
      <c r="B334" s="1134"/>
      <c r="C334" s="1139" t="s">
        <v>564</v>
      </c>
      <c r="D334" s="1134" t="s">
        <v>622</v>
      </c>
      <c r="E334" s="1134" t="s">
        <v>623</v>
      </c>
      <c r="F334" s="1134">
        <v>9</v>
      </c>
      <c r="G334" s="1112">
        <v>5005</v>
      </c>
      <c r="H334" s="1112"/>
      <c r="I334" s="1112"/>
      <c r="J334" s="1112"/>
      <c r="K334" s="1112"/>
      <c r="L334" s="1112"/>
      <c r="M334" s="1112"/>
      <c r="N334" s="1112">
        <f>G334+H335</f>
        <v>5005</v>
      </c>
      <c r="O334" s="1112">
        <f>0.5+0.5</f>
        <v>1</v>
      </c>
      <c r="P334" s="1140"/>
      <c r="Q334" s="1140"/>
      <c r="R334" s="1140"/>
      <c r="S334" s="1140"/>
      <c r="T334" s="1134">
        <v>34</v>
      </c>
      <c r="U334" s="1138">
        <v>0.3</v>
      </c>
      <c r="V334" s="1112">
        <f>N334*U334</f>
        <v>1501.5</v>
      </c>
      <c r="W334" s="1112"/>
      <c r="X334" s="1112">
        <f>(N334+V334)*O334+W334</f>
        <v>6506.5</v>
      </c>
      <c r="Y334" s="1112">
        <f>AB334</f>
        <v>6993.5</v>
      </c>
      <c r="Z334" s="1112">
        <f>X334+Y334</f>
        <v>13500</v>
      </c>
      <c r="AA334" s="1109">
        <f>13500*O334</f>
        <v>13500</v>
      </c>
      <c r="AB334" s="1109">
        <f>AA334-X334</f>
        <v>6993.5</v>
      </c>
      <c r="AC334" s="1112">
        <f>6500*O334</f>
        <v>6500</v>
      </c>
      <c r="AD334" s="1142"/>
      <c r="AE334" s="436">
        <f t="shared" si="127"/>
        <v>5005</v>
      </c>
      <c r="AF334" s="436">
        <f t="shared" si="128"/>
        <v>0</v>
      </c>
      <c r="AG334" s="436">
        <f t="shared" si="129"/>
        <v>5005</v>
      </c>
      <c r="AH334" s="436">
        <f t="shared" si="130"/>
        <v>0</v>
      </c>
      <c r="AI334" s="436">
        <f t="shared" si="142"/>
        <v>0</v>
      </c>
      <c r="AJ334" s="436">
        <f t="shared" si="142"/>
        <v>0</v>
      </c>
      <c r="AK334" s="437">
        <f t="shared" si="131"/>
        <v>1501.5</v>
      </c>
      <c r="AL334" s="437">
        <f t="shared" si="132"/>
        <v>0</v>
      </c>
      <c r="AM334" s="437">
        <f t="shared" si="133"/>
        <v>0</v>
      </c>
      <c r="AN334" s="437">
        <f t="shared" si="134"/>
        <v>0</v>
      </c>
      <c r="AO334" s="437">
        <f t="shared" si="135"/>
        <v>0</v>
      </c>
      <c r="AP334" s="437">
        <f t="shared" si="138"/>
        <v>5005</v>
      </c>
      <c r="AQ334" s="437">
        <f t="shared" si="138"/>
        <v>0</v>
      </c>
      <c r="AR334" s="436"/>
      <c r="AS334" s="437">
        <f t="shared" si="126"/>
        <v>5005</v>
      </c>
    </row>
    <row r="335" spans="1:46" s="438" customFormat="1" ht="24.95" customHeight="1">
      <c r="A335" s="1134"/>
      <c r="B335" s="1134"/>
      <c r="C335" s="1139"/>
      <c r="D335" s="1134"/>
      <c r="E335" s="1134"/>
      <c r="F335" s="1134"/>
      <c r="G335" s="1112"/>
      <c r="H335" s="1112"/>
      <c r="I335" s="1112"/>
      <c r="J335" s="1112"/>
      <c r="K335" s="1112"/>
      <c r="L335" s="1112"/>
      <c r="M335" s="1112"/>
      <c r="N335" s="1112"/>
      <c r="O335" s="1112"/>
      <c r="P335" s="1140"/>
      <c r="Q335" s="1140"/>
      <c r="R335" s="1140"/>
      <c r="S335" s="1140"/>
      <c r="T335" s="1134"/>
      <c r="U335" s="1138"/>
      <c r="V335" s="1112"/>
      <c r="W335" s="1112"/>
      <c r="X335" s="1112"/>
      <c r="Y335" s="1112"/>
      <c r="Z335" s="1112"/>
      <c r="AA335" s="1109"/>
      <c r="AB335" s="1109"/>
      <c r="AC335" s="1112"/>
      <c r="AD335" s="1142"/>
      <c r="AE335" s="436">
        <f t="shared" si="127"/>
        <v>0</v>
      </c>
      <c r="AF335" s="436">
        <f t="shared" si="128"/>
        <v>0</v>
      </c>
      <c r="AG335" s="436">
        <f t="shared" si="129"/>
        <v>0</v>
      </c>
      <c r="AH335" s="436">
        <f t="shared" si="130"/>
        <v>0</v>
      </c>
      <c r="AI335" s="436">
        <f t="shared" si="142"/>
        <v>0</v>
      </c>
      <c r="AJ335" s="436">
        <f t="shared" si="142"/>
        <v>0</v>
      </c>
      <c r="AK335" s="437">
        <f t="shared" si="131"/>
        <v>0</v>
      </c>
      <c r="AL335" s="437">
        <f t="shared" si="132"/>
        <v>0</v>
      </c>
      <c r="AM335" s="437">
        <f t="shared" si="133"/>
        <v>0</v>
      </c>
      <c r="AN335" s="437">
        <f t="shared" si="134"/>
        <v>0</v>
      </c>
      <c r="AO335" s="437">
        <f t="shared" si="135"/>
        <v>0</v>
      </c>
      <c r="AP335" s="437">
        <f t="shared" si="138"/>
        <v>0</v>
      </c>
      <c r="AQ335" s="437">
        <f t="shared" si="138"/>
        <v>0</v>
      </c>
      <c r="AR335" s="436"/>
      <c r="AS335" s="437">
        <f t="shared" si="126"/>
        <v>0</v>
      </c>
    </row>
    <row r="336" spans="1:46" s="438" customFormat="1" ht="24.95" customHeight="1">
      <c r="A336" s="1134"/>
      <c r="B336" s="1134"/>
      <c r="C336" s="1139" t="s">
        <v>564</v>
      </c>
      <c r="D336" s="1134" t="s">
        <v>618</v>
      </c>
      <c r="E336" s="1134" t="s">
        <v>619</v>
      </c>
      <c r="F336" s="1134">
        <v>9</v>
      </c>
      <c r="G336" s="1112">
        <v>5005</v>
      </c>
      <c r="H336" s="1112"/>
      <c r="I336" s="1112"/>
      <c r="J336" s="1112"/>
      <c r="K336" s="1112"/>
      <c r="L336" s="1112"/>
      <c r="M336" s="1112"/>
      <c r="N336" s="1112">
        <f>G336+H337</f>
        <v>5005</v>
      </c>
      <c r="O336" s="1112">
        <v>1</v>
      </c>
      <c r="P336" s="1112"/>
      <c r="Q336" s="1112"/>
      <c r="R336" s="1112"/>
      <c r="S336" s="1112"/>
      <c r="T336" s="1134">
        <v>28</v>
      </c>
      <c r="U336" s="1138">
        <v>0.3</v>
      </c>
      <c r="V336" s="1112">
        <f>N336*U336</f>
        <v>1501.5</v>
      </c>
      <c r="W336" s="1112"/>
      <c r="X336" s="1112">
        <f>(N336+V336)*O336</f>
        <v>6506.5</v>
      </c>
      <c r="Y336" s="1112">
        <f>AB336</f>
        <v>6993.5</v>
      </c>
      <c r="Z336" s="1112">
        <f>X336+Y336</f>
        <v>13500</v>
      </c>
      <c r="AA336" s="1109">
        <f>13500*O336</f>
        <v>13500</v>
      </c>
      <c r="AB336" s="1109">
        <f>AA336-X336</f>
        <v>6993.5</v>
      </c>
      <c r="AC336" s="1112">
        <f>6500*O336</f>
        <v>6500</v>
      </c>
      <c r="AD336" s="1112"/>
      <c r="AE336" s="436">
        <f t="shared" si="127"/>
        <v>5005</v>
      </c>
      <c r="AF336" s="436">
        <f t="shared" si="128"/>
        <v>0</v>
      </c>
      <c r="AG336" s="436">
        <f t="shared" si="129"/>
        <v>5005</v>
      </c>
      <c r="AH336" s="436">
        <f t="shared" si="130"/>
        <v>0</v>
      </c>
      <c r="AI336" s="436">
        <f t="shared" si="142"/>
        <v>0</v>
      </c>
      <c r="AJ336" s="436">
        <f t="shared" si="142"/>
        <v>0</v>
      </c>
      <c r="AK336" s="437">
        <f t="shared" si="131"/>
        <v>1501.5</v>
      </c>
      <c r="AL336" s="437">
        <f t="shared" si="132"/>
        <v>0</v>
      </c>
      <c r="AM336" s="437">
        <f t="shared" si="133"/>
        <v>0</v>
      </c>
      <c r="AN336" s="437">
        <f t="shared" si="134"/>
        <v>0</v>
      </c>
      <c r="AO336" s="437">
        <f t="shared" si="135"/>
        <v>0</v>
      </c>
      <c r="AP336" s="437">
        <f t="shared" si="138"/>
        <v>5005</v>
      </c>
      <c r="AQ336" s="437">
        <f t="shared" si="138"/>
        <v>0</v>
      </c>
      <c r="AR336" s="436"/>
      <c r="AS336" s="437">
        <f t="shared" si="126"/>
        <v>5005</v>
      </c>
    </row>
    <row r="337" spans="1:45" s="438" customFormat="1" ht="24.95" customHeight="1">
      <c r="A337" s="1134"/>
      <c r="B337" s="1134"/>
      <c r="C337" s="1139"/>
      <c r="D337" s="1134"/>
      <c r="E337" s="1134"/>
      <c r="F337" s="1134"/>
      <c r="G337" s="1112"/>
      <c r="H337" s="1112"/>
      <c r="I337" s="1112"/>
      <c r="J337" s="1112"/>
      <c r="K337" s="1112"/>
      <c r="L337" s="1112"/>
      <c r="M337" s="1112"/>
      <c r="N337" s="1112"/>
      <c r="O337" s="1112"/>
      <c r="P337" s="1112"/>
      <c r="Q337" s="1112"/>
      <c r="R337" s="1112"/>
      <c r="S337" s="1112"/>
      <c r="T337" s="1134"/>
      <c r="U337" s="1138"/>
      <c r="V337" s="1112"/>
      <c r="W337" s="1112"/>
      <c r="X337" s="1112"/>
      <c r="Y337" s="1112"/>
      <c r="Z337" s="1112"/>
      <c r="AA337" s="1109"/>
      <c r="AB337" s="1109"/>
      <c r="AC337" s="1112"/>
      <c r="AD337" s="1112"/>
      <c r="AE337" s="436">
        <f t="shared" si="127"/>
        <v>0</v>
      </c>
      <c r="AF337" s="436">
        <f t="shared" si="128"/>
        <v>0</v>
      </c>
      <c r="AG337" s="436">
        <f t="shared" si="129"/>
        <v>0</v>
      </c>
      <c r="AH337" s="436">
        <f t="shared" si="130"/>
        <v>0</v>
      </c>
      <c r="AI337" s="436">
        <f t="shared" si="142"/>
        <v>0</v>
      </c>
      <c r="AJ337" s="436">
        <f t="shared" si="142"/>
        <v>0</v>
      </c>
      <c r="AK337" s="437">
        <f t="shared" si="131"/>
        <v>0</v>
      </c>
      <c r="AL337" s="437">
        <f t="shared" si="132"/>
        <v>0</v>
      </c>
      <c r="AM337" s="437">
        <f t="shared" si="133"/>
        <v>0</v>
      </c>
      <c r="AN337" s="437">
        <f t="shared" si="134"/>
        <v>0</v>
      </c>
      <c r="AO337" s="437">
        <f t="shared" si="135"/>
        <v>0</v>
      </c>
      <c r="AP337" s="437">
        <f t="shared" si="138"/>
        <v>0</v>
      </c>
      <c r="AQ337" s="437">
        <f t="shared" si="138"/>
        <v>0</v>
      </c>
      <c r="AR337" s="436"/>
      <c r="AS337" s="437">
        <f t="shared" si="126"/>
        <v>0</v>
      </c>
    </row>
    <row r="338" spans="1:45" s="438" customFormat="1" ht="24.95" customHeight="1">
      <c r="A338" s="1134"/>
      <c r="B338" s="1134"/>
      <c r="C338" s="1139" t="s">
        <v>564</v>
      </c>
      <c r="D338" s="1134" t="s">
        <v>663</v>
      </c>
      <c r="E338" s="1134" t="s">
        <v>664</v>
      </c>
      <c r="F338" s="1134">
        <v>9</v>
      </c>
      <c r="G338" s="1112">
        <v>5005</v>
      </c>
      <c r="H338" s="1112"/>
      <c r="I338" s="1112"/>
      <c r="J338" s="1112"/>
      <c r="K338" s="1112"/>
      <c r="L338" s="1112"/>
      <c r="M338" s="1112"/>
      <c r="N338" s="1112">
        <f>G338+H339</f>
        <v>5005</v>
      </c>
      <c r="O338" s="1112">
        <v>1</v>
      </c>
      <c r="P338" s="1112"/>
      <c r="Q338" s="1112"/>
      <c r="R338" s="1112"/>
      <c r="S338" s="1112"/>
      <c r="T338" s="1134">
        <v>32</v>
      </c>
      <c r="U338" s="1138">
        <v>0.3</v>
      </c>
      <c r="V338" s="1112">
        <f>N338*U338</f>
        <v>1501.5</v>
      </c>
      <c r="W338" s="1112"/>
      <c r="X338" s="1112">
        <f>(N338+V338)*O338</f>
        <v>6506.5</v>
      </c>
      <c r="Y338" s="1112">
        <f>AB338</f>
        <v>6993.5</v>
      </c>
      <c r="Z338" s="1112">
        <f>X338+Y338</f>
        <v>13500</v>
      </c>
      <c r="AA338" s="1109">
        <f>13500*O338</f>
        <v>13500</v>
      </c>
      <c r="AB338" s="1109">
        <f>AA338-X338</f>
        <v>6993.5</v>
      </c>
      <c r="AC338" s="1112">
        <f>6500*O338</f>
        <v>6500</v>
      </c>
      <c r="AD338" s="1112"/>
      <c r="AE338" s="436">
        <f t="shared" si="127"/>
        <v>5005</v>
      </c>
      <c r="AF338" s="436">
        <f t="shared" si="128"/>
        <v>0</v>
      </c>
      <c r="AG338" s="436">
        <f t="shared" si="129"/>
        <v>5005</v>
      </c>
      <c r="AH338" s="436">
        <f t="shared" si="130"/>
        <v>0</v>
      </c>
      <c r="AI338" s="436">
        <f t="shared" si="142"/>
        <v>0</v>
      </c>
      <c r="AJ338" s="436">
        <f t="shared" si="142"/>
        <v>0</v>
      </c>
      <c r="AK338" s="437">
        <f t="shared" si="131"/>
        <v>1501.5</v>
      </c>
      <c r="AL338" s="437">
        <f t="shared" si="132"/>
        <v>0</v>
      </c>
      <c r="AM338" s="437">
        <f t="shared" si="133"/>
        <v>0</v>
      </c>
      <c r="AN338" s="437">
        <f t="shared" si="134"/>
        <v>0</v>
      </c>
      <c r="AO338" s="437">
        <f t="shared" si="135"/>
        <v>0</v>
      </c>
      <c r="AP338" s="437">
        <f t="shared" si="138"/>
        <v>5005</v>
      </c>
      <c r="AQ338" s="437">
        <f t="shared" si="138"/>
        <v>0</v>
      </c>
      <c r="AR338" s="436"/>
      <c r="AS338" s="437">
        <f t="shared" si="126"/>
        <v>5005</v>
      </c>
    </row>
    <row r="339" spans="1:45" s="438" customFormat="1" ht="24.95" customHeight="1">
      <c r="A339" s="1134"/>
      <c r="B339" s="1134"/>
      <c r="C339" s="1139"/>
      <c r="D339" s="1134"/>
      <c r="E339" s="1134"/>
      <c r="F339" s="1134"/>
      <c r="G339" s="1112"/>
      <c r="H339" s="1112"/>
      <c r="I339" s="1112"/>
      <c r="J339" s="1112"/>
      <c r="K339" s="1112"/>
      <c r="L339" s="1112"/>
      <c r="M339" s="1112"/>
      <c r="N339" s="1112"/>
      <c r="O339" s="1112"/>
      <c r="P339" s="1112"/>
      <c r="Q339" s="1112"/>
      <c r="R339" s="1112"/>
      <c r="S339" s="1112"/>
      <c r="T339" s="1134"/>
      <c r="U339" s="1138"/>
      <c r="V339" s="1112"/>
      <c r="W339" s="1112"/>
      <c r="X339" s="1112"/>
      <c r="Y339" s="1112"/>
      <c r="Z339" s="1112"/>
      <c r="AA339" s="1109"/>
      <c r="AB339" s="1109"/>
      <c r="AC339" s="1112"/>
      <c r="AD339" s="1112"/>
      <c r="AE339" s="436">
        <f t="shared" si="127"/>
        <v>0</v>
      </c>
      <c r="AF339" s="436">
        <f t="shared" si="128"/>
        <v>0</v>
      </c>
      <c r="AG339" s="436">
        <f t="shared" si="129"/>
        <v>0</v>
      </c>
      <c r="AH339" s="436">
        <f t="shared" si="130"/>
        <v>0</v>
      </c>
      <c r="AI339" s="436">
        <f t="shared" si="142"/>
        <v>0</v>
      </c>
      <c r="AJ339" s="436">
        <f t="shared" si="142"/>
        <v>0</v>
      </c>
      <c r="AK339" s="437">
        <f t="shared" si="131"/>
        <v>0</v>
      </c>
      <c r="AL339" s="437">
        <f t="shared" si="132"/>
        <v>0</v>
      </c>
      <c r="AM339" s="437">
        <f t="shared" si="133"/>
        <v>0</v>
      </c>
      <c r="AN339" s="437">
        <f t="shared" si="134"/>
        <v>0</v>
      </c>
      <c r="AO339" s="437">
        <f t="shared" si="135"/>
        <v>0</v>
      </c>
      <c r="AP339" s="437">
        <f t="shared" si="138"/>
        <v>0</v>
      </c>
      <c r="AQ339" s="437">
        <f t="shared" si="138"/>
        <v>0</v>
      </c>
      <c r="AR339" s="436"/>
      <c r="AS339" s="437">
        <f t="shared" si="126"/>
        <v>0</v>
      </c>
    </row>
    <row r="340" spans="1:45" s="438" customFormat="1" ht="24.95" customHeight="1">
      <c r="A340" s="1134"/>
      <c r="B340" s="1134"/>
      <c r="C340" s="1139" t="s">
        <v>564</v>
      </c>
      <c r="D340" s="1134" t="s">
        <v>1058</v>
      </c>
      <c r="E340" s="1134" t="s">
        <v>624</v>
      </c>
      <c r="F340" s="1134">
        <v>9</v>
      </c>
      <c r="G340" s="1112">
        <v>5005</v>
      </c>
      <c r="H340" s="1112"/>
      <c r="I340" s="1112"/>
      <c r="J340" s="1112"/>
      <c r="K340" s="1112"/>
      <c r="L340" s="1112"/>
      <c r="M340" s="1112"/>
      <c r="N340" s="1112">
        <f>G340+H341</f>
        <v>5005</v>
      </c>
      <c r="O340" s="1112">
        <v>1</v>
      </c>
      <c r="P340" s="1112"/>
      <c r="Q340" s="1112"/>
      <c r="R340" s="1112"/>
      <c r="S340" s="1112"/>
      <c r="T340" s="1134">
        <v>31</v>
      </c>
      <c r="U340" s="1138">
        <v>0.3</v>
      </c>
      <c r="V340" s="1112">
        <f>N340*U340</f>
        <v>1501.5</v>
      </c>
      <c r="W340" s="1112"/>
      <c r="X340" s="1112">
        <f>(N340+V340)*O340+W340</f>
        <v>6506.5</v>
      </c>
      <c r="Y340" s="1112">
        <f>AB340</f>
        <v>6993.5</v>
      </c>
      <c r="Z340" s="1112">
        <f>X340+Y340</f>
        <v>13500</v>
      </c>
      <c r="AA340" s="1109">
        <f>13500*O340</f>
        <v>13500</v>
      </c>
      <c r="AB340" s="1109">
        <f>AA340-X340</f>
        <v>6993.5</v>
      </c>
      <c r="AC340" s="1112">
        <f>6500*O340</f>
        <v>6500</v>
      </c>
      <c r="AD340" s="1142"/>
      <c r="AE340" s="436">
        <f t="shared" si="127"/>
        <v>5005</v>
      </c>
      <c r="AF340" s="436">
        <f t="shared" si="128"/>
        <v>0</v>
      </c>
      <c r="AG340" s="436">
        <f t="shared" si="129"/>
        <v>5005</v>
      </c>
      <c r="AH340" s="436">
        <f t="shared" si="130"/>
        <v>0</v>
      </c>
      <c r="AI340" s="436">
        <f t="shared" si="142"/>
        <v>0</v>
      </c>
      <c r="AJ340" s="436">
        <f t="shared" si="142"/>
        <v>0</v>
      </c>
      <c r="AK340" s="437">
        <f t="shared" si="131"/>
        <v>1501.5</v>
      </c>
      <c r="AL340" s="437">
        <f t="shared" si="132"/>
        <v>0</v>
      </c>
      <c r="AM340" s="437">
        <f t="shared" si="133"/>
        <v>0</v>
      </c>
      <c r="AN340" s="437">
        <f t="shared" si="134"/>
        <v>0</v>
      </c>
      <c r="AO340" s="437">
        <f t="shared" si="135"/>
        <v>0</v>
      </c>
      <c r="AP340" s="437">
        <f t="shared" si="138"/>
        <v>5005</v>
      </c>
      <c r="AQ340" s="437">
        <f t="shared" si="138"/>
        <v>0</v>
      </c>
      <c r="AR340" s="436"/>
      <c r="AS340" s="437">
        <f t="shared" si="126"/>
        <v>5005</v>
      </c>
    </row>
    <row r="341" spans="1:45" s="438" customFormat="1" ht="24.95" customHeight="1">
      <c r="A341" s="1134"/>
      <c r="B341" s="1134"/>
      <c r="C341" s="1139"/>
      <c r="D341" s="1134"/>
      <c r="E341" s="1134"/>
      <c r="F341" s="1134"/>
      <c r="G341" s="1112"/>
      <c r="H341" s="1112"/>
      <c r="I341" s="1112"/>
      <c r="J341" s="1112"/>
      <c r="K341" s="1112"/>
      <c r="L341" s="1112"/>
      <c r="M341" s="1112"/>
      <c r="N341" s="1112"/>
      <c r="O341" s="1112"/>
      <c r="P341" s="1112"/>
      <c r="Q341" s="1112"/>
      <c r="R341" s="1112"/>
      <c r="S341" s="1112"/>
      <c r="T341" s="1134"/>
      <c r="U341" s="1138"/>
      <c r="V341" s="1112"/>
      <c r="W341" s="1112"/>
      <c r="X341" s="1112"/>
      <c r="Y341" s="1112"/>
      <c r="Z341" s="1112"/>
      <c r="AA341" s="1109"/>
      <c r="AB341" s="1109"/>
      <c r="AC341" s="1112"/>
      <c r="AD341" s="1142"/>
      <c r="AE341" s="436">
        <f t="shared" si="127"/>
        <v>0</v>
      </c>
      <c r="AF341" s="436">
        <f t="shared" si="128"/>
        <v>0</v>
      </c>
      <c r="AG341" s="436">
        <f t="shared" si="129"/>
        <v>0</v>
      </c>
      <c r="AH341" s="436">
        <f t="shared" si="130"/>
        <v>0</v>
      </c>
      <c r="AI341" s="436">
        <f t="shared" si="142"/>
        <v>0</v>
      </c>
      <c r="AJ341" s="436">
        <f t="shared" si="142"/>
        <v>0</v>
      </c>
      <c r="AK341" s="437">
        <f t="shared" si="131"/>
        <v>0</v>
      </c>
      <c r="AL341" s="437">
        <f t="shared" si="132"/>
        <v>0</v>
      </c>
      <c r="AM341" s="437">
        <f t="shared" si="133"/>
        <v>0</v>
      </c>
      <c r="AN341" s="437">
        <f t="shared" si="134"/>
        <v>0</v>
      </c>
      <c r="AO341" s="437">
        <f t="shared" si="135"/>
        <v>0</v>
      </c>
      <c r="AP341" s="437">
        <f t="shared" si="138"/>
        <v>0</v>
      </c>
      <c r="AQ341" s="437">
        <f t="shared" si="138"/>
        <v>0</v>
      </c>
      <c r="AR341" s="436"/>
      <c r="AS341" s="437">
        <f t="shared" si="126"/>
        <v>0</v>
      </c>
    </row>
    <row r="342" spans="1:45" s="438" customFormat="1" ht="24.95" customHeight="1">
      <c r="A342" s="1134"/>
      <c r="B342" s="1134"/>
      <c r="C342" s="1139" t="s">
        <v>668</v>
      </c>
      <c r="D342" s="1134" t="s">
        <v>669</v>
      </c>
      <c r="E342" s="1134" t="s">
        <v>670</v>
      </c>
      <c r="F342" s="1134">
        <v>10</v>
      </c>
      <c r="G342" s="1112">
        <v>5265</v>
      </c>
      <c r="H342" s="1112"/>
      <c r="I342" s="1112"/>
      <c r="J342" s="1112"/>
      <c r="K342" s="1112"/>
      <c r="L342" s="1112"/>
      <c r="M342" s="1112"/>
      <c r="N342" s="1112">
        <f>G342+I343</f>
        <v>5265</v>
      </c>
      <c r="O342" s="1112">
        <v>1</v>
      </c>
      <c r="P342" s="1112"/>
      <c r="Q342" s="1112"/>
      <c r="R342" s="1112"/>
      <c r="S342" s="1112"/>
      <c r="T342" s="1134">
        <v>37</v>
      </c>
      <c r="U342" s="1138">
        <v>0.3</v>
      </c>
      <c r="V342" s="1112">
        <f>N342*U342</f>
        <v>1579.5</v>
      </c>
      <c r="W342" s="1112"/>
      <c r="X342" s="1112">
        <f>(N342+V342)*O342</f>
        <v>6844.5</v>
      </c>
      <c r="Y342" s="1112">
        <f>AB342</f>
        <v>6655.5</v>
      </c>
      <c r="Z342" s="1112">
        <f>X342+Y342</f>
        <v>13500</v>
      </c>
      <c r="AA342" s="1109">
        <f>13500*O342</f>
        <v>13500</v>
      </c>
      <c r="AB342" s="1109">
        <f>AA342-X342</f>
        <v>6655.5</v>
      </c>
      <c r="AC342" s="1112">
        <f>6500*O342</f>
        <v>6500</v>
      </c>
      <c r="AD342" s="1112"/>
      <c r="AE342" s="436">
        <f t="shared" si="127"/>
        <v>5265</v>
      </c>
      <c r="AF342" s="436">
        <f t="shared" si="128"/>
        <v>0</v>
      </c>
      <c r="AG342" s="436">
        <f t="shared" si="129"/>
        <v>5265</v>
      </c>
      <c r="AH342" s="436">
        <f t="shared" si="130"/>
        <v>0</v>
      </c>
      <c r="AI342" s="436">
        <f t="shared" si="142"/>
        <v>0</v>
      </c>
      <c r="AJ342" s="436">
        <f t="shared" si="142"/>
        <v>0</v>
      </c>
      <c r="AK342" s="437">
        <f t="shared" si="131"/>
        <v>1579.5</v>
      </c>
      <c r="AL342" s="437">
        <f t="shared" si="132"/>
        <v>0</v>
      </c>
      <c r="AM342" s="437">
        <f t="shared" si="133"/>
        <v>0</v>
      </c>
      <c r="AN342" s="437">
        <f t="shared" si="134"/>
        <v>0</v>
      </c>
      <c r="AO342" s="437">
        <f t="shared" si="135"/>
        <v>0</v>
      </c>
      <c r="AP342" s="437">
        <f t="shared" si="138"/>
        <v>5265</v>
      </c>
      <c r="AQ342" s="437">
        <f t="shared" si="138"/>
        <v>0</v>
      </c>
      <c r="AR342" s="436"/>
      <c r="AS342" s="437">
        <f t="shared" si="126"/>
        <v>5265</v>
      </c>
    </row>
    <row r="343" spans="1:45" s="438" customFormat="1" ht="24.95" customHeight="1">
      <c r="A343" s="1134"/>
      <c r="B343" s="1134"/>
      <c r="C343" s="1139"/>
      <c r="D343" s="1134"/>
      <c r="E343" s="1134"/>
      <c r="F343" s="1134"/>
      <c r="G343" s="1112"/>
      <c r="H343" s="1112"/>
      <c r="I343" s="1112"/>
      <c r="J343" s="1112"/>
      <c r="K343" s="1112"/>
      <c r="L343" s="1112"/>
      <c r="M343" s="1112"/>
      <c r="N343" s="1112"/>
      <c r="O343" s="1112"/>
      <c r="P343" s="1112"/>
      <c r="Q343" s="1112"/>
      <c r="R343" s="1112"/>
      <c r="S343" s="1112"/>
      <c r="T343" s="1134"/>
      <c r="U343" s="1138"/>
      <c r="V343" s="1112"/>
      <c r="W343" s="1112"/>
      <c r="X343" s="1112"/>
      <c r="Y343" s="1112"/>
      <c r="Z343" s="1112"/>
      <c r="AA343" s="1109"/>
      <c r="AB343" s="1109"/>
      <c r="AC343" s="1112"/>
      <c r="AD343" s="1112"/>
      <c r="AE343" s="436">
        <f t="shared" si="127"/>
        <v>0</v>
      </c>
      <c r="AF343" s="436">
        <f t="shared" si="128"/>
        <v>0</v>
      </c>
      <c r="AG343" s="436">
        <f t="shared" si="129"/>
        <v>0</v>
      </c>
      <c r="AH343" s="436">
        <f t="shared" si="130"/>
        <v>0</v>
      </c>
      <c r="AI343" s="436">
        <f t="shared" si="142"/>
        <v>0</v>
      </c>
      <c r="AJ343" s="436">
        <f t="shared" si="142"/>
        <v>0</v>
      </c>
      <c r="AK343" s="437">
        <f t="shared" si="131"/>
        <v>0</v>
      </c>
      <c r="AL343" s="437">
        <f t="shared" si="132"/>
        <v>0</v>
      </c>
      <c r="AM343" s="437">
        <f t="shared" si="133"/>
        <v>0</v>
      </c>
      <c r="AN343" s="437">
        <f t="shared" si="134"/>
        <v>0</v>
      </c>
      <c r="AO343" s="437">
        <f t="shared" si="135"/>
        <v>0</v>
      </c>
      <c r="AP343" s="437">
        <f t="shared" si="138"/>
        <v>0</v>
      </c>
      <c r="AQ343" s="437">
        <f t="shared" si="138"/>
        <v>0</v>
      </c>
      <c r="AR343" s="436"/>
      <c r="AS343" s="437">
        <f t="shared" si="126"/>
        <v>0</v>
      </c>
    </row>
    <row r="344" spans="1:45" s="446" customFormat="1" ht="24.95" customHeight="1">
      <c r="A344" s="441"/>
      <c r="B344" s="441"/>
      <c r="C344" s="442" t="s">
        <v>318</v>
      </c>
      <c r="D344" s="443"/>
      <c r="E344" s="441"/>
      <c r="F344" s="441"/>
      <c r="G344" s="444">
        <f>SUM(G330:G343)</f>
        <v>35295</v>
      </c>
      <c r="H344" s="441">
        <f>H331</f>
        <v>500.5</v>
      </c>
      <c r="I344" s="441"/>
      <c r="J344" s="441"/>
      <c r="K344" s="441"/>
      <c r="L344" s="441"/>
      <c r="M344" s="441"/>
      <c r="N344" s="444">
        <f>SUM(N330:N343)</f>
        <v>35795.5</v>
      </c>
      <c r="O344" s="444">
        <f>SUM(O330:O343)</f>
        <v>7</v>
      </c>
      <c r="P344" s="444">
        <f>SUM(P330:P343)</f>
        <v>0</v>
      </c>
      <c r="Q344" s="444"/>
      <c r="R344" s="444"/>
      <c r="S344" s="444"/>
      <c r="T344" s="444"/>
      <c r="U344" s="444"/>
      <c r="V344" s="444">
        <f t="shared" ref="V344:AD344" si="143">SUM(V330:V343)</f>
        <v>10738.65</v>
      </c>
      <c r="W344" s="444">
        <f t="shared" si="143"/>
        <v>0</v>
      </c>
      <c r="X344" s="444">
        <f t="shared" si="143"/>
        <v>46534.15</v>
      </c>
      <c r="Y344" s="444">
        <f t="shared" si="143"/>
        <v>47965.85</v>
      </c>
      <c r="Z344" s="444">
        <f t="shared" si="143"/>
        <v>94500</v>
      </c>
      <c r="AA344" s="499">
        <f t="shared" si="143"/>
        <v>94500</v>
      </c>
      <c r="AB344" s="499">
        <f t="shared" si="143"/>
        <v>47965.85</v>
      </c>
      <c r="AC344" s="444">
        <f t="shared" si="143"/>
        <v>45500</v>
      </c>
      <c r="AD344" s="444">
        <f t="shared" si="143"/>
        <v>0</v>
      </c>
      <c r="AE344" s="436"/>
      <c r="AF344" s="436"/>
      <c r="AG344" s="436"/>
      <c r="AH344" s="436"/>
      <c r="AI344" s="436"/>
      <c r="AJ344" s="436"/>
      <c r="AK344" s="437"/>
      <c r="AL344" s="437"/>
      <c r="AM344" s="437"/>
      <c r="AN344" s="437"/>
      <c r="AO344" s="437"/>
      <c r="AP344" s="437">
        <f t="shared" si="138"/>
        <v>0</v>
      </c>
      <c r="AQ344" s="437">
        <f t="shared" si="138"/>
        <v>0</v>
      </c>
      <c r="AR344" s="436"/>
      <c r="AS344" s="437">
        <f t="shared" si="126"/>
        <v>0</v>
      </c>
    </row>
    <row r="345" spans="1:45" s="456" customFormat="1" ht="24.95" customHeight="1">
      <c r="A345" s="455"/>
      <c r="B345" s="455"/>
      <c r="C345" s="1135" t="s">
        <v>528</v>
      </c>
      <c r="D345" s="1135"/>
      <c r="E345" s="455"/>
      <c r="F345" s="455"/>
      <c r="G345" s="455"/>
      <c r="H345" s="455"/>
      <c r="I345" s="455"/>
      <c r="J345" s="455"/>
      <c r="K345" s="455"/>
      <c r="L345" s="455"/>
      <c r="M345" s="455"/>
      <c r="N345" s="455"/>
      <c r="O345" s="455"/>
      <c r="P345" s="455"/>
      <c r="Q345" s="455"/>
      <c r="R345" s="455"/>
      <c r="S345" s="455"/>
      <c r="T345" s="455"/>
      <c r="U345" s="455"/>
      <c r="V345" s="455"/>
      <c r="W345" s="455"/>
      <c r="X345" s="455"/>
      <c r="Y345" s="455"/>
      <c r="Z345" s="455"/>
      <c r="AA345" s="504"/>
      <c r="AB345" s="504"/>
      <c r="AC345" s="455"/>
      <c r="AD345" s="455"/>
      <c r="AE345" s="436">
        <f t="shared" si="127"/>
        <v>0</v>
      </c>
      <c r="AF345" s="436">
        <f t="shared" si="128"/>
        <v>0</v>
      </c>
      <c r="AG345" s="436">
        <f t="shared" si="129"/>
        <v>0</v>
      </c>
      <c r="AH345" s="436">
        <f t="shared" si="130"/>
        <v>0</v>
      </c>
      <c r="AI345" s="436">
        <f t="shared" si="142"/>
        <v>0</v>
      </c>
      <c r="AJ345" s="436">
        <f t="shared" si="142"/>
        <v>0</v>
      </c>
      <c r="AK345" s="437">
        <f t="shared" si="131"/>
        <v>0</v>
      </c>
      <c r="AL345" s="437">
        <f t="shared" si="132"/>
        <v>0</v>
      </c>
      <c r="AM345" s="437">
        <f t="shared" si="133"/>
        <v>0</v>
      </c>
      <c r="AN345" s="437">
        <f t="shared" si="134"/>
        <v>0</v>
      </c>
      <c r="AO345" s="437">
        <f t="shared" si="135"/>
        <v>0</v>
      </c>
      <c r="AP345" s="437">
        <f t="shared" si="138"/>
        <v>0</v>
      </c>
      <c r="AQ345" s="437">
        <f t="shared" si="138"/>
        <v>0</v>
      </c>
      <c r="AR345" s="436"/>
      <c r="AS345" s="437">
        <f t="shared" si="126"/>
        <v>0</v>
      </c>
    </row>
    <row r="346" spans="1:45" s="438" customFormat="1" ht="24.95" customHeight="1">
      <c r="A346" s="1134"/>
      <c r="B346" s="1134"/>
      <c r="C346" s="1139" t="s">
        <v>612</v>
      </c>
      <c r="D346" s="1134" t="s">
        <v>1059</v>
      </c>
      <c r="E346" s="1134" t="s">
        <v>678</v>
      </c>
      <c r="F346" s="1134">
        <v>10</v>
      </c>
      <c r="G346" s="1112">
        <v>5265</v>
      </c>
      <c r="H346" s="1112"/>
      <c r="I346" s="1112"/>
      <c r="J346" s="1112"/>
      <c r="K346" s="1112"/>
      <c r="L346" s="435">
        <v>0.15</v>
      </c>
      <c r="M346" s="1112"/>
      <c r="N346" s="1112">
        <f>G346+H347+K347+L347</f>
        <v>6054.75</v>
      </c>
      <c r="O346" s="1112">
        <v>1</v>
      </c>
      <c r="P346" s="1140"/>
      <c r="Q346" s="1140"/>
      <c r="R346" s="1140"/>
      <c r="S346" s="1140"/>
      <c r="T346" s="1134">
        <v>31</v>
      </c>
      <c r="U346" s="1138">
        <v>0.3</v>
      </c>
      <c r="V346" s="1112">
        <f>N346*U346</f>
        <v>1816.425</v>
      </c>
      <c r="W346" s="1112"/>
      <c r="X346" s="1112">
        <f>(N346+V346)*O346</f>
        <v>7871.1750000000002</v>
      </c>
      <c r="Y346" s="1112">
        <f>AB346</f>
        <v>5628.8249999999998</v>
      </c>
      <c r="Z346" s="1112">
        <f>X346+Y346</f>
        <v>13500</v>
      </c>
      <c r="AA346" s="1109">
        <f>13500*O346</f>
        <v>13500</v>
      </c>
      <c r="AB346" s="1109">
        <f>AA346-X346</f>
        <v>5628.8249999999998</v>
      </c>
      <c r="AC346" s="1112">
        <f>6500*O346</f>
        <v>6500</v>
      </c>
      <c r="AD346" s="1112"/>
      <c r="AE346" s="436">
        <f t="shared" si="127"/>
        <v>5265</v>
      </c>
      <c r="AF346" s="436">
        <f t="shared" si="128"/>
        <v>0</v>
      </c>
      <c r="AG346" s="436">
        <f t="shared" si="129"/>
        <v>6054.75</v>
      </c>
      <c r="AH346" s="436">
        <f t="shared" si="130"/>
        <v>0</v>
      </c>
      <c r="AI346" s="436">
        <f t="shared" si="142"/>
        <v>789.75</v>
      </c>
      <c r="AJ346" s="436">
        <f t="shared" si="142"/>
        <v>0</v>
      </c>
      <c r="AK346" s="437">
        <f t="shared" si="131"/>
        <v>1816.425</v>
      </c>
      <c r="AL346" s="437">
        <f t="shared" si="132"/>
        <v>0</v>
      </c>
      <c r="AM346" s="437">
        <f t="shared" si="133"/>
        <v>0</v>
      </c>
      <c r="AN346" s="437">
        <f t="shared" si="134"/>
        <v>0</v>
      </c>
      <c r="AO346" s="437">
        <f t="shared" si="135"/>
        <v>0</v>
      </c>
      <c r="AP346" s="437">
        <f t="shared" si="138"/>
        <v>6054.75</v>
      </c>
      <c r="AQ346" s="437">
        <f t="shared" si="138"/>
        <v>0</v>
      </c>
      <c r="AR346" s="436"/>
      <c r="AS346" s="437">
        <f t="shared" si="126"/>
        <v>6054.75</v>
      </c>
    </row>
    <row r="347" spans="1:45" s="438" customFormat="1" ht="24.95" customHeight="1">
      <c r="A347" s="1134"/>
      <c r="B347" s="1134"/>
      <c r="C347" s="1139"/>
      <c r="D347" s="1134"/>
      <c r="E347" s="1134"/>
      <c r="F347" s="1134"/>
      <c r="G347" s="1112"/>
      <c r="H347" s="1112"/>
      <c r="I347" s="1112"/>
      <c r="J347" s="1112"/>
      <c r="K347" s="1112"/>
      <c r="L347" s="439">
        <f>G346*L346</f>
        <v>789.75</v>
      </c>
      <c r="M347" s="1112"/>
      <c r="N347" s="1112"/>
      <c r="O347" s="1112"/>
      <c r="P347" s="1140"/>
      <c r="Q347" s="1140"/>
      <c r="R347" s="1140"/>
      <c r="S347" s="1140"/>
      <c r="T347" s="1134"/>
      <c r="U347" s="1138"/>
      <c r="V347" s="1112"/>
      <c r="W347" s="1112"/>
      <c r="X347" s="1112"/>
      <c r="Y347" s="1112"/>
      <c r="Z347" s="1112"/>
      <c r="AA347" s="1109"/>
      <c r="AB347" s="1109"/>
      <c r="AC347" s="1112"/>
      <c r="AD347" s="1112"/>
      <c r="AE347" s="436">
        <f t="shared" si="127"/>
        <v>0</v>
      </c>
      <c r="AF347" s="436">
        <f t="shared" si="128"/>
        <v>0</v>
      </c>
      <c r="AG347" s="436">
        <f t="shared" si="129"/>
        <v>0</v>
      </c>
      <c r="AH347" s="436">
        <f t="shared" si="130"/>
        <v>0</v>
      </c>
      <c r="AI347" s="436">
        <f t="shared" si="142"/>
        <v>0</v>
      </c>
      <c r="AJ347" s="436">
        <f t="shared" si="142"/>
        <v>0</v>
      </c>
      <c r="AK347" s="437">
        <f t="shared" si="131"/>
        <v>0</v>
      </c>
      <c r="AL347" s="437">
        <f t="shared" si="132"/>
        <v>0</v>
      </c>
      <c r="AM347" s="437">
        <f t="shared" si="133"/>
        <v>0</v>
      </c>
      <c r="AN347" s="437">
        <f t="shared" si="134"/>
        <v>0</v>
      </c>
      <c r="AO347" s="437">
        <f t="shared" si="135"/>
        <v>0</v>
      </c>
      <c r="AP347" s="437">
        <f t="shared" si="138"/>
        <v>0</v>
      </c>
      <c r="AQ347" s="437">
        <f t="shared" si="138"/>
        <v>0</v>
      </c>
      <c r="AR347" s="436"/>
      <c r="AS347" s="437">
        <f t="shared" si="126"/>
        <v>0</v>
      </c>
    </row>
    <row r="348" spans="1:45" s="438" customFormat="1" ht="24.95" customHeight="1">
      <c r="A348" s="1134"/>
      <c r="B348" s="1134"/>
      <c r="C348" s="1139" t="s">
        <v>612</v>
      </c>
      <c r="D348" s="1134" t="s">
        <v>1059</v>
      </c>
      <c r="E348" s="1134" t="s">
        <v>678</v>
      </c>
      <c r="F348" s="1134">
        <v>10</v>
      </c>
      <c r="G348" s="1112">
        <v>5265</v>
      </c>
      <c r="H348" s="1112"/>
      <c r="I348" s="1112"/>
      <c r="J348" s="1112"/>
      <c r="K348" s="1112"/>
      <c r="L348" s="435">
        <v>0.15</v>
      </c>
      <c r="M348" s="1112"/>
      <c r="N348" s="1112">
        <f>G348+H349+K349+L349</f>
        <v>6054.75</v>
      </c>
      <c r="O348" s="1112"/>
      <c r="P348" s="1140">
        <v>0.25</v>
      </c>
      <c r="Q348" s="1140"/>
      <c r="R348" s="1140"/>
      <c r="S348" s="1140"/>
      <c r="T348" s="1134">
        <v>31</v>
      </c>
      <c r="U348" s="1138">
        <v>0.3</v>
      </c>
      <c r="V348" s="1112">
        <f>N348*U348</f>
        <v>1816.425</v>
      </c>
      <c r="W348" s="1112"/>
      <c r="X348" s="1112">
        <f>(N348+V348)*P348</f>
        <v>1967.79375</v>
      </c>
      <c r="Y348" s="1112">
        <f>AB348</f>
        <v>1407.20625</v>
      </c>
      <c r="Z348" s="1112">
        <f>X348+Y348</f>
        <v>3375</v>
      </c>
      <c r="AA348" s="1109">
        <f>13500*P348</f>
        <v>3375</v>
      </c>
      <c r="AB348" s="1109">
        <f>AA348-X348</f>
        <v>1407.20625</v>
      </c>
      <c r="AC348" s="1112">
        <f>6500*P348</f>
        <v>1625</v>
      </c>
      <c r="AD348" s="1112"/>
      <c r="AE348" s="436">
        <f t="shared" si="127"/>
        <v>0</v>
      </c>
      <c r="AF348" s="436">
        <f t="shared" si="128"/>
        <v>1316.25</v>
      </c>
      <c r="AG348" s="436">
        <f t="shared" si="129"/>
        <v>0</v>
      </c>
      <c r="AH348" s="436">
        <f t="shared" si="130"/>
        <v>1513.6875</v>
      </c>
      <c r="AI348" s="436">
        <f t="shared" si="142"/>
        <v>0</v>
      </c>
      <c r="AJ348" s="436">
        <f t="shared" si="142"/>
        <v>197.4375</v>
      </c>
      <c r="AK348" s="437">
        <f t="shared" si="131"/>
        <v>0</v>
      </c>
      <c r="AL348" s="437">
        <f t="shared" si="132"/>
        <v>454.10624999999999</v>
      </c>
      <c r="AM348" s="437">
        <f t="shared" si="133"/>
        <v>0</v>
      </c>
      <c r="AN348" s="437">
        <f t="shared" si="134"/>
        <v>0</v>
      </c>
      <c r="AO348" s="437">
        <f t="shared" si="135"/>
        <v>0</v>
      </c>
      <c r="AP348" s="437">
        <f t="shared" ref="AP348:AQ398" si="144">AG348</f>
        <v>0</v>
      </c>
      <c r="AQ348" s="437">
        <f t="shared" si="144"/>
        <v>1513.6875</v>
      </c>
      <c r="AR348" s="436"/>
      <c r="AS348" s="437">
        <f t="shared" si="126"/>
        <v>1513.6875</v>
      </c>
    </row>
    <row r="349" spans="1:45" s="438" customFormat="1" ht="24.95" customHeight="1">
      <c r="A349" s="1134"/>
      <c r="B349" s="1134"/>
      <c r="C349" s="1139"/>
      <c r="D349" s="1134"/>
      <c r="E349" s="1134"/>
      <c r="F349" s="1134"/>
      <c r="G349" s="1112"/>
      <c r="H349" s="1112"/>
      <c r="I349" s="1112"/>
      <c r="J349" s="1112"/>
      <c r="K349" s="1112"/>
      <c r="L349" s="439">
        <f>G348*L348</f>
        <v>789.75</v>
      </c>
      <c r="M349" s="1112"/>
      <c r="N349" s="1112"/>
      <c r="O349" s="1112"/>
      <c r="P349" s="1140"/>
      <c r="Q349" s="1140"/>
      <c r="R349" s="1140"/>
      <c r="S349" s="1140"/>
      <c r="T349" s="1134"/>
      <c r="U349" s="1138"/>
      <c r="V349" s="1112"/>
      <c r="W349" s="1112"/>
      <c r="X349" s="1112"/>
      <c r="Y349" s="1112"/>
      <c r="Z349" s="1112"/>
      <c r="AA349" s="1109"/>
      <c r="AB349" s="1109"/>
      <c r="AC349" s="1112"/>
      <c r="AD349" s="1112"/>
      <c r="AE349" s="436">
        <f t="shared" si="127"/>
        <v>0</v>
      </c>
      <c r="AF349" s="436">
        <f t="shared" si="128"/>
        <v>0</v>
      </c>
      <c r="AG349" s="436">
        <f t="shared" si="129"/>
        <v>0</v>
      </c>
      <c r="AH349" s="436">
        <f t="shared" si="130"/>
        <v>0</v>
      </c>
      <c r="AI349" s="436">
        <f t="shared" si="142"/>
        <v>0</v>
      </c>
      <c r="AJ349" s="436">
        <f t="shared" si="142"/>
        <v>0</v>
      </c>
      <c r="AK349" s="437">
        <f t="shared" si="131"/>
        <v>0</v>
      </c>
      <c r="AL349" s="437">
        <f t="shared" si="132"/>
        <v>0</v>
      </c>
      <c r="AM349" s="437">
        <f t="shared" si="133"/>
        <v>0</v>
      </c>
      <c r="AN349" s="437">
        <f t="shared" si="134"/>
        <v>0</v>
      </c>
      <c r="AO349" s="437">
        <f t="shared" si="135"/>
        <v>0</v>
      </c>
      <c r="AP349" s="437">
        <f t="shared" si="144"/>
        <v>0</v>
      </c>
      <c r="AQ349" s="437">
        <f t="shared" si="144"/>
        <v>0</v>
      </c>
      <c r="AR349" s="436"/>
      <c r="AS349" s="437">
        <f t="shared" si="126"/>
        <v>0</v>
      </c>
    </row>
    <row r="350" spans="1:45" s="438" customFormat="1" ht="24.95" customHeight="1">
      <c r="A350" s="1134"/>
      <c r="B350" s="1134"/>
      <c r="C350" s="1139" t="s">
        <v>612</v>
      </c>
      <c r="D350" s="1134" t="s">
        <v>679</v>
      </c>
      <c r="E350" s="1134" t="s">
        <v>680</v>
      </c>
      <c r="F350" s="1134">
        <v>10</v>
      </c>
      <c r="G350" s="1112">
        <v>5265</v>
      </c>
      <c r="H350" s="1112"/>
      <c r="I350" s="1112"/>
      <c r="J350" s="1112"/>
      <c r="K350" s="1112"/>
      <c r="L350" s="435">
        <v>0.15</v>
      </c>
      <c r="M350" s="1112"/>
      <c r="N350" s="1112">
        <f>G350+H351+K351+L351</f>
        <v>6054.75</v>
      </c>
      <c r="O350" s="1112"/>
      <c r="P350" s="1112">
        <v>0.25</v>
      </c>
      <c r="Q350" s="1112"/>
      <c r="R350" s="1112"/>
      <c r="S350" s="1112"/>
      <c r="T350" s="1134">
        <v>34</v>
      </c>
      <c r="U350" s="1138">
        <v>0.3</v>
      </c>
      <c r="V350" s="1112">
        <f>N350*U350</f>
        <v>1816.425</v>
      </c>
      <c r="W350" s="1112"/>
      <c r="X350" s="1112">
        <f>(N350+V350)*P350+W350</f>
        <v>1967.79375</v>
      </c>
      <c r="Y350" s="1112">
        <f>AB350</f>
        <v>1407.20625</v>
      </c>
      <c r="Z350" s="1112">
        <f>X350+Y350</f>
        <v>3375</v>
      </c>
      <c r="AA350" s="1109">
        <f>13500*P350</f>
        <v>3375</v>
      </c>
      <c r="AB350" s="1109">
        <f>AA350-X350</f>
        <v>1407.20625</v>
      </c>
      <c r="AC350" s="1112">
        <f>6500*P350</f>
        <v>1625</v>
      </c>
      <c r="AD350" s="1112"/>
      <c r="AE350" s="436">
        <f t="shared" si="127"/>
        <v>0</v>
      </c>
      <c r="AF350" s="436">
        <f t="shared" si="128"/>
        <v>1316.25</v>
      </c>
      <c r="AG350" s="436">
        <f t="shared" si="129"/>
        <v>0</v>
      </c>
      <c r="AH350" s="436">
        <f t="shared" si="130"/>
        <v>1513.6875</v>
      </c>
      <c r="AI350" s="436">
        <f t="shared" si="142"/>
        <v>0</v>
      </c>
      <c r="AJ350" s="436">
        <f t="shared" si="142"/>
        <v>197.4375</v>
      </c>
      <c r="AK350" s="437">
        <f t="shared" si="131"/>
        <v>0</v>
      </c>
      <c r="AL350" s="437">
        <f t="shared" si="132"/>
        <v>454.10624999999999</v>
      </c>
      <c r="AM350" s="437">
        <f t="shared" si="133"/>
        <v>0</v>
      </c>
      <c r="AN350" s="437">
        <f t="shared" si="134"/>
        <v>0</v>
      </c>
      <c r="AO350" s="437">
        <f t="shared" si="135"/>
        <v>0</v>
      </c>
      <c r="AP350" s="437">
        <f t="shared" si="144"/>
        <v>0</v>
      </c>
      <c r="AQ350" s="437">
        <f t="shared" si="144"/>
        <v>1513.6875</v>
      </c>
      <c r="AR350" s="436"/>
      <c r="AS350" s="437">
        <f t="shared" si="126"/>
        <v>1513.6875</v>
      </c>
    </row>
    <row r="351" spans="1:45" s="438" customFormat="1" ht="24.95" customHeight="1">
      <c r="A351" s="1134"/>
      <c r="B351" s="1134"/>
      <c r="C351" s="1139"/>
      <c r="D351" s="1134"/>
      <c r="E351" s="1134"/>
      <c r="F351" s="1134"/>
      <c r="G351" s="1112"/>
      <c r="H351" s="1112"/>
      <c r="I351" s="1112"/>
      <c r="J351" s="1112"/>
      <c r="K351" s="1112"/>
      <c r="L351" s="439">
        <f>G350*L350</f>
        <v>789.75</v>
      </c>
      <c r="M351" s="1112"/>
      <c r="N351" s="1112"/>
      <c r="O351" s="1112"/>
      <c r="P351" s="1112"/>
      <c r="Q351" s="1112"/>
      <c r="R351" s="1112"/>
      <c r="S351" s="1112"/>
      <c r="T351" s="1134"/>
      <c r="U351" s="1138"/>
      <c r="V351" s="1112"/>
      <c r="W351" s="1112"/>
      <c r="X351" s="1112"/>
      <c r="Y351" s="1112"/>
      <c r="Z351" s="1112"/>
      <c r="AA351" s="1109"/>
      <c r="AB351" s="1109"/>
      <c r="AC351" s="1112"/>
      <c r="AD351" s="1112"/>
      <c r="AE351" s="436">
        <f t="shared" si="127"/>
        <v>0</v>
      </c>
      <c r="AF351" s="436">
        <f t="shared" si="128"/>
        <v>0</v>
      </c>
      <c r="AG351" s="436">
        <f t="shared" si="129"/>
        <v>0</v>
      </c>
      <c r="AH351" s="436">
        <f t="shared" si="130"/>
        <v>0</v>
      </c>
      <c r="AI351" s="436">
        <f t="shared" si="142"/>
        <v>0</v>
      </c>
      <c r="AJ351" s="436">
        <f t="shared" si="142"/>
        <v>0</v>
      </c>
      <c r="AK351" s="437">
        <f t="shared" si="131"/>
        <v>0</v>
      </c>
      <c r="AL351" s="437">
        <f t="shared" si="132"/>
        <v>0</v>
      </c>
      <c r="AM351" s="437">
        <f t="shared" si="133"/>
        <v>0</v>
      </c>
      <c r="AN351" s="437">
        <f t="shared" si="134"/>
        <v>0</v>
      </c>
      <c r="AO351" s="437">
        <f t="shared" si="135"/>
        <v>0</v>
      </c>
      <c r="AP351" s="437">
        <f t="shared" si="144"/>
        <v>0</v>
      </c>
      <c r="AQ351" s="437">
        <f t="shared" si="144"/>
        <v>0</v>
      </c>
      <c r="AR351" s="436"/>
      <c r="AS351" s="437">
        <f t="shared" si="126"/>
        <v>0</v>
      </c>
    </row>
    <row r="352" spans="1:45" s="438" customFormat="1" ht="24.95" customHeight="1">
      <c r="A352" s="1134"/>
      <c r="B352" s="1134"/>
      <c r="C352" s="1139" t="s">
        <v>612</v>
      </c>
      <c r="D352" s="1134" t="s">
        <v>679</v>
      </c>
      <c r="E352" s="1134" t="s">
        <v>680</v>
      </c>
      <c r="F352" s="1134">
        <v>10</v>
      </c>
      <c r="G352" s="1112">
        <v>5265</v>
      </c>
      <c r="H352" s="1112"/>
      <c r="I352" s="1112"/>
      <c r="J352" s="1112"/>
      <c r="K352" s="1112"/>
      <c r="L352" s="435">
        <v>0.15</v>
      </c>
      <c r="M352" s="1112"/>
      <c r="N352" s="1112">
        <f>G352+H353+K353+L353</f>
        <v>6054.75</v>
      </c>
      <c r="O352" s="1112">
        <v>1</v>
      </c>
      <c r="P352" s="1112"/>
      <c r="Q352" s="1112"/>
      <c r="R352" s="1112"/>
      <c r="S352" s="1112"/>
      <c r="T352" s="1134">
        <v>34</v>
      </c>
      <c r="U352" s="1138">
        <v>0.3</v>
      </c>
      <c r="V352" s="1112">
        <f>N352*U352</f>
        <v>1816.425</v>
      </c>
      <c r="W352" s="1112"/>
      <c r="X352" s="1112">
        <f>(N352+V352)*O352</f>
        <v>7871.1750000000002</v>
      </c>
      <c r="Y352" s="1112">
        <f>AB352</f>
        <v>5628.8249999999998</v>
      </c>
      <c r="Z352" s="1112">
        <f>X352+Y352</f>
        <v>13500</v>
      </c>
      <c r="AA352" s="1109">
        <f>13500*O352</f>
        <v>13500</v>
      </c>
      <c r="AB352" s="1109">
        <f>AA352-X352</f>
        <v>5628.8249999999998</v>
      </c>
      <c r="AC352" s="1112">
        <f>6500*O352</f>
        <v>6500</v>
      </c>
      <c r="AD352" s="1112"/>
      <c r="AE352" s="436">
        <f t="shared" si="127"/>
        <v>5265</v>
      </c>
      <c r="AF352" s="436">
        <f t="shared" si="128"/>
        <v>0</v>
      </c>
      <c r="AG352" s="436">
        <f t="shared" si="129"/>
        <v>6054.75</v>
      </c>
      <c r="AH352" s="436">
        <f t="shared" si="130"/>
        <v>0</v>
      </c>
      <c r="AI352" s="436">
        <f t="shared" si="142"/>
        <v>789.75</v>
      </c>
      <c r="AJ352" s="436">
        <f t="shared" si="142"/>
        <v>0</v>
      </c>
      <c r="AK352" s="437">
        <f t="shared" si="131"/>
        <v>1816.425</v>
      </c>
      <c r="AL352" s="437">
        <f t="shared" si="132"/>
        <v>0</v>
      </c>
      <c r="AM352" s="437">
        <f t="shared" si="133"/>
        <v>0</v>
      </c>
      <c r="AN352" s="437">
        <f t="shared" si="134"/>
        <v>0</v>
      </c>
      <c r="AO352" s="437">
        <f t="shared" si="135"/>
        <v>0</v>
      </c>
      <c r="AP352" s="437">
        <f t="shared" si="144"/>
        <v>6054.75</v>
      </c>
      <c r="AQ352" s="437">
        <f t="shared" si="144"/>
        <v>0</v>
      </c>
      <c r="AR352" s="436"/>
      <c r="AS352" s="437">
        <f t="shared" si="126"/>
        <v>6054.75</v>
      </c>
    </row>
    <row r="353" spans="1:45" s="438" customFormat="1" ht="24.95" customHeight="1">
      <c r="A353" s="1134"/>
      <c r="B353" s="1134"/>
      <c r="C353" s="1139"/>
      <c r="D353" s="1134"/>
      <c r="E353" s="1134"/>
      <c r="F353" s="1134"/>
      <c r="G353" s="1112"/>
      <c r="H353" s="1112"/>
      <c r="I353" s="1112"/>
      <c r="J353" s="1112"/>
      <c r="K353" s="1112"/>
      <c r="L353" s="439">
        <f>G352*L352</f>
        <v>789.75</v>
      </c>
      <c r="M353" s="1112"/>
      <c r="N353" s="1112"/>
      <c r="O353" s="1112"/>
      <c r="P353" s="1112"/>
      <c r="Q353" s="1112"/>
      <c r="R353" s="1112"/>
      <c r="S353" s="1112"/>
      <c r="T353" s="1134"/>
      <c r="U353" s="1138"/>
      <c r="V353" s="1112"/>
      <c r="W353" s="1112"/>
      <c r="X353" s="1112"/>
      <c r="Y353" s="1112"/>
      <c r="Z353" s="1112"/>
      <c r="AA353" s="1109"/>
      <c r="AB353" s="1109"/>
      <c r="AC353" s="1112"/>
      <c r="AD353" s="1112"/>
      <c r="AE353" s="436">
        <f t="shared" si="127"/>
        <v>0</v>
      </c>
      <c r="AF353" s="436">
        <f t="shared" si="128"/>
        <v>0</v>
      </c>
      <c r="AG353" s="436">
        <f t="shared" si="129"/>
        <v>0</v>
      </c>
      <c r="AH353" s="436">
        <f t="shared" si="130"/>
        <v>0</v>
      </c>
      <c r="AI353" s="436">
        <f t="shared" si="142"/>
        <v>0</v>
      </c>
      <c r="AJ353" s="436">
        <f t="shared" si="142"/>
        <v>0</v>
      </c>
      <c r="AK353" s="437">
        <f t="shared" si="131"/>
        <v>0</v>
      </c>
      <c r="AL353" s="437">
        <f t="shared" si="132"/>
        <v>0</v>
      </c>
      <c r="AM353" s="437">
        <f t="shared" si="133"/>
        <v>0</v>
      </c>
      <c r="AN353" s="437">
        <f t="shared" si="134"/>
        <v>0</v>
      </c>
      <c r="AO353" s="437">
        <f t="shared" si="135"/>
        <v>0</v>
      </c>
      <c r="AP353" s="437">
        <f t="shared" si="144"/>
        <v>0</v>
      </c>
      <c r="AQ353" s="437">
        <f t="shared" si="144"/>
        <v>0</v>
      </c>
      <c r="AR353" s="436"/>
      <c r="AS353" s="437">
        <f t="shared" si="126"/>
        <v>0</v>
      </c>
    </row>
    <row r="354" spans="1:45" s="438" customFormat="1" ht="24.95" customHeight="1">
      <c r="A354" s="1134"/>
      <c r="B354" s="1134"/>
      <c r="C354" s="1139" t="s">
        <v>683</v>
      </c>
      <c r="D354" s="1134" t="s">
        <v>1060</v>
      </c>
      <c r="E354" s="1134" t="s">
        <v>684</v>
      </c>
      <c r="F354" s="1134">
        <v>10</v>
      </c>
      <c r="G354" s="1112">
        <v>5265</v>
      </c>
      <c r="H354" s="1112"/>
      <c r="I354" s="1112"/>
      <c r="J354" s="1112"/>
      <c r="K354" s="1112"/>
      <c r="L354" s="435">
        <v>0.15</v>
      </c>
      <c r="M354" s="1112"/>
      <c r="N354" s="1112">
        <f>G354+H355+K355+L355</f>
        <v>6054.75</v>
      </c>
      <c r="O354" s="1112">
        <v>1</v>
      </c>
      <c r="P354" s="1112"/>
      <c r="Q354" s="1112"/>
      <c r="R354" s="1112"/>
      <c r="S354" s="1112"/>
      <c r="T354" s="1134">
        <v>38</v>
      </c>
      <c r="U354" s="1138">
        <v>0.3</v>
      </c>
      <c r="V354" s="1112">
        <f>N354*U354</f>
        <v>1816.425</v>
      </c>
      <c r="W354" s="1112"/>
      <c r="X354" s="1112">
        <f>(N354+V354)*O354</f>
        <v>7871.1750000000002</v>
      </c>
      <c r="Y354" s="1112">
        <f>AB354</f>
        <v>5628.8249999999998</v>
      </c>
      <c r="Z354" s="1112">
        <f>X354+Y354</f>
        <v>13500</v>
      </c>
      <c r="AA354" s="1109">
        <f>13500*O354</f>
        <v>13500</v>
      </c>
      <c r="AB354" s="1109">
        <f>AA354-X354</f>
        <v>5628.8249999999998</v>
      </c>
      <c r="AC354" s="1112">
        <f>6500*O354</f>
        <v>6500</v>
      </c>
      <c r="AD354" s="1112"/>
      <c r="AE354" s="436">
        <f t="shared" si="127"/>
        <v>5265</v>
      </c>
      <c r="AF354" s="436">
        <f t="shared" si="128"/>
        <v>0</v>
      </c>
      <c r="AG354" s="436">
        <f t="shared" si="129"/>
        <v>6054.75</v>
      </c>
      <c r="AH354" s="436">
        <f t="shared" si="130"/>
        <v>0</v>
      </c>
      <c r="AI354" s="436">
        <f t="shared" si="142"/>
        <v>789.75</v>
      </c>
      <c r="AJ354" s="436">
        <f t="shared" si="142"/>
        <v>0</v>
      </c>
      <c r="AK354" s="437">
        <f t="shared" si="131"/>
        <v>1816.425</v>
      </c>
      <c r="AL354" s="437">
        <f t="shared" si="132"/>
        <v>0</v>
      </c>
      <c r="AM354" s="437">
        <f t="shared" si="133"/>
        <v>0</v>
      </c>
      <c r="AN354" s="437">
        <f t="shared" si="134"/>
        <v>0</v>
      </c>
      <c r="AO354" s="437">
        <f t="shared" si="135"/>
        <v>0</v>
      </c>
      <c r="AP354" s="437">
        <f t="shared" si="144"/>
        <v>6054.75</v>
      </c>
      <c r="AQ354" s="437">
        <f t="shared" si="144"/>
        <v>0</v>
      </c>
      <c r="AR354" s="436"/>
      <c r="AS354" s="437">
        <f t="shared" si="126"/>
        <v>6054.75</v>
      </c>
    </row>
    <row r="355" spans="1:45" s="438" customFormat="1" ht="24.95" customHeight="1">
      <c r="A355" s="1134"/>
      <c r="B355" s="1134"/>
      <c r="C355" s="1139"/>
      <c r="D355" s="1134"/>
      <c r="E355" s="1134"/>
      <c r="F355" s="1134"/>
      <c r="G355" s="1112"/>
      <c r="H355" s="1112"/>
      <c r="I355" s="1112"/>
      <c r="J355" s="1112"/>
      <c r="K355" s="1112"/>
      <c r="L355" s="439">
        <f>G354*L354</f>
        <v>789.75</v>
      </c>
      <c r="M355" s="1112"/>
      <c r="N355" s="1112"/>
      <c r="O355" s="1112"/>
      <c r="P355" s="1112"/>
      <c r="Q355" s="1112"/>
      <c r="R355" s="1112"/>
      <c r="S355" s="1112"/>
      <c r="T355" s="1134"/>
      <c r="U355" s="1138"/>
      <c r="V355" s="1112"/>
      <c r="W355" s="1112"/>
      <c r="X355" s="1112"/>
      <c r="Y355" s="1112"/>
      <c r="Z355" s="1112"/>
      <c r="AA355" s="1109"/>
      <c r="AB355" s="1109"/>
      <c r="AC355" s="1112"/>
      <c r="AD355" s="1112"/>
      <c r="AE355" s="436">
        <f t="shared" si="127"/>
        <v>0</v>
      </c>
      <c r="AF355" s="436">
        <f t="shared" si="128"/>
        <v>0</v>
      </c>
      <c r="AG355" s="436">
        <f t="shared" si="129"/>
        <v>0</v>
      </c>
      <c r="AH355" s="436">
        <f t="shared" si="130"/>
        <v>0</v>
      </c>
      <c r="AI355" s="436">
        <f t="shared" si="142"/>
        <v>0</v>
      </c>
      <c r="AJ355" s="436">
        <f t="shared" si="142"/>
        <v>0</v>
      </c>
      <c r="AK355" s="437">
        <f t="shared" si="131"/>
        <v>0</v>
      </c>
      <c r="AL355" s="437">
        <f t="shared" si="132"/>
        <v>0</v>
      </c>
      <c r="AM355" s="437">
        <f t="shared" si="133"/>
        <v>0</v>
      </c>
      <c r="AN355" s="437">
        <f t="shared" si="134"/>
        <v>0</v>
      </c>
      <c r="AO355" s="437">
        <f t="shared" si="135"/>
        <v>0</v>
      </c>
      <c r="AP355" s="437">
        <f t="shared" si="144"/>
        <v>0</v>
      </c>
      <c r="AQ355" s="437">
        <f t="shared" si="144"/>
        <v>0</v>
      </c>
      <c r="AR355" s="436"/>
      <c r="AS355" s="437">
        <f t="shared" si="126"/>
        <v>0</v>
      </c>
    </row>
    <row r="356" spans="1:45" s="438" customFormat="1" ht="24.95" customHeight="1">
      <c r="A356" s="1134"/>
      <c r="B356" s="1134"/>
      <c r="C356" s="1139" t="s">
        <v>683</v>
      </c>
      <c r="D356" s="1134" t="s">
        <v>685</v>
      </c>
      <c r="E356" s="1134" t="s">
        <v>686</v>
      </c>
      <c r="F356" s="1134">
        <v>10</v>
      </c>
      <c r="G356" s="1112">
        <v>5265</v>
      </c>
      <c r="H356" s="1112"/>
      <c r="I356" s="1112"/>
      <c r="J356" s="1112"/>
      <c r="K356" s="1112"/>
      <c r="L356" s="435">
        <v>0.15</v>
      </c>
      <c r="M356" s="1112"/>
      <c r="N356" s="1112">
        <f>G356+H357+K357+L357</f>
        <v>6054.75</v>
      </c>
      <c r="O356" s="1112">
        <v>1</v>
      </c>
      <c r="P356" s="1140"/>
      <c r="Q356" s="1140"/>
      <c r="R356" s="1140"/>
      <c r="S356" s="1140"/>
      <c r="T356" s="1134">
        <v>34</v>
      </c>
      <c r="U356" s="1138">
        <v>0.3</v>
      </c>
      <c r="V356" s="1112">
        <f>N356*U356</f>
        <v>1816.425</v>
      </c>
      <c r="W356" s="1112"/>
      <c r="X356" s="1112">
        <f>(N356+V356)*O356</f>
        <v>7871.1750000000002</v>
      </c>
      <c r="Y356" s="1112">
        <f>AB356</f>
        <v>5628.8249999999998</v>
      </c>
      <c r="Z356" s="1112">
        <f>X356+Y356</f>
        <v>13500</v>
      </c>
      <c r="AA356" s="1109">
        <f>13500*O356</f>
        <v>13500</v>
      </c>
      <c r="AB356" s="1109">
        <f>AA356-X356</f>
        <v>5628.8249999999998</v>
      </c>
      <c r="AC356" s="1112">
        <f>6500*O356</f>
        <v>6500</v>
      </c>
      <c r="AD356" s="1112"/>
      <c r="AE356" s="436">
        <f t="shared" si="127"/>
        <v>5265</v>
      </c>
      <c r="AF356" s="436">
        <f t="shared" si="128"/>
        <v>0</v>
      </c>
      <c r="AG356" s="436">
        <f t="shared" si="129"/>
        <v>6054.75</v>
      </c>
      <c r="AH356" s="436">
        <f t="shared" si="130"/>
        <v>0</v>
      </c>
      <c r="AI356" s="436">
        <f t="shared" si="142"/>
        <v>789.75</v>
      </c>
      <c r="AJ356" s="436">
        <f t="shared" si="142"/>
        <v>0</v>
      </c>
      <c r="AK356" s="437">
        <f t="shared" si="131"/>
        <v>1816.425</v>
      </c>
      <c r="AL356" s="437">
        <f t="shared" si="132"/>
        <v>0</v>
      </c>
      <c r="AM356" s="437">
        <f t="shared" si="133"/>
        <v>0</v>
      </c>
      <c r="AN356" s="437">
        <f t="shared" ref="AN356:AN419" si="145">S356*O356</f>
        <v>0</v>
      </c>
      <c r="AO356" s="437">
        <f t="shared" ref="AO356:AO419" si="146">S356*P356</f>
        <v>0</v>
      </c>
      <c r="AP356" s="437">
        <f t="shared" si="144"/>
        <v>6054.75</v>
      </c>
      <c r="AQ356" s="437">
        <f t="shared" si="144"/>
        <v>0</v>
      </c>
      <c r="AR356" s="436"/>
      <c r="AS356" s="437">
        <f t="shared" si="126"/>
        <v>6054.75</v>
      </c>
    </row>
    <row r="357" spans="1:45" s="438" customFormat="1" ht="24.95" customHeight="1">
      <c r="A357" s="1134"/>
      <c r="B357" s="1134"/>
      <c r="C357" s="1139"/>
      <c r="D357" s="1134"/>
      <c r="E357" s="1134"/>
      <c r="F357" s="1134"/>
      <c r="G357" s="1112"/>
      <c r="H357" s="1112"/>
      <c r="I357" s="1112"/>
      <c r="J357" s="1112"/>
      <c r="K357" s="1112"/>
      <c r="L357" s="439">
        <f>G356*L356</f>
        <v>789.75</v>
      </c>
      <c r="M357" s="1112"/>
      <c r="N357" s="1112"/>
      <c r="O357" s="1112"/>
      <c r="P357" s="1140"/>
      <c r="Q357" s="1140"/>
      <c r="R357" s="1140"/>
      <c r="S357" s="1140"/>
      <c r="T357" s="1134"/>
      <c r="U357" s="1138"/>
      <c r="V357" s="1112"/>
      <c r="W357" s="1112"/>
      <c r="X357" s="1112"/>
      <c r="Y357" s="1112"/>
      <c r="Z357" s="1112"/>
      <c r="AA357" s="1109"/>
      <c r="AB357" s="1109"/>
      <c r="AC357" s="1112"/>
      <c r="AD357" s="1112"/>
      <c r="AE357" s="436">
        <f t="shared" si="127"/>
        <v>0</v>
      </c>
      <c r="AF357" s="436">
        <f t="shared" si="128"/>
        <v>0</v>
      </c>
      <c r="AG357" s="436">
        <f t="shared" si="129"/>
        <v>0</v>
      </c>
      <c r="AH357" s="436">
        <f t="shared" si="130"/>
        <v>0</v>
      </c>
      <c r="AI357" s="436">
        <f t="shared" si="142"/>
        <v>0</v>
      </c>
      <c r="AJ357" s="436">
        <f t="shared" si="142"/>
        <v>0</v>
      </c>
      <c r="AK357" s="437">
        <f t="shared" si="131"/>
        <v>0</v>
      </c>
      <c r="AL357" s="437">
        <f t="shared" si="132"/>
        <v>0</v>
      </c>
      <c r="AM357" s="437">
        <f t="shared" si="133"/>
        <v>0</v>
      </c>
      <c r="AN357" s="437">
        <f t="shared" si="145"/>
        <v>0</v>
      </c>
      <c r="AO357" s="437">
        <f t="shared" si="146"/>
        <v>0</v>
      </c>
      <c r="AP357" s="437">
        <f t="shared" si="144"/>
        <v>0</v>
      </c>
      <c r="AQ357" s="437">
        <f t="shared" si="144"/>
        <v>0</v>
      </c>
      <c r="AR357" s="436"/>
      <c r="AS357" s="437">
        <f t="shared" si="126"/>
        <v>0</v>
      </c>
    </row>
    <row r="358" spans="1:45" s="438" customFormat="1" ht="24.95" customHeight="1">
      <c r="A358" s="1134"/>
      <c r="B358" s="1134"/>
      <c r="C358" s="1139" t="s">
        <v>683</v>
      </c>
      <c r="D358" s="1134" t="s">
        <v>1061</v>
      </c>
      <c r="E358" s="1134" t="s">
        <v>687</v>
      </c>
      <c r="F358" s="1134">
        <v>10</v>
      </c>
      <c r="G358" s="1112">
        <v>5265</v>
      </c>
      <c r="H358" s="1112"/>
      <c r="I358" s="1112"/>
      <c r="J358" s="1112"/>
      <c r="K358" s="1112"/>
      <c r="L358" s="435">
        <v>0.15</v>
      </c>
      <c r="M358" s="1112"/>
      <c r="N358" s="1112">
        <f>G358+H359+K359+L359</f>
        <v>6054.75</v>
      </c>
      <c r="O358" s="1112">
        <v>1</v>
      </c>
      <c r="P358" s="1112"/>
      <c r="Q358" s="1112"/>
      <c r="R358" s="1112"/>
      <c r="S358" s="1112"/>
      <c r="T358" s="1134">
        <v>32</v>
      </c>
      <c r="U358" s="1138">
        <v>0.3</v>
      </c>
      <c r="V358" s="1112">
        <f>N358*U358</f>
        <v>1816.425</v>
      </c>
      <c r="W358" s="1112"/>
      <c r="X358" s="1112">
        <f>(N358+V358)*O358</f>
        <v>7871.1750000000002</v>
      </c>
      <c r="Y358" s="1112">
        <f>AB358</f>
        <v>5628.8249999999998</v>
      </c>
      <c r="Z358" s="1112">
        <f>X358+Y358</f>
        <v>13500</v>
      </c>
      <c r="AA358" s="1109">
        <f>13500*O358</f>
        <v>13500</v>
      </c>
      <c r="AB358" s="1109">
        <f>AA358-X358</f>
        <v>5628.8249999999998</v>
      </c>
      <c r="AC358" s="1112">
        <f>6500*O358</f>
        <v>6500</v>
      </c>
      <c r="AD358" s="1112"/>
      <c r="AE358" s="436">
        <f t="shared" si="127"/>
        <v>5265</v>
      </c>
      <c r="AF358" s="436">
        <f t="shared" si="128"/>
        <v>0</v>
      </c>
      <c r="AG358" s="436">
        <f t="shared" si="129"/>
        <v>6054.75</v>
      </c>
      <c r="AH358" s="436">
        <f t="shared" si="130"/>
        <v>0</v>
      </c>
      <c r="AI358" s="436">
        <f t="shared" si="142"/>
        <v>789.75</v>
      </c>
      <c r="AJ358" s="436">
        <f t="shared" si="142"/>
        <v>0</v>
      </c>
      <c r="AK358" s="437">
        <f t="shared" si="131"/>
        <v>1816.425</v>
      </c>
      <c r="AL358" s="437">
        <f t="shared" si="132"/>
        <v>0</v>
      </c>
      <c r="AM358" s="437">
        <f t="shared" si="133"/>
        <v>0</v>
      </c>
      <c r="AN358" s="437">
        <f t="shared" si="145"/>
        <v>0</v>
      </c>
      <c r="AO358" s="437">
        <f t="shared" si="146"/>
        <v>0</v>
      </c>
      <c r="AP358" s="437">
        <f t="shared" si="144"/>
        <v>6054.75</v>
      </c>
      <c r="AQ358" s="437">
        <f t="shared" si="144"/>
        <v>0</v>
      </c>
      <c r="AR358" s="436"/>
      <c r="AS358" s="437">
        <f t="shared" ref="AS358:AS421" si="147">AP358+AQ358-AR358</f>
        <v>6054.75</v>
      </c>
    </row>
    <row r="359" spans="1:45" s="438" customFormat="1" ht="24.95" customHeight="1">
      <c r="A359" s="1134"/>
      <c r="B359" s="1134"/>
      <c r="C359" s="1139"/>
      <c r="D359" s="1134"/>
      <c r="E359" s="1134"/>
      <c r="F359" s="1134"/>
      <c r="G359" s="1112"/>
      <c r="H359" s="1112"/>
      <c r="I359" s="1112"/>
      <c r="J359" s="1112"/>
      <c r="K359" s="1112"/>
      <c r="L359" s="439">
        <f>G358*L358</f>
        <v>789.75</v>
      </c>
      <c r="M359" s="1112"/>
      <c r="N359" s="1112"/>
      <c r="O359" s="1112"/>
      <c r="P359" s="1112"/>
      <c r="Q359" s="1112"/>
      <c r="R359" s="1112"/>
      <c r="S359" s="1112"/>
      <c r="T359" s="1134"/>
      <c r="U359" s="1138"/>
      <c r="V359" s="1112"/>
      <c r="W359" s="1112"/>
      <c r="X359" s="1112"/>
      <c r="Y359" s="1112"/>
      <c r="Z359" s="1112"/>
      <c r="AA359" s="1109"/>
      <c r="AB359" s="1109"/>
      <c r="AC359" s="1112"/>
      <c r="AD359" s="1112"/>
      <c r="AE359" s="436">
        <f t="shared" si="127"/>
        <v>0</v>
      </c>
      <c r="AF359" s="436">
        <f t="shared" si="128"/>
        <v>0</v>
      </c>
      <c r="AG359" s="436">
        <f t="shared" si="129"/>
        <v>0</v>
      </c>
      <c r="AH359" s="436">
        <f t="shared" si="130"/>
        <v>0</v>
      </c>
      <c r="AI359" s="436">
        <f t="shared" si="142"/>
        <v>0</v>
      </c>
      <c r="AJ359" s="436">
        <f t="shared" si="142"/>
        <v>0</v>
      </c>
      <c r="AK359" s="437">
        <f t="shared" si="131"/>
        <v>0</v>
      </c>
      <c r="AL359" s="437">
        <f t="shared" si="132"/>
        <v>0</v>
      </c>
      <c r="AM359" s="437">
        <f t="shared" si="133"/>
        <v>0</v>
      </c>
      <c r="AN359" s="437">
        <f t="shared" si="145"/>
        <v>0</v>
      </c>
      <c r="AO359" s="437">
        <f t="shared" si="146"/>
        <v>0</v>
      </c>
      <c r="AP359" s="437">
        <f t="shared" si="144"/>
        <v>0</v>
      </c>
      <c r="AQ359" s="437">
        <f t="shared" si="144"/>
        <v>0</v>
      </c>
      <c r="AR359" s="436"/>
      <c r="AS359" s="437">
        <f t="shared" si="147"/>
        <v>0</v>
      </c>
    </row>
    <row r="360" spans="1:45" s="446" customFormat="1" ht="24.95" customHeight="1">
      <c r="A360" s="441"/>
      <c r="B360" s="441"/>
      <c r="C360" s="442" t="s">
        <v>318</v>
      </c>
      <c r="D360" s="443"/>
      <c r="E360" s="441"/>
      <c r="F360" s="441"/>
      <c r="G360" s="444">
        <f>SUM(G346:G359)</f>
        <v>36855</v>
      </c>
      <c r="H360" s="441"/>
      <c r="I360" s="441"/>
      <c r="J360" s="441"/>
      <c r="K360" s="441"/>
      <c r="L360" s="451">
        <f>L347+L349+L351+L353+L355+L357+L359</f>
        <v>5528.25</v>
      </c>
      <c r="M360" s="441"/>
      <c r="N360" s="444">
        <f>SUM(N346:N359)</f>
        <v>42383.25</v>
      </c>
      <c r="O360" s="444">
        <f>SUM(O346:O359)</f>
        <v>5</v>
      </c>
      <c r="P360" s="444">
        <f>SUM(P346:P359)</f>
        <v>0.5</v>
      </c>
      <c r="Q360" s="444"/>
      <c r="R360" s="444"/>
      <c r="S360" s="444"/>
      <c r="T360" s="444"/>
      <c r="U360" s="444"/>
      <c r="V360" s="444">
        <f t="shared" ref="V360:AD360" si="148">SUM(V346:V359)</f>
        <v>12714.974999999999</v>
      </c>
      <c r="W360" s="444">
        <f t="shared" si="148"/>
        <v>0</v>
      </c>
      <c r="X360" s="444">
        <f t="shared" si="148"/>
        <v>43291.462500000001</v>
      </c>
      <c r="Y360" s="444">
        <f t="shared" si="148"/>
        <v>30958.537500000002</v>
      </c>
      <c r="Z360" s="444">
        <f t="shared" si="148"/>
        <v>74250</v>
      </c>
      <c r="AA360" s="499">
        <f t="shared" si="148"/>
        <v>74250</v>
      </c>
      <c r="AB360" s="499">
        <f t="shared" si="148"/>
        <v>30958.537500000002</v>
      </c>
      <c r="AC360" s="444">
        <f t="shared" si="148"/>
        <v>35750</v>
      </c>
      <c r="AD360" s="444">
        <f t="shared" si="148"/>
        <v>0</v>
      </c>
      <c r="AE360" s="436"/>
      <c r="AF360" s="436"/>
      <c r="AG360" s="436"/>
      <c r="AH360" s="436"/>
      <c r="AI360" s="436"/>
      <c r="AJ360" s="436"/>
      <c r="AK360" s="437"/>
      <c r="AL360" s="437"/>
      <c r="AM360" s="437"/>
      <c r="AN360" s="437"/>
      <c r="AO360" s="437"/>
      <c r="AP360" s="437">
        <f t="shared" si="144"/>
        <v>0</v>
      </c>
      <c r="AQ360" s="437">
        <f t="shared" si="144"/>
        <v>0</v>
      </c>
      <c r="AR360" s="436"/>
      <c r="AS360" s="437">
        <f t="shared" si="147"/>
        <v>0</v>
      </c>
    </row>
    <row r="361" spans="1:45" s="456" customFormat="1" ht="24.95" customHeight="1">
      <c r="A361" s="455"/>
      <c r="B361" s="455"/>
      <c r="C361" s="1135" t="s">
        <v>688</v>
      </c>
      <c r="D361" s="1135"/>
      <c r="E361" s="455"/>
      <c r="F361" s="455"/>
      <c r="G361" s="455"/>
      <c r="H361" s="455"/>
      <c r="I361" s="455"/>
      <c r="J361" s="455"/>
      <c r="K361" s="455"/>
      <c r="L361" s="455"/>
      <c r="M361" s="455"/>
      <c r="N361" s="455"/>
      <c r="O361" s="455"/>
      <c r="P361" s="455"/>
      <c r="Q361" s="455"/>
      <c r="R361" s="455"/>
      <c r="S361" s="455"/>
      <c r="T361" s="455"/>
      <c r="U361" s="455"/>
      <c r="V361" s="455"/>
      <c r="W361" s="455"/>
      <c r="X361" s="455"/>
      <c r="Y361" s="455"/>
      <c r="Z361" s="455"/>
      <c r="AA361" s="504"/>
      <c r="AB361" s="504"/>
      <c r="AC361" s="455"/>
      <c r="AD361" s="455"/>
      <c r="AE361" s="436">
        <f t="shared" ref="AE361:AE424" si="149">G361*O361</f>
        <v>0</v>
      </c>
      <c r="AF361" s="436">
        <f t="shared" ref="AF361:AF424" si="150">G361*P361</f>
        <v>0</v>
      </c>
      <c r="AG361" s="436">
        <f t="shared" ref="AG361:AG424" si="151">N361*O361</f>
        <v>0</v>
      </c>
      <c r="AH361" s="436">
        <f t="shared" ref="AH361:AH424" si="152">N361*P361</f>
        <v>0</v>
      </c>
      <c r="AI361" s="436">
        <f t="shared" ref="AI361:AJ402" si="153">AG361-AE361</f>
        <v>0</v>
      </c>
      <c r="AJ361" s="436">
        <f t="shared" si="153"/>
        <v>0</v>
      </c>
      <c r="AK361" s="437">
        <f t="shared" ref="AK361:AK424" si="154">V361*O361</f>
        <v>0</v>
      </c>
      <c r="AL361" s="437">
        <f t="shared" ref="AL361:AL424" si="155">V361*P361</f>
        <v>0</v>
      </c>
      <c r="AM361" s="437">
        <f t="shared" ref="AM361:AM424" si="156">W361</f>
        <v>0</v>
      </c>
      <c r="AN361" s="437">
        <f t="shared" si="145"/>
        <v>0</v>
      </c>
      <c r="AO361" s="437">
        <f t="shared" si="146"/>
        <v>0</v>
      </c>
      <c r="AP361" s="437">
        <f t="shared" si="144"/>
        <v>0</v>
      </c>
      <c r="AQ361" s="437">
        <f t="shared" si="144"/>
        <v>0</v>
      </c>
      <c r="AR361" s="436"/>
      <c r="AS361" s="437">
        <f t="shared" si="147"/>
        <v>0</v>
      </c>
    </row>
    <row r="362" spans="1:45" s="438" customFormat="1" ht="24.95" customHeight="1">
      <c r="A362" s="1134"/>
      <c r="B362" s="1134"/>
      <c r="C362" s="1139" t="s">
        <v>689</v>
      </c>
      <c r="D362" s="1134" t="s">
        <v>337</v>
      </c>
      <c r="E362" s="1134" t="s">
        <v>677</v>
      </c>
      <c r="F362" s="1134">
        <v>7</v>
      </c>
      <c r="G362" s="1112">
        <v>4455</v>
      </c>
      <c r="H362" s="1112"/>
      <c r="I362" s="1112"/>
      <c r="J362" s="1112"/>
      <c r="K362" s="1112"/>
      <c r="L362" s="1112"/>
      <c r="M362" s="1112"/>
      <c r="N362" s="1112">
        <f>G362+H363+L363</f>
        <v>4455</v>
      </c>
      <c r="O362" s="1112">
        <v>1</v>
      </c>
      <c r="P362" s="1112"/>
      <c r="Q362" s="1112"/>
      <c r="R362" s="1112"/>
      <c r="S362" s="1112"/>
      <c r="T362" s="1134">
        <v>1</v>
      </c>
      <c r="U362" s="1138">
        <v>0</v>
      </c>
      <c r="V362" s="1112">
        <f>N362*U362</f>
        <v>0</v>
      </c>
      <c r="W362" s="1112">
        <f>AD362</f>
        <v>2045</v>
      </c>
      <c r="X362" s="1112">
        <f>(N362+V362)*O362+W362</f>
        <v>6500</v>
      </c>
      <c r="Y362" s="1112">
        <f>AB362</f>
        <v>7000</v>
      </c>
      <c r="Z362" s="1112">
        <f>X362+Y362</f>
        <v>13500</v>
      </c>
      <c r="AA362" s="1109">
        <f>13500*O362</f>
        <v>13500</v>
      </c>
      <c r="AB362" s="1109">
        <f>AA362-X362</f>
        <v>7000</v>
      </c>
      <c r="AC362" s="1112">
        <f>6500*O362</f>
        <v>6500</v>
      </c>
      <c r="AD362" s="1112">
        <f>AC362-(N362*O362)-V362</f>
        <v>2045</v>
      </c>
      <c r="AE362" s="436">
        <f t="shared" si="149"/>
        <v>4455</v>
      </c>
      <c r="AF362" s="436">
        <f t="shared" si="150"/>
        <v>0</v>
      </c>
      <c r="AG362" s="436">
        <f t="shared" si="151"/>
        <v>4455</v>
      </c>
      <c r="AH362" s="436">
        <f t="shared" si="152"/>
        <v>0</v>
      </c>
      <c r="AI362" s="436">
        <f t="shared" si="153"/>
        <v>0</v>
      </c>
      <c r="AJ362" s="436">
        <f t="shared" si="153"/>
        <v>0</v>
      </c>
      <c r="AK362" s="437">
        <f t="shared" si="154"/>
        <v>0</v>
      </c>
      <c r="AL362" s="437">
        <f t="shared" si="155"/>
        <v>0</v>
      </c>
      <c r="AM362" s="437">
        <f t="shared" si="156"/>
        <v>2045</v>
      </c>
      <c r="AN362" s="437">
        <f t="shared" si="145"/>
        <v>0</v>
      </c>
      <c r="AO362" s="437">
        <f t="shared" si="146"/>
        <v>0</v>
      </c>
      <c r="AP362" s="437">
        <f t="shared" si="144"/>
        <v>4455</v>
      </c>
      <c r="AQ362" s="437">
        <f t="shared" si="144"/>
        <v>0</v>
      </c>
      <c r="AR362" s="436"/>
      <c r="AS362" s="437">
        <f t="shared" si="147"/>
        <v>4455</v>
      </c>
    </row>
    <row r="363" spans="1:45" s="438" customFormat="1" ht="24.95" customHeight="1">
      <c r="A363" s="1134"/>
      <c r="B363" s="1134"/>
      <c r="C363" s="1139"/>
      <c r="D363" s="1134"/>
      <c r="E363" s="1134"/>
      <c r="F363" s="1134"/>
      <c r="G363" s="1112"/>
      <c r="H363" s="1112"/>
      <c r="I363" s="1112"/>
      <c r="J363" s="1112"/>
      <c r="K363" s="1112"/>
      <c r="L363" s="1112"/>
      <c r="M363" s="1112"/>
      <c r="N363" s="1112"/>
      <c r="O363" s="1112"/>
      <c r="P363" s="1112"/>
      <c r="Q363" s="1112"/>
      <c r="R363" s="1112"/>
      <c r="S363" s="1112"/>
      <c r="T363" s="1134"/>
      <c r="U363" s="1138"/>
      <c r="V363" s="1112"/>
      <c r="W363" s="1112"/>
      <c r="X363" s="1112"/>
      <c r="Y363" s="1112"/>
      <c r="Z363" s="1112"/>
      <c r="AA363" s="1109"/>
      <c r="AB363" s="1109"/>
      <c r="AC363" s="1112"/>
      <c r="AD363" s="1112"/>
      <c r="AE363" s="436">
        <f t="shared" si="149"/>
        <v>0</v>
      </c>
      <c r="AF363" s="436">
        <f t="shared" si="150"/>
        <v>0</v>
      </c>
      <c r="AG363" s="436">
        <f t="shared" si="151"/>
        <v>0</v>
      </c>
      <c r="AH363" s="436">
        <f t="shared" si="152"/>
        <v>0</v>
      </c>
      <c r="AI363" s="436">
        <f t="shared" si="153"/>
        <v>0</v>
      </c>
      <c r="AJ363" s="436">
        <f t="shared" si="153"/>
        <v>0</v>
      </c>
      <c r="AK363" s="437">
        <f t="shared" si="154"/>
        <v>0</v>
      </c>
      <c r="AL363" s="437">
        <f t="shared" si="155"/>
        <v>0</v>
      </c>
      <c r="AM363" s="437">
        <f t="shared" si="156"/>
        <v>0</v>
      </c>
      <c r="AN363" s="437">
        <f t="shared" si="145"/>
        <v>0</v>
      </c>
      <c r="AO363" s="437">
        <f t="shared" si="146"/>
        <v>0</v>
      </c>
      <c r="AP363" s="437">
        <f t="shared" si="144"/>
        <v>0</v>
      </c>
      <c r="AQ363" s="437">
        <f t="shared" si="144"/>
        <v>0</v>
      </c>
      <c r="AR363" s="436"/>
      <c r="AS363" s="437">
        <f t="shared" si="147"/>
        <v>0</v>
      </c>
    </row>
    <row r="364" spans="1:45" s="438" customFormat="1" ht="24.95" customHeight="1">
      <c r="A364" s="1134"/>
      <c r="B364" s="1134"/>
      <c r="C364" s="1139" t="s">
        <v>689</v>
      </c>
      <c r="D364" s="1134" t="s">
        <v>692</v>
      </c>
      <c r="E364" s="1134" t="s">
        <v>693</v>
      </c>
      <c r="F364" s="1134">
        <v>10</v>
      </c>
      <c r="G364" s="1112">
        <v>5265</v>
      </c>
      <c r="H364" s="1112"/>
      <c r="I364" s="1112"/>
      <c r="J364" s="1112"/>
      <c r="K364" s="1112"/>
      <c r="L364" s="1112"/>
      <c r="M364" s="1112"/>
      <c r="N364" s="1112">
        <f>G364+H365+L365</f>
        <v>5265</v>
      </c>
      <c r="O364" s="1112">
        <v>1</v>
      </c>
      <c r="P364" s="1112"/>
      <c r="Q364" s="1112"/>
      <c r="R364" s="1112"/>
      <c r="S364" s="1112"/>
      <c r="T364" s="1134">
        <v>36</v>
      </c>
      <c r="U364" s="1138">
        <v>0.3</v>
      </c>
      <c r="V364" s="1112">
        <f>N364*U364</f>
        <v>1579.5</v>
      </c>
      <c r="W364" s="1112"/>
      <c r="X364" s="1112">
        <f>(N364+V364)*O364</f>
        <v>6844.5</v>
      </c>
      <c r="Y364" s="1112">
        <f>AB364</f>
        <v>6655.5</v>
      </c>
      <c r="Z364" s="1112">
        <f>X364+Y364</f>
        <v>13500</v>
      </c>
      <c r="AA364" s="1109">
        <f>13500*O364</f>
        <v>13500</v>
      </c>
      <c r="AB364" s="1109">
        <f>AA364-X364</f>
        <v>6655.5</v>
      </c>
      <c r="AC364" s="1112">
        <f>6500*O364</f>
        <v>6500</v>
      </c>
      <c r="AD364" s="1112"/>
      <c r="AE364" s="436">
        <f t="shared" si="149"/>
        <v>5265</v>
      </c>
      <c r="AF364" s="436">
        <f t="shared" si="150"/>
        <v>0</v>
      </c>
      <c r="AG364" s="436">
        <f t="shared" si="151"/>
        <v>5265</v>
      </c>
      <c r="AH364" s="436">
        <f t="shared" si="152"/>
        <v>0</v>
      </c>
      <c r="AI364" s="436">
        <f t="shared" si="153"/>
        <v>0</v>
      </c>
      <c r="AJ364" s="436">
        <f t="shared" si="153"/>
        <v>0</v>
      </c>
      <c r="AK364" s="437">
        <f t="shared" si="154"/>
        <v>1579.5</v>
      </c>
      <c r="AL364" s="437">
        <f t="shared" si="155"/>
        <v>0</v>
      </c>
      <c r="AM364" s="437">
        <f t="shared" si="156"/>
        <v>0</v>
      </c>
      <c r="AN364" s="437">
        <f t="shared" si="145"/>
        <v>0</v>
      </c>
      <c r="AO364" s="437">
        <f t="shared" si="146"/>
        <v>0</v>
      </c>
      <c r="AP364" s="437">
        <f t="shared" si="144"/>
        <v>5265</v>
      </c>
      <c r="AQ364" s="437">
        <f t="shared" si="144"/>
        <v>0</v>
      </c>
      <c r="AR364" s="436"/>
      <c r="AS364" s="437">
        <f t="shared" si="147"/>
        <v>5265</v>
      </c>
    </row>
    <row r="365" spans="1:45" s="438" customFormat="1" ht="24.95" customHeight="1">
      <c r="A365" s="1134"/>
      <c r="B365" s="1134"/>
      <c r="C365" s="1139"/>
      <c r="D365" s="1134"/>
      <c r="E365" s="1134"/>
      <c r="F365" s="1134"/>
      <c r="G365" s="1112"/>
      <c r="H365" s="1112"/>
      <c r="I365" s="1112"/>
      <c r="J365" s="1112"/>
      <c r="K365" s="1112"/>
      <c r="L365" s="1112"/>
      <c r="M365" s="1112"/>
      <c r="N365" s="1112"/>
      <c r="O365" s="1112"/>
      <c r="P365" s="1112"/>
      <c r="Q365" s="1112"/>
      <c r="R365" s="1112"/>
      <c r="S365" s="1112"/>
      <c r="T365" s="1134"/>
      <c r="U365" s="1138"/>
      <c r="V365" s="1112"/>
      <c r="W365" s="1112"/>
      <c r="X365" s="1112"/>
      <c r="Y365" s="1112"/>
      <c r="Z365" s="1112"/>
      <c r="AA365" s="1109"/>
      <c r="AB365" s="1109"/>
      <c r="AC365" s="1112"/>
      <c r="AD365" s="1112"/>
      <c r="AE365" s="436">
        <f t="shared" si="149"/>
        <v>0</v>
      </c>
      <c r="AF365" s="436">
        <f t="shared" si="150"/>
        <v>0</v>
      </c>
      <c r="AG365" s="436">
        <f t="shared" si="151"/>
        <v>0</v>
      </c>
      <c r="AH365" s="436">
        <f t="shared" si="152"/>
        <v>0</v>
      </c>
      <c r="AI365" s="436">
        <f t="shared" si="153"/>
        <v>0</v>
      </c>
      <c r="AJ365" s="436">
        <f t="shared" si="153"/>
        <v>0</v>
      </c>
      <c r="AK365" s="437">
        <f t="shared" si="154"/>
        <v>0</v>
      </c>
      <c r="AL365" s="437">
        <f t="shared" si="155"/>
        <v>0</v>
      </c>
      <c r="AM365" s="437">
        <f t="shared" si="156"/>
        <v>0</v>
      </c>
      <c r="AN365" s="437">
        <f t="shared" si="145"/>
        <v>0</v>
      </c>
      <c r="AO365" s="437">
        <f t="shared" si="146"/>
        <v>0</v>
      </c>
      <c r="AP365" s="437">
        <f t="shared" si="144"/>
        <v>0</v>
      </c>
      <c r="AQ365" s="437">
        <f t="shared" si="144"/>
        <v>0</v>
      </c>
      <c r="AR365" s="436"/>
      <c r="AS365" s="437">
        <f t="shared" si="147"/>
        <v>0</v>
      </c>
    </row>
    <row r="366" spans="1:45" s="438" customFormat="1" ht="24.95" customHeight="1">
      <c r="A366" s="1134"/>
      <c r="B366" s="1134"/>
      <c r="C366" s="1139" t="s">
        <v>689</v>
      </c>
      <c r="D366" s="1134" t="s">
        <v>690</v>
      </c>
      <c r="E366" s="1134" t="s">
        <v>691</v>
      </c>
      <c r="F366" s="1134">
        <v>10</v>
      </c>
      <c r="G366" s="1112">
        <v>5265</v>
      </c>
      <c r="H366" s="1112"/>
      <c r="I366" s="1112"/>
      <c r="J366" s="1112"/>
      <c r="K366" s="1112"/>
      <c r="L366" s="1112"/>
      <c r="M366" s="1140"/>
      <c r="N366" s="1112">
        <f>G366+H367+L367</f>
        <v>5265</v>
      </c>
      <c r="O366" s="1112">
        <v>1</v>
      </c>
      <c r="P366" s="1112"/>
      <c r="Q366" s="1140"/>
      <c r="R366" s="1140"/>
      <c r="S366" s="1140"/>
      <c r="T366" s="1134">
        <v>30</v>
      </c>
      <c r="U366" s="1138">
        <v>0.3</v>
      </c>
      <c r="V366" s="1112">
        <f>N366*U366</f>
        <v>1579.5</v>
      </c>
      <c r="W366" s="1112"/>
      <c r="X366" s="1112">
        <f>(N366+V366)*O366</f>
        <v>6844.5</v>
      </c>
      <c r="Y366" s="1112">
        <f>AB366</f>
        <v>6655.5</v>
      </c>
      <c r="Z366" s="1112">
        <f>X366+Y366</f>
        <v>13500</v>
      </c>
      <c r="AA366" s="1109">
        <f>13500*O366</f>
        <v>13500</v>
      </c>
      <c r="AB366" s="1109">
        <f>AA366-X366</f>
        <v>6655.5</v>
      </c>
      <c r="AC366" s="1112">
        <f>6500*O366</f>
        <v>6500</v>
      </c>
      <c r="AD366" s="1112"/>
      <c r="AE366" s="436">
        <f t="shared" si="149"/>
        <v>5265</v>
      </c>
      <c r="AF366" s="436">
        <f t="shared" si="150"/>
        <v>0</v>
      </c>
      <c r="AG366" s="436">
        <f t="shared" si="151"/>
        <v>5265</v>
      </c>
      <c r="AH366" s="436">
        <f t="shared" si="152"/>
        <v>0</v>
      </c>
      <c r="AI366" s="436">
        <f t="shared" si="153"/>
        <v>0</v>
      </c>
      <c r="AJ366" s="436">
        <f t="shared" si="153"/>
        <v>0</v>
      </c>
      <c r="AK366" s="437">
        <f t="shared" si="154"/>
        <v>1579.5</v>
      </c>
      <c r="AL366" s="437">
        <f t="shared" si="155"/>
        <v>0</v>
      </c>
      <c r="AM366" s="437">
        <f t="shared" si="156"/>
        <v>0</v>
      </c>
      <c r="AN366" s="437">
        <f t="shared" si="145"/>
        <v>0</v>
      </c>
      <c r="AO366" s="437">
        <f t="shared" si="146"/>
        <v>0</v>
      </c>
      <c r="AP366" s="437">
        <f t="shared" si="144"/>
        <v>5265</v>
      </c>
      <c r="AQ366" s="437">
        <f t="shared" si="144"/>
        <v>0</v>
      </c>
      <c r="AR366" s="436"/>
      <c r="AS366" s="437">
        <f t="shared" si="147"/>
        <v>5265</v>
      </c>
    </row>
    <row r="367" spans="1:45" s="438" customFormat="1" ht="24.95" customHeight="1">
      <c r="A367" s="1134"/>
      <c r="B367" s="1134"/>
      <c r="C367" s="1139"/>
      <c r="D367" s="1134"/>
      <c r="E367" s="1134"/>
      <c r="F367" s="1134"/>
      <c r="G367" s="1112"/>
      <c r="H367" s="1112"/>
      <c r="I367" s="1112"/>
      <c r="J367" s="1112"/>
      <c r="K367" s="1112"/>
      <c r="L367" s="1112"/>
      <c r="M367" s="1140"/>
      <c r="N367" s="1112"/>
      <c r="O367" s="1112"/>
      <c r="P367" s="1112"/>
      <c r="Q367" s="1140"/>
      <c r="R367" s="1140"/>
      <c r="S367" s="1140"/>
      <c r="T367" s="1134"/>
      <c r="U367" s="1138"/>
      <c r="V367" s="1112"/>
      <c r="W367" s="1112"/>
      <c r="X367" s="1112"/>
      <c r="Y367" s="1112"/>
      <c r="Z367" s="1112"/>
      <c r="AA367" s="1109"/>
      <c r="AB367" s="1109"/>
      <c r="AC367" s="1112"/>
      <c r="AD367" s="1112"/>
      <c r="AE367" s="436">
        <f t="shared" si="149"/>
        <v>0</v>
      </c>
      <c r="AF367" s="436">
        <f t="shared" si="150"/>
        <v>0</v>
      </c>
      <c r="AG367" s="436">
        <f t="shared" si="151"/>
        <v>0</v>
      </c>
      <c r="AH367" s="436">
        <f t="shared" si="152"/>
        <v>0</v>
      </c>
      <c r="AI367" s="436">
        <f t="shared" si="153"/>
        <v>0</v>
      </c>
      <c r="AJ367" s="436">
        <f t="shared" si="153"/>
        <v>0</v>
      </c>
      <c r="AK367" s="437">
        <f t="shared" si="154"/>
        <v>0</v>
      </c>
      <c r="AL367" s="437">
        <f t="shared" si="155"/>
        <v>0</v>
      </c>
      <c r="AM367" s="437">
        <f t="shared" si="156"/>
        <v>0</v>
      </c>
      <c r="AN367" s="437">
        <f t="shared" si="145"/>
        <v>0</v>
      </c>
      <c r="AO367" s="437">
        <f t="shared" si="146"/>
        <v>0</v>
      </c>
      <c r="AP367" s="437">
        <f t="shared" si="144"/>
        <v>0</v>
      </c>
      <c r="AQ367" s="437">
        <f t="shared" si="144"/>
        <v>0</v>
      </c>
      <c r="AR367" s="436"/>
      <c r="AS367" s="437">
        <f t="shared" si="147"/>
        <v>0</v>
      </c>
    </row>
    <row r="368" spans="1:45" s="438" customFormat="1" ht="24.95" customHeight="1">
      <c r="A368" s="1134"/>
      <c r="B368" s="1134"/>
      <c r="C368" s="1139" t="s">
        <v>689</v>
      </c>
      <c r="D368" s="1134" t="s">
        <v>694</v>
      </c>
      <c r="E368" s="1134" t="s">
        <v>695</v>
      </c>
      <c r="F368" s="1134">
        <v>10</v>
      </c>
      <c r="G368" s="1112">
        <v>5265</v>
      </c>
      <c r="H368" s="1112"/>
      <c r="I368" s="1138"/>
      <c r="J368" s="1138"/>
      <c r="K368" s="1112"/>
      <c r="L368" s="1112"/>
      <c r="M368" s="1140"/>
      <c r="N368" s="1112">
        <f>G368+H369+L369</f>
        <v>5265</v>
      </c>
      <c r="O368" s="1112">
        <v>1</v>
      </c>
      <c r="P368" s="1112"/>
      <c r="Q368" s="1140"/>
      <c r="R368" s="1140"/>
      <c r="S368" s="1140"/>
      <c r="T368" s="1134">
        <v>26</v>
      </c>
      <c r="U368" s="1138">
        <v>0.3</v>
      </c>
      <c r="V368" s="1112">
        <f>N368*U368</f>
        <v>1579.5</v>
      </c>
      <c r="W368" s="1112"/>
      <c r="X368" s="1112">
        <f>(N368+V368)*O368</f>
        <v>6844.5</v>
      </c>
      <c r="Y368" s="1112">
        <f>AB368</f>
        <v>6655.5</v>
      </c>
      <c r="Z368" s="1112">
        <f>X368+Y368</f>
        <v>13500</v>
      </c>
      <c r="AA368" s="1109">
        <f>13500*O368</f>
        <v>13500</v>
      </c>
      <c r="AB368" s="1109">
        <f>AA368-X368</f>
        <v>6655.5</v>
      </c>
      <c r="AC368" s="1112">
        <f>6500*O368</f>
        <v>6500</v>
      </c>
      <c r="AD368" s="1112"/>
      <c r="AE368" s="436">
        <f t="shared" si="149"/>
        <v>5265</v>
      </c>
      <c r="AF368" s="436">
        <f t="shared" si="150"/>
        <v>0</v>
      </c>
      <c r="AG368" s="436">
        <f t="shared" si="151"/>
        <v>5265</v>
      </c>
      <c r="AH368" s="436">
        <f t="shared" si="152"/>
        <v>0</v>
      </c>
      <c r="AI368" s="436">
        <f t="shared" si="153"/>
        <v>0</v>
      </c>
      <c r="AJ368" s="436">
        <f t="shared" si="153"/>
        <v>0</v>
      </c>
      <c r="AK368" s="437">
        <f t="shared" si="154"/>
        <v>1579.5</v>
      </c>
      <c r="AL368" s="437">
        <f t="shared" si="155"/>
        <v>0</v>
      </c>
      <c r="AM368" s="437">
        <f t="shared" si="156"/>
        <v>0</v>
      </c>
      <c r="AN368" s="437">
        <f t="shared" si="145"/>
        <v>0</v>
      </c>
      <c r="AO368" s="437">
        <f t="shared" si="146"/>
        <v>0</v>
      </c>
      <c r="AP368" s="437">
        <f t="shared" si="144"/>
        <v>5265</v>
      </c>
      <c r="AQ368" s="437">
        <f t="shared" si="144"/>
        <v>0</v>
      </c>
      <c r="AR368" s="436"/>
      <c r="AS368" s="437">
        <f t="shared" si="147"/>
        <v>5265</v>
      </c>
    </row>
    <row r="369" spans="1:45" s="438" customFormat="1" ht="24.95" customHeight="1">
      <c r="A369" s="1134"/>
      <c r="B369" s="1134"/>
      <c r="C369" s="1139"/>
      <c r="D369" s="1134"/>
      <c r="E369" s="1134"/>
      <c r="F369" s="1134"/>
      <c r="G369" s="1112"/>
      <c r="H369" s="1112"/>
      <c r="I369" s="1134"/>
      <c r="J369" s="1134"/>
      <c r="K369" s="1112"/>
      <c r="L369" s="1112"/>
      <c r="M369" s="1140"/>
      <c r="N369" s="1112"/>
      <c r="O369" s="1112"/>
      <c r="P369" s="1112"/>
      <c r="Q369" s="1140"/>
      <c r="R369" s="1140"/>
      <c r="S369" s="1140"/>
      <c r="T369" s="1134"/>
      <c r="U369" s="1138"/>
      <c r="V369" s="1112"/>
      <c r="W369" s="1112"/>
      <c r="X369" s="1112"/>
      <c r="Y369" s="1112"/>
      <c r="Z369" s="1112"/>
      <c r="AA369" s="1109"/>
      <c r="AB369" s="1109"/>
      <c r="AC369" s="1112"/>
      <c r="AD369" s="1112"/>
      <c r="AE369" s="436">
        <f t="shared" si="149"/>
        <v>0</v>
      </c>
      <c r="AF369" s="436">
        <f t="shared" si="150"/>
        <v>0</v>
      </c>
      <c r="AG369" s="436">
        <f t="shared" si="151"/>
        <v>0</v>
      </c>
      <c r="AH369" s="436">
        <f t="shared" si="152"/>
        <v>0</v>
      </c>
      <c r="AI369" s="436">
        <f t="shared" si="153"/>
        <v>0</v>
      </c>
      <c r="AJ369" s="436">
        <f t="shared" si="153"/>
        <v>0</v>
      </c>
      <c r="AK369" s="437">
        <f t="shared" si="154"/>
        <v>0</v>
      </c>
      <c r="AL369" s="437">
        <f t="shared" si="155"/>
        <v>0</v>
      </c>
      <c r="AM369" s="437">
        <f t="shared" si="156"/>
        <v>0</v>
      </c>
      <c r="AN369" s="437">
        <f t="shared" si="145"/>
        <v>0</v>
      </c>
      <c r="AO369" s="437">
        <f t="shared" si="146"/>
        <v>0</v>
      </c>
      <c r="AP369" s="437">
        <f t="shared" si="144"/>
        <v>0</v>
      </c>
      <c r="AQ369" s="437">
        <f t="shared" si="144"/>
        <v>0</v>
      </c>
      <c r="AR369" s="436"/>
      <c r="AS369" s="437">
        <f t="shared" si="147"/>
        <v>0</v>
      </c>
    </row>
    <row r="370" spans="1:45" s="446" customFormat="1" ht="24.95" customHeight="1">
      <c r="A370" s="441"/>
      <c r="B370" s="441"/>
      <c r="C370" s="442" t="s">
        <v>318</v>
      </c>
      <c r="D370" s="443"/>
      <c r="E370" s="441"/>
      <c r="F370" s="441"/>
      <c r="G370" s="444">
        <f>SUM(G362:G369)</f>
        <v>20250</v>
      </c>
      <c r="H370" s="441"/>
      <c r="I370" s="441"/>
      <c r="J370" s="441"/>
      <c r="K370" s="441"/>
      <c r="L370" s="441"/>
      <c r="M370" s="441"/>
      <c r="N370" s="444">
        <f>SUM(N362:N369)</f>
        <v>20250</v>
      </c>
      <c r="O370" s="444">
        <f>SUM(O362:O369)</f>
        <v>4</v>
      </c>
      <c r="P370" s="444">
        <f>SUM(P362:P369)</f>
        <v>0</v>
      </c>
      <c r="Q370" s="444"/>
      <c r="R370" s="444"/>
      <c r="S370" s="444"/>
      <c r="T370" s="444"/>
      <c r="U370" s="444"/>
      <c r="V370" s="444">
        <f t="shared" ref="V370:AD370" si="157">SUM(V362:V369)</f>
        <v>4738.5</v>
      </c>
      <c r="W370" s="444">
        <f t="shared" si="157"/>
        <v>2045</v>
      </c>
      <c r="X370" s="444">
        <f t="shared" si="157"/>
        <v>27033.5</v>
      </c>
      <c r="Y370" s="444">
        <f t="shared" si="157"/>
        <v>26966.5</v>
      </c>
      <c r="Z370" s="444">
        <f t="shared" si="157"/>
        <v>54000</v>
      </c>
      <c r="AA370" s="499">
        <f t="shared" si="157"/>
        <v>54000</v>
      </c>
      <c r="AB370" s="499">
        <f t="shared" si="157"/>
        <v>26966.5</v>
      </c>
      <c r="AC370" s="444">
        <f t="shared" si="157"/>
        <v>26000</v>
      </c>
      <c r="AD370" s="444">
        <f t="shared" si="157"/>
        <v>2045</v>
      </c>
      <c r="AE370" s="436"/>
      <c r="AF370" s="436"/>
      <c r="AG370" s="436"/>
      <c r="AH370" s="436"/>
      <c r="AI370" s="436"/>
      <c r="AJ370" s="436"/>
      <c r="AK370" s="437"/>
      <c r="AL370" s="437"/>
      <c r="AM370" s="437"/>
      <c r="AN370" s="437"/>
      <c r="AO370" s="437"/>
      <c r="AP370" s="437">
        <f t="shared" si="144"/>
        <v>0</v>
      </c>
      <c r="AQ370" s="437">
        <f t="shared" si="144"/>
        <v>0</v>
      </c>
      <c r="AR370" s="436"/>
      <c r="AS370" s="437">
        <f t="shared" si="147"/>
        <v>0</v>
      </c>
    </row>
    <row r="371" spans="1:45" s="456" customFormat="1" ht="24.95" customHeight="1">
      <c r="A371" s="455"/>
      <c r="B371" s="455"/>
      <c r="C371" s="1136" t="s">
        <v>533</v>
      </c>
      <c r="D371" s="1136"/>
      <c r="E371" s="455"/>
      <c r="F371" s="455"/>
      <c r="G371" s="455"/>
      <c r="H371" s="455"/>
      <c r="I371" s="455"/>
      <c r="J371" s="455"/>
      <c r="K371" s="455"/>
      <c r="L371" s="455"/>
      <c r="M371" s="455"/>
      <c r="N371" s="455"/>
      <c r="O371" s="455"/>
      <c r="P371" s="455"/>
      <c r="Q371" s="455"/>
      <c r="R371" s="455"/>
      <c r="S371" s="455"/>
      <c r="T371" s="455"/>
      <c r="U371" s="455"/>
      <c r="V371" s="455"/>
      <c r="W371" s="455"/>
      <c r="X371" s="455"/>
      <c r="Y371" s="455"/>
      <c r="Z371" s="455"/>
      <c r="AA371" s="504"/>
      <c r="AB371" s="504"/>
      <c r="AC371" s="455"/>
      <c r="AD371" s="455"/>
      <c r="AE371" s="436">
        <f t="shared" si="149"/>
        <v>0</v>
      </c>
      <c r="AF371" s="436">
        <f t="shared" si="150"/>
        <v>0</v>
      </c>
      <c r="AG371" s="436">
        <f t="shared" si="151"/>
        <v>0</v>
      </c>
      <c r="AH371" s="436">
        <f t="shared" si="152"/>
        <v>0</v>
      </c>
      <c r="AI371" s="436">
        <f t="shared" si="153"/>
        <v>0</v>
      </c>
      <c r="AJ371" s="436">
        <f t="shared" si="153"/>
        <v>0</v>
      </c>
      <c r="AK371" s="437">
        <f t="shared" si="154"/>
        <v>0</v>
      </c>
      <c r="AL371" s="437">
        <f t="shared" si="155"/>
        <v>0</v>
      </c>
      <c r="AM371" s="437">
        <f t="shared" si="156"/>
        <v>0</v>
      </c>
      <c r="AN371" s="437">
        <f t="shared" si="145"/>
        <v>0</v>
      </c>
      <c r="AO371" s="437">
        <f t="shared" si="146"/>
        <v>0</v>
      </c>
      <c r="AP371" s="437">
        <f t="shared" si="144"/>
        <v>0</v>
      </c>
      <c r="AQ371" s="437">
        <f t="shared" si="144"/>
        <v>0</v>
      </c>
      <c r="AR371" s="436"/>
      <c r="AS371" s="437">
        <f t="shared" si="147"/>
        <v>0</v>
      </c>
    </row>
    <row r="372" spans="1:45" s="456" customFormat="1" ht="24.95" customHeight="1">
      <c r="A372" s="455"/>
      <c r="B372" s="455"/>
      <c r="C372" s="1136" t="s">
        <v>534</v>
      </c>
      <c r="D372" s="1136"/>
      <c r="E372" s="455"/>
      <c r="F372" s="455"/>
      <c r="G372" s="455"/>
      <c r="H372" s="455"/>
      <c r="I372" s="455"/>
      <c r="J372" s="455"/>
      <c r="K372" s="455"/>
      <c r="L372" s="455"/>
      <c r="M372" s="455"/>
      <c r="N372" s="455"/>
      <c r="O372" s="455"/>
      <c r="P372" s="455"/>
      <c r="Q372" s="455"/>
      <c r="R372" s="455"/>
      <c r="S372" s="455"/>
      <c r="T372" s="455"/>
      <c r="U372" s="455"/>
      <c r="V372" s="455"/>
      <c r="W372" s="455"/>
      <c r="X372" s="455"/>
      <c r="Y372" s="455"/>
      <c r="Z372" s="455"/>
      <c r="AA372" s="504"/>
      <c r="AB372" s="504"/>
      <c r="AC372" s="455"/>
      <c r="AD372" s="455"/>
      <c r="AE372" s="436">
        <f t="shared" si="149"/>
        <v>0</v>
      </c>
      <c r="AF372" s="436">
        <f t="shared" si="150"/>
        <v>0</v>
      </c>
      <c r="AG372" s="436">
        <f t="shared" si="151"/>
        <v>0</v>
      </c>
      <c r="AH372" s="436">
        <f t="shared" si="152"/>
        <v>0</v>
      </c>
      <c r="AI372" s="436">
        <f t="shared" si="153"/>
        <v>0</v>
      </c>
      <c r="AJ372" s="436">
        <f t="shared" si="153"/>
        <v>0</v>
      </c>
      <c r="AK372" s="437">
        <f t="shared" si="154"/>
        <v>0</v>
      </c>
      <c r="AL372" s="437">
        <f t="shared" si="155"/>
        <v>0</v>
      </c>
      <c r="AM372" s="437">
        <f t="shared" si="156"/>
        <v>0</v>
      </c>
      <c r="AN372" s="437">
        <f t="shared" si="145"/>
        <v>0</v>
      </c>
      <c r="AO372" s="437">
        <f t="shared" si="146"/>
        <v>0</v>
      </c>
      <c r="AP372" s="437">
        <f t="shared" si="144"/>
        <v>0</v>
      </c>
      <c r="AQ372" s="437">
        <f t="shared" si="144"/>
        <v>0</v>
      </c>
      <c r="AR372" s="436"/>
      <c r="AS372" s="437">
        <f t="shared" si="147"/>
        <v>0</v>
      </c>
    </row>
    <row r="373" spans="1:45" s="438" customFormat="1" ht="24.95" customHeight="1">
      <c r="A373" s="1134"/>
      <c r="B373" s="1134"/>
      <c r="C373" s="1139" t="s">
        <v>683</v>
      </c>
      <c r="D373" s="1134" t="s">
        <v>1062</v>
      </c>
      <c r="E373" s="1134" t="s">
        <v>696</v>
      </c>
      <c r="F373" s="1140">
        <v>10</v>
      </c>
      <c r="G373" s="1112">
        <v>5265</v>
      </c>
      <c r="H373" s="1112"/>
      <c r="I373" s="1112"/>
      <c r="J373" s="1112"/>
      <c r="K373" s="1112"/>
      <c r="L373" s="435">
        <v>0.15</v>
      </c>
      <c r="M373" s="1112"/>
      <c r="N373" s="1112">
        <f>G373+H374+K374+L374</f>
        <v>6054.75</v>
      </c>
      <c r="O373" s="1112">
        <v>1</v>
      </c>
      <c r="P373" s="1112"/>
      <c r="Q373" s="1112"/>
      <c r="R373" s="1112"/>
      <c r="S373" s="1112"/>
      <c r="T373" s="1134">
        <v>22</v>
      </c>
      <c r="U373" s="1138">
        <v>0.3</v>
      </c>
      <c r="V373" s="1112">
        <f>N373*U373</f>
        <v>1816.425</v>
      </c>
      <c r="W373" s="1112"/>
      <c r="X373" s="1112">
        <f>(N373+V373)*O373</f>
        <v>7871.1750000000002</v>
      </c>
      <c r="Y373" s="1112">
        <f>AB373</f>
        <v>5628.8249999999998</v>
      </c>
      <c r="Z373" s="1112">
        <f>X373+Y373</f>
        <v>13500</v>
      </c>
      <c r="AA373" s="1109">
        <f>13500*O373</f>
        <v>13500</v>
      </c>
      <c r="AB373" s="1109">
        <f>AA373-X373</f>
        <v>5628.8249999999998</v>
      </c>
      <c r="AC373" s="1112">
        <f>6500*O373</f>
        <v>6500</v>
      </c>
      <c r="AD373" s="1112"/>
      <c r="AE373" s="436">
        <f t="shared" si="149"/>
        <v>5265</v>
      </c>
      <c r="AF373" s="436">
        <f t="shared" si="150"/>
        <v>0</v>
      </c>
      <c r="AG373" s="436">
        <f t="shared" si="151"/>
        <v>6054.75</v>
      </c>
      <c r="AH373" s="436">
        <f t="shared" si="152"/>
        <v>0</v>
      </c>
      <c r="AI373" s="436">
        <f t="shared" si="153"/>
        <v>789.75</v>
      </c>
      <c r="AJ373" s="436">
        <f t="shared" si="153"/>
        <v>0</v>
      </c>
      <c r="AK373" s="437">
        <f t="shared" si="154"/>
        <v>1816.425</v>
      </c>
      <c r="AL373" s="437">
        <f t="shared" si="155"/>
        <v>0</v>
      </c>
      <c r="AM373" s="437">
        <f t="shared" si="156"/>
        <v>0</v>
      </c>
      <c r="AN373" s="437">
        <f t="shared" si="145"/>
        <v>0</v>
      </c>
      <c r="AO373" s="437">
        <f t="shared" si="146"/>
        <v>0</v>
      </c>
      <c r="AP373" s="437">
        <f t="shared" si="144"/>
        <v>6054.75</v>
      </c>
      <c r="AQ373" s="437">
        <f t="shared" si="144"/>
        <v>0</v>
      </c>
      <c r="AR373" s="436"/>
      <c r="AS373" s="437">
        <f t="shared" si="147"/>
        <v>6054.75</v>
      </c>
    </row>
    <row r="374" spans="1:45" s="438" customFormat="1" ht="24.95" customHeight="1">
      <c r="A374" s="1134"/>
      <c r="B374" s="1134"/>
      <c r="C374" s="1139"/>
      <c r="D374" s="1134"/>
      <c r="E374" s="1134"/>
      <c r="F374" s="1140"/>
      <c r="G374" s="1112"/>
      <c r="H374" s="1112"/>
      <c r="I374" s="1112"/>
      <c r="J374" s="1112"/>
      <c r="K374" s="1112"/>
      <c r="L374" s="439">
        <f>G373*L373</f>
        <v>789.75</v>
      </c>
      <c r="M374" s="1112"/>
      <c r="N374" s="1112"/>
      <c r="O374" s="1112"/>
      <c r="P374" s="1112"/>
      <c r="Q374" s="1112"/>
      <c r="R374" s="1112"/>
      <c r="S374" s="1112"/>
      <c r="T374" s="1134"/>
      <c r="U374" s="1138"/>
      <c r="V374" s="1112"/>
      <c r="W374" s="1112"/>
      <c r="X374" s="1112"/>
      <c r="Y374" s="1112"/>
      <c r="Z374" s="1112"/>
      <c r="AA374" s="1109"/>
      <c r="AB374" s="1109"/>
      <c r="AC374" s="1112"/>
      <c r="AD374" s="1112"/>
      <c r="AE374" s="436">
        <f t="shared" si="149"/>
        <v>0</v>
      </c>
      <c r="AF374" s="436">
        <f t="shared" si="150"/>
        <v>0</v>
      </c>
      <c r="AG374" s="436">
        <f t="shared" si="151"/>
        <v>0</v>
      </c>
      <c r="AH374" s="436">
        <f t="shared" si="152"/>
        <v>0</v>
      </c>
      <c r="AI374" s="436">
        <f t="shared" si="153"/>
        <v>0</v>
      </c>
      <c r="AJ374" s="436">
        <f t="shared" si="153"/>
        <v>0</v>
      </c>
      <c r="AK374" s="437">
        <f t="shared" si="154"/>
        <v>0</v>
      </c>
      <c r="AL374" s="437">
        <f t="shared" si="155"/>
        <v>0</v>
      </c>
      <c r="AM374" s="437">
        <f t="shared" si="156"/>
        <v>0</v>
      </c>
      <c r="AN374" s="437">
        <f t="shared" si="145"/>
        <v>0</v>
      </c>
      <c r="AO374" s="437">
        <f t="shared" si="146"/>
        <v>0</v>
      </c>
      <c r="AP374" s="437">
        <f t="shared" si="144"/>
        <v>0</v>
      </c>
      <c r="AQ374" s="437">
        <f t="shared" si="144"/>
        <v>0</v>
      </c>
      <c r="AR374" s="436"/>
      <c r="AS374" s="437">
        <f t="shared" si="147"/>
        <v>0</v>
      </c>
    </row>
    <row r="375" spans="1:45" s="438" customFormat="1" ht="24.95" customHeight="1">
      <c r="A375" s="1134"/>
      <c r="B375" s="1134"/>
      <c r="C375" s="1139" t="s">
        <v>683</v>
      </c>
      <c r="D375" s="1134" t="s">
        <v>1063</v>
      </c>
      <c r="E375" s="1134" t="s">
        <v>697</v>
      </c>
      <c r="F375" s="1140">
        <v>9</v>
      </c>
      <c r="G375" s="1112">
        <v>5005</v>
      </c>
      <c r="H375" s="1112"/>
      <c r="I375" s="1138"/>
      <c r="J375" s="1138"/>
      <c r="K375" s="1112"/>
      <c r="L375" s="435">
        <v>0.15</v>
      </c>
      <c r="M375" s="1140"/>
      <c r="N375" s="1112">
        <f>G375+H376+K376+L376</f>
        <v>5755.75</v>
      </c>
      <c r="O375" s="1112">
        <v>1</v>
      </c>
      <c r="P375" s="1112"/>
      <c r="Q375" s="1140"/>
      <c r="R375" s="1140"/>
      <c r="S375" s="1140"/>
      <c r="T375" s="1134">
        <v>16</v>
      </c>
      <c r="U375" s="1138">
        <v>0.2</v>
      </c>
      <c r="V375" s="1112">
        <f>N375*U375</f>
        <v>1151.1500000000001</v>
      </c>
      <c r="W375" s="1112"/>
      <c r="X375" s="1112">
        <f>(N375+V375)*O375+W375</f>
        <v>6906.9</v>
      </c>
      <c r="Y375" s="1112">
        <f>AB375</f>
        <v>6593.1</v>
      </c>
      <c r="Z375" s="1112">
        <f>X375+Y375</f>
        <v>13500</v>
      </c>
      <c r="AA375" s="1109">
        <f>13500*O375</f>
        <v>13500</v>
      </c>
      <c r="AB375" s="1109">
        <f>AA375-X375</f>
        <v>6593.1</v>
      </c>
      <c r="AC375" s="1112">
        <f>6500*O375</f>
        <v>6500</v>
      </c>
      <c r="AD375" s="1112"/>
      <c r="AE375" s="436">
        <f t="shared" si="149"/>
        <v>5005</v>
      </c>
      <c r="AF375" s="436">
        <f t="shared" si="150"/>
        <v>0</v>
      </c>
      <c r="AG375" s="436">
        <f t="shared" si="151"/>
        <v>5755.75</v>
      </c>
      <c r="AH375" s="436">
        <f t="shared" si="152"/>
        <v>0</v>
      </c>
      <c r="AI375" s="436">
        <f t="shared" si="153"/>
        <v>750.75</v>
      </c>
      <c r="AJ375" s="436">
        <f t="shared" si="153"/>
        <v>0</v>
      </c>
      <c r="AK375" s="437">
        <f t="shared" si="154"/>
        <v>1151.1500000000001</v>
      </c>
      <c r="AL375" s="437">
        <f t="shared" si="155"/>
        <v>0</v>
      </c>
      <c r="AM375" s="437">
        <f t="shared" si="156"/>
        <v>0</v>
      </c>
      <c r="AN375" s="437">
        <f t="shared" si="145"/>
        <v>0</v>
      </c>
      <c r="AO375" s="437">
        <f t="shared" si="146"/>
        <v>0</v>
      </c>
      <c r="AP375" s="437">
        <f t="shared" si="144"/>
        <v>5755.75</v>
      </c>
      <c r="AQ375" s="437">
        <f t="shared" si="144"/>
        <v>0</v>
      </c>
      <c r="AR375" s="436"/>
      <c r="AS375" s="437">
        <f t="shared" si="147"/>
        <v>5755.75</v>
      </c>
    </row>
    <row r="376" spans="1:45" s="438" customFormat="1" ht="24.95" customHeight="1">
      <c r="A376" s="1134"/>
      <c r="B376" s="1134"/>
      <c r="C376" s="1139"/>
      <c r="D376" s="1134"/>
      <c r="E376" s="1134"/>
      <c r="F376" s="1140"/>
      <c r="G376" s="1112"/>
      <c r="H376" s="1112"/>
      <c r="I376" s="1134"/>
      <c r="J376" s="1134"/>
      <c r="K376" s="1112"/>
      <c r="L376" s="439">
        <f>G375*L375</f>
        <v>750.75</v>
      </c>
      <c r="M376" s="1140"/>
      <c r="N376" s="1112"/>
      <c r="O376" s="1112"/>
      <c r="P376" s="1112"/>
      <c r="Q376" s="1140"/>
      <c r="R376" s="1140"/>
      <c r="S376" s="1140"/>
      <c r="T376" s="1134"/>
      <c r="U376" s="1138"/>
      <c r="V376" s="1112"/>
      <c r="W376" s="1112"/>
      <c r="X376" s="1112"/>
      <c r="Y376" s="1112"/>
      <c r="Z376" s="1112"/>
      <c r="AA376" s="1109"/>
      <c r="AB376" s="1109"/>
      <c r="AC376" s="1112"/>
      <c r="AD376" s="1112"/>
      <c r="AE376" s="436">
        <f t="shared" si="149"/>
        <v>0</v>
      </c>
      <c r="AF376" s="436">
        <f t="shared" si="150"/>
        <v>0</v>
      </c>
      <c r="AG376" s="436">
        <f t="shared" si="151"/>
        <v>0</v>
      </c>
      <c r="AH376" s="436">
        <f t="shared" si="152"/>
        <v>0</v>
      </c>
      <c r="AI376" s="436">
        <f t="shared" si="153"/>
        <v>0</v>
      </c>
      <c r="AJ376" s="436">
        <f t="shared" si="153"/>
        <v>0</v>
      </c>
      <c r="AK376" s="437">
        <f t="shared" si="154"/>
        <v>0</v>
      </c>
      <c r="AL376" s="437">
        <f t="shared" si="155"/>
        <v>0</v>
      </c>
      <c r="AM376" s="437">
        <f t="shared" si="156"/>
        <v>0</v>
      </c>
      <c r="AN376" s="437">
        <f t="shared" si="145"/>
        <v>0</v>
      </c>
      <c r="AO376" s="437">
        <f t="shared" si="146"/>
        <v>0</v>
      </c>
      <c r="AP376" s="437">
        <f t="shared" si="144"/>
        <v>0</v>
      </c>
      <c r="AQ376" s="437">
        <f t="shared" si="144"/>
        <v>0</v>
      </c>
      <c r="AR376" s="436"/>
      <c r="AS376" s="437">
        <f t="shared" si="147"/>
        <v>0</v>
      </c>
    </row>
    <row r="377" spans="1:45" s="438" customFormat="1" ht="23.25" customHeight="1">
      <c r="A377" s="1134"/>
      <c r="B377" s="1134"/>
      <c r="C377" s="1139" t="s">
        <v>683</v>
      </c>
      <c r="D377" s="1134" t="s">
        <v>698</v>
      </c>
      <c r="E377" s="1134" t="s">
        <v>699</v>
      </c>
      <c r="F377" s="1140">
        <v>8</v>
      </c>
      <c r="G377" s="1112">
        <v>4745</v>
      </c>
      <c r="H377" s="1112"/>
      <c r="I377" s="1112"/>
      <c r="J377" s="1112"/>
      <c r="K377" s="1112"/>
      <c r="L377" s="435">
        <v>0.15</v>
      </c>
      <c r="M377" s="1112"/>
      <c r="N377" s="1112">
        <f>G377+H378+K378+L378</f>
        <v>5456.75</v>
      </c>
      <c r="O377" s="1112">
        <v>0.5</v>
      </c>
      <c r="P377" s="1112"/>
      <c r="Q377" s="1112"/>
      <c r="R377" s="1112"/>
      <c r="S377" s="1112"/>
      <c r="T377" s="1134">
        <v>9</v>
      </c>
      <c r="U377" s="1138">
        <v>0.1</v>
      </c>
      <c r="V377" s="1112">
        <f>N377*U377</f>
        <v>545.67500000000007</v>
      </c>
      <c r="W377" s="1112">
        <f>AD377</f>
        <v>248.78749999999997</v>
      </c>
      <c r="X377" s="1112">
        <f>(N377+V377)*O377+W377</f>
        <v>3250</v>
      </c>
      <c r="Y377" s="1112">
        <f>AB377</f>
        <v>3500</v>
      </c>
      <c r="Z377" s="1112">
        <f>X377+Y377</f>
        <v>6750</v>
      </c>
      <c r="AA377" s="1109">
        <f>13500*O377</f>
        <v>6750</v>
      </c>
      <c r="AB377" s="1109">
        <f>AA377-X377</f>
        <v>3500</v>
      </c>
      <c r="AC377" s="1112">
        <f>6500*O377</f>
        <v>3250</v>
      </c>
      <c r="AD377" s="1112">
        <f>AC377-(N377*O377)-(V377*O377)</f>
        <v>248.78749999999997</v>
      </c>
      <c r="AE377" s="436">
        <f t="shared" si="149"/>
        <v>2372.5</v>
      </c>
      <c r="AF377" s="436">
        <f t="shared" si="150"/>
        <v>0</v>
      </c>
      <c r="AG377" s="436">
        <f t="shared" si="151"/>
        <v>2728.375</v>
      </c>
      <c r="AH377" s="436">
        <f t="shared" si="152"/>
        <v>0</v>
      </c>
      <c r="AI377" s="436">
        <f t="shared" si="153"/>
        <v>355.875</v>
      </c>
      <c r="AJ377" s="436">
        <f t="shared" si="153"/>
        <v>0</v>
      </c>
      <c r="AK377" s="437">
        <f t="shared" si="154"/>
        <v>272.83750000000003</v>
      </c>
      <c r="AL377" s="437">
        <f t="shared" si="155"/>
        <v>0</v>
      </c>
      <c r="AM377" s="437">
        <f t="shared" si="156"/>
        <v>248.78749999999997</v>
      </c>
      <c r="AN377" s="437">
        <f t="shared" si="145"/>
        <v>0</v>
      </c>
      <c r="AO377" s="437">
        <f t="shared" si="146"/>
        <v>0</v>
      </c>
      <c r="AP377" s="437">
        <f t="shared" si="144"/>
        <v>2728.375</v>
      </c>
      <c r="AQ377" s="437">
        <f t="shared" si="144"/>
        <v>0</v>
      </c>
      <c r="AR377" s="436"/>
      <c r="AS377" s="437">
        <f t="shared" si="147"/>
        <v>2728.375</v>
      </c>
    </row>
    <row r="378" spans="1:45" s="438" customFormat="1" ht="24.95" customHeight="1">
      <c r="A378" s="1134"/>
      <c r="B378" s="1134"/>
      <c r="C378" s="1139"/>
      <c r="D378" s="1134"/>
      <c r="E378" s="1134"/>
      <c r="F378" s="1134"/>
      <c r="G378" s="1134"/>
      <c r="H378" s="1112"/>
      <c r="I378" s="1112"/>
      <c r="J378" s="1112"/>
      <c r="K378" s="1112"/>
      <c r="L378" s="439">
        <f>G377*L377</f>
        <v>711.75</v>
      </c>
      <c r="M378" s="1112"/>
      <c r="N378" s="1112"/>
      <c r="O378" s="1112"/>
      <c r="P378" s="1112"/>
      <c r="Q378" s="1112"/>
      <c r="R378" s="1112"/>
      <c r="S378" s="1112"/>
      <c r="T378" s="1134"/>
      <c r="U378" s="1138"/>
      <c r="V378" s="1112"/>
      <c r="W378" s="1112"/>
      <c r="X378" s="1112"/>
      <c r="Y378" s="1112"/>
      <c r="Z378" s="1112"/>
      <c r="AA378" s="1109"/>
      <c r="AB378" s="1109"/>
      <c r="AC378" s="1112"/>
      <c r="AD378" s="1112"/>
      <c r="AE378" s="436">
        <f t="shared" si="149"/>
        <v>0</v>
      </c>
      <c r="AF378" s="436">
        <f t="shared" si="150"/>
        <v>0</v>
      </c>
      <c r="AG378" s="436">
        <f t="shared" si="151"/>
        <v>0</v>
      </c>
      <c r="AH378" s="436">
        <f t="shared" si="152"/>
        <v>0</v>
      </c>
      <c r="AI378" s="436">
        <f t="shared" si="153"/>
        <v>0</v>
      </c>
      <c r="AJ378" s="436">
        <f t="shared" si="153"/>
        <v>0</v>
      </c>
      <c r="AK378" s="437">
        <f t="shared" si="154"/>
        <v>0</v>
      </c>
      <c r="AL378" s="437">
        <f t="shared" si="155"/>
        <v>0</v>
      </c>
      <c r="AM378" s="437">
        <f t="shared" si="156"/>
        <v>0</v>
      </c>
      <c r="AN378" s="437">
        <f t="shared" si="145"/>
        <v>0</v>
      </c>
      <c r="AO378" s="437">
        <f t="shared" si="146"/>
        <v>0</v>
      </c>
      <c r="AP378" s="437">
        <f t="shared" si="144"/>
        <v>0</v>
      </c>
      <c r="AQ378" s="437">
        <f t="shared" si="144"/>
        <v>0</v>
      </c>
      <c r="AR378" s="436"/>
      <c r="AS378" s="437">
        <f t="shared" si="147"/>
        <v>0</v>
      </c>
    </row>
    <row r="379" spans="1:45" s="446" customFormat="1" ht="24.95" customHeight="1">
      <c r="A379" s="441"/>
      <c r="B379" s="441"/>
      <c r="C379" s="442" t="s">
        <v>318</v>
      </c>
      <c r="D379" s="443"/>
      <c r="E379" s="441"/>
      <c r="F379" s="441"/>
      <c r="G379" s="444">
        <f>SUM(G373:G378)</f>
        <v>15015</v>
      </c>
      <c r="H379" s="441"/>
      <c r="I379" s="441"/>
      <c r="J379" s="441"/>
      <c r="K379" s="441"/>
      <c r="L379" s="451">
        <f>SUM(L373:L378)</f>
        <v>2252.6999999999998</v>
      </c>
      <c r="M379" s="441"/>
      <c r="N379" s="444">
        <f>SUM(N373:N378)</f>
        <v>17267.25</v>
      </c>
      <c r="O379" s="444">
        <f>SUM(O373:O378)</f>
        <v>2.5</v>
      </c>
      <c r="P379" s="444">
        <f>SUM(P373:P378)</f>
        <v>0</v>
      </c>
      <c r="Q379" s="444"/>
      <c r="R379" s="444"/>
      <c r="S379" s="444"/>
      <c r="T379" s="444"/>
      <c r="U379" s="444"/>
      <c r="V379" s="444">
        <f t="shared" ref="V379:AD379" si="158">SUM(V373:V378)</f>
        <v>3513.25</v>
      </c>
      <c r="W379" s="444">
        <f t="shared" si="158"/>
        <v>248.78749999999997</v>
      </c>
      <c r="X379" s="444">
        <f t="shared" si="158"/>
        <v>18028.075000000001</v>
      </c>
      <c r="Y379" s="444">
        <f t="shared" si="158"/>
        <v>15721.924999999999</v>
      </c>
      <c r="Z379" s="444">
        <f t="shared" si="158"/>
        <v>33750</v>
      </c>
      <c r="AA379" s="499">
        <f t="shared" si="158"/>
        <v>33750</v>
      </c>
      <c r="AB379" s="499">
        <f t="shared" si="158"/>
        <v>15721.924999999999</v>
      </c>
      <c r="AC379" s="444">
        <f t="shared" si="158"/>
        <v>16250</v>
      </c>
      <c r="AD379" s="444">
        <f t="shared" si="158"/>
        <v>248.78749999999997</v>
      </c>
      <c r="AE379" s="436"/>
      <c r="AF379" s="436"/>
      <c r="AG379" s="436"/>
      <c r="AH379" s="436"/>
      <c r="AI379" s="436"/>
      <c r="AJ379" s="436"/>
      <c r="AK379" s="437"/>
      <c r="AL379" s="437"/>
      <c r="AM379" s="437"/>
      <c r="AN379" s="437"/>
      <c r="AO379" s="437"/>
      <c r="AP379" s="437">
        <f t="shared" si="144"/>
        <v>0</v>
      </c>
      <c r="AQ379" s="437">
        <f t="shared" si="144"/>
        <v>0</v>
      </c>
      <c r="AR379" s="436"/>
      <c r="AS379" s="437">
        <f t="shared" si="147"/>
        <v>0</v>
      </c>
    </row>
    <row r="380" spans="1:45" s="456" customFormat="1" ht="24.95" customHeight="1">
      <c r="A380" s="455"/>
      <c r="B380" s="455"/>
      <c r="C380" s="1136" t="s">
        <v>541</v>
      </c>
      <c r="D380" s="1136"/>
      <c r="E380" s="455"/>
      <c r="F380" s="455"/>
      <c r="G380" s="455"/>
      <c r="H380" s="455"/>
      <c r="I380" s="455"/>
      <c r="J380" s="455"/>
      <c r="K380" s="455"/>
      <c r="L380" s="455"/>
      <c r="M380" s="455"/>
      <c r="N380" s="455"/>
      <c r="O380" s="455"/>
      <c r="P380" s="455"/>
      <c r="Q380" s="455"/>
      <c r="R380" s="455"/>
      <c r="S380" s="455"/>
      <c r="T380" s="455"/>
      <c r="U380" s="455"/>
      <c r="V380" s="455"/>
      <c r="W380" s="455"/>
      <c r="X380" s="455"/>
      <c r="Y380" s="455"/>
      <c r="Z380" s="455"/>
      <c r="AA380" s="504"/>
      <c r="AB380" s="504"/>
      <c r="AC380" s="455"/>
      <c r="AD380" s="455"/>
      <c r="AE380" s="436">
        <f t="shared" si="149"/>
        <v>0</v>
      </c>
      <c r="AF380" s="436">
        <f t="shared" si="150"/>
        <v>0</v>
      </c>
      <c r="AG380" s="436">
        <f t="shared" si="151"/>
        <v>0</v>
      </c>
      <c r="AH380" s="436">
        <f t="shared" si="152"/>
        <v>0</v>
      </c>
      <c r="AI380" s="436">
        <f t="shared" si="153"/>
        <v>0</v>
      </c>
      <c r="AJ380" s="436">
        <f t="shared" si="153"/>
        <v>0</v>
      </c>
      <c r="AK380" s="437">
        <f t="shared" si="154"/>
        <v>0</v>
      </c>
      <c r="AL380" s="437">
        <f t="shared" si="155"/>
        <v>0</v>
      </c>
      <c r="AM380" s="437">
        <f t="shared" si="156"/>
        <v>0</v>
      </c>
      <c r="AN380" s="437">
        <f t="shared" si="145"/>
        <v>0</v>
      </c>
      <c r="AO380" s="437">
        <f t="shared" si="146"/>
        <v>0</v>
      </c>
      <c r="AP380" s="437">
        <f t="shared" si="144"/>
        <v>0</v>
      </c>
      <c r="AQ380" s="437">
        <f t="shared" si="144"/>
        <v>0</v>
      </c>
      <c r="AR380" s="436"/>
      <c r="AS380" s="437">
        <f t="shared" si="147"/>
        <v>0</v>
      </c>
    </row>
    <row r="381" spans="1:45" s="438" customFormat="1" ht="24.95" customHeight="1">
      <c r="A381" s="1134"/>
      <c r="B381" s="1134"/>
      <c r="C381" s="1139" t="s">
        <v>700</v>
      </c>
      <c r="D381" s="1134" t="s">
        <v>337</v>
      </c>
      <c r="E381" s="1134" t="s">
        <v>701</v>
      </c>
      <c r="F381" s="1140">
        <v>6</v>
      </c>
      <c r="G381" s="1112">
        <v>4195</v>
      </c>
      <c r="H381" s="1112"/>
      <c r="I381" s="1112"/>
      <c r="J381" s="1112"/>
      <c r="K381" s="1112"/>
      <c r="L381" s="435">
        <v>0.15</v>
      </c>
      <c r="M381" s="1112"/>
      <c r="N381" s="1112">
        <f>G381+H382+K382+L382</f>
        <v>4824.25</v>
      </c>
      <c r="O381" s="1112">
        <v>1</v>
      </c>
      <c r="P381" s="1140"/>
      <c r="Q381" s="1140"/>
      <c r="R381" s="1140"/>
      <c r="S381" s="1140"/>
      <c r="T381" s="1134">
        <v>21</v>
      </c>
      <c r="U381" s="1138">
        <v>0.3</v>
      </c>
      <c r="V381" s="1112">
        <f>N381*U381</f>
        <v>1447.2749999999999</v>
      </c>
      <c r="W381" s="1112">
        <f>AD381</f>
        <v>228.47500000000014</v>
      </c>
      <c r="X381" s="1112">
        <f>(N381+V381)*O381+W381</f>
        <v>6500</v>
      </c>
      <c r="Y381" s="1112">
        <f>AB381</f>
        <v>7000</v>
      </c>
      <c r="Z381" s="1112">
        <f>X381+Y381</f>
        <v>13500</v>
      </c>
      <c r="AA381" s="1109">
        <f>13500*O381</f>
        <v>13500</v>
      </c>
      <c r="AB381" s="1109">
        <f>AA381-X381</f>
        <v>7000</v>
      </c>
      <c r="AC381" s="1112">
        <f>6500*O381</f>
        <v>6500</v>
      </c>
      <c r="AD381" s="1112">
        <f>AC381-(N381*O381)-V381</f>
        <v>228.47500000000014</v>
      </c>
      <c r="AE381" s="436">
        <f t="shared" si="149"/>
        <v>4195</v>
      </c>
      <c r="AF381" s="436">
        <f t="shared" si="150"/>
        <v>0</v>
      </c>
      <c r="AG381" s="436">
        <f t="shared" si="151"/>
        <v>4824.25</v>
      </c>
      <c r="AH381" s="436">
        <f t="shared" si="152"/>
        <v>0</v>
      </c>
      <c r="AI381" s="436">
        <f t="shared" si="153"/>
        <v>629.25</v>
      </c>
      <c r="AJ381" s="436">
        <f t="shared" si="153"/>
        <v>0</v>
      </c>
      <c r="AK381" s="437">
        <f t="shared" si="154"/>
        <v>1447.2749999999999</v>
      </c>
      <c r="AL381" s="437">
        <f t="shared" si="155"/>
        <v>0</v>
      </c>
      <c r="AM381" s="437">
        <f t="shared" si="156"/>
        <v>228.47500000000014</v>
      </c>
      <c r="AN381" s="437">
        <f t="shared" si="145"/>
        <v>0</v>
      </c>
      <c r="AO381" s="437">
        <f t="shared" si="146"/>
        <v>0</v>
      </c>
      <c r="AP381" s="437">
        <f t="shared" si="144"/>
        <v>4824.25</v>
      </c>
      <c r="AQ381" s="437">
        <f t="shared" si="144"/>
        <v>0</v>
      </c>
      <c r="AR381" s="436"/>
      <c r="AS381" s="437">
        <f t="shared" si="147"/>
        <v>4824.25</v>
      </c>
    </row>
    <row r="382" spans="1:45" s="438" customFormat="1" ht="24.95" customHeight="1">
      <c r="A382" s="1134"/>
      <c r="B382" s="1134"/>
      <c r="C382" s="1139"/>
      <c r="D382" s="1134"/>
      <c r="E382" s="1134"/>
      <c r="F382" s="1140"/>
      <c r="G382" s="1112"/>
      <c r="H382" s="1112"/>
      <c r="I382" s="1112"/>
      <c r="J382" s="1112"/>
      <c r="K382" s="1112"/>
      <c r="L382" s="439">
        <f>G381*L381</f>
        <v>629.25</v>
      </c>
      <c r="M382" s="1112"/>
      <c r="N382" s="1112"/>
      <c r="O382" s="1112"/>
      <c r="P382" s="1140"/>
      <c r="Q382" s="1140"/>
      <c r="R382" s="1140"/>
      <c r="S382" s="1140"/>
      <c r="T382" s="1134"/>
      <c r="U382" s="1138"/>
      <c r="V382" s="1112"/>
      <c r="W382" s="1112"/>
      <c r="X382" s="1112"/>
      <c r="Y382" s="1112"/>
      <c r="Z382" s="1112"/>
      <c r="AA382" s="1109"/>
      <c r="AB382" s="1109"/>
      <c r="AC382" s="1112"/>
      <c r="AD382" s="1112"/>
      <c r="AE382" s="436">
        <f t="shared" si="149"/>
        <v>0</v>
      </c>
      <c r="AF382" s="436">
        <f t="shared" si="150"/>
        <v>0</v>
      </c>
      <c r="AG382" s="436">
        <f t="shared" si="151"/>
        <v>0</v>
      </c>
      <c r="AH382" s="436">
        <f t="shared" si="152"/>
        <v>0</v>
      </c>
      <c r="AI382" s="436">
        <f t="shared" si="153"/>
        <v>0</v>
      </c>
      <c r="AJ382" s="436">
        <f t="shared" si="153"/>
        <v>0</v>
      </c>
      <c r="AK382" s="437">
        <f t="shared" si="154"/>
        <v>0</v>
      </c>
      <c r="AL382" s="437">
        <f t="shared" si="155"/>
        <v>0</v>
      </c>
      <c r="AM382" s="437">
        <f t="shared" si="156"/>
        <v>0</v>
      </c>
      <c r="AN382" s="437">
        <f t="shared" si="145"/>
        <v>0</v>
      </c>
      <c r="AO382" s="437">
        <f t="shared" si="146"/>
        <v>0</v>
      </c>
      <c r="AP382" s="437">
        <f t="shared" si="144"/>
        <v>0</v>
      </c>
      <c r="AQ382" s="437">
        <f t="shared" si="144"/>
        <v>0</v>
      </c>
      <c r="AR382" s="436"/>
      <c r="AS382" s="437">
        <f t="shared" si="147"/>
        <v>0</v>
      </c>
    </row>
    <row r="383" spans="1:45" s="438" customFormat="1" ht="24.95" customHeight="1">
      <c r="A383" s="1134"/>
      <c r="B383" s="1134"/>
      <c r="C383" s="1139" t="s">
        <v>700</v>
      </c>
      <c r="D383" s="1134" t="s">
        <v>1064</v>
      </c>
      <c r="E383" s="1134" t="s">
        <v>702</v>
      </c>
      <c r="F383" s="1140">
        <v>9</v>
      </c>
      <c r="G383" s="1112">
        <v>5005</v>
      </c>
      <c r="H383" s="1112"/>
      <c r="I383" s="1112"/>
      <c r="J383" s="1112"/>
      <c r="K383" s="1112"/>
      <c r="L383" s="435">
        <v>0.15</v>
      </c>
      <c r="M383" s="1112"/>
      <c r="N383" s="1112">
        <f>G383+H384+K384+L384</f>
        <v>5755.75</v>
      </c>
      <c r="O383" s="1112">
        <v>1</v>
      </c>
      <c r="P383" s="1112"/>
      <c r="Q383" s="1112"/>
      <c r="R383" s="1112"/>
      <c r="S383" s="1112"/>
      <c r="T383" s="1134">
        <v>43</v>
      </c>
      <c r="U383" s="1138">
        <v>0.3</v>
      </c>
      <c r="V383" s="1112">
        <f>N383*U383</f>
        <v>1726.7249999999999</v>
      </c>
      <c r="W383" s="1112"/>
      <c r="X383" s="1112">
        <f>(N383+V383)*O383</f>
        <v>7482.4750000000004</v>
      </c>
      <c r="Y383" s="1112">
        <f>AB383</f>
        <v>6017.5249999999996</v>
      </c>
      <c r="Z383" s="1112">
        <f>X383+Y383</f>
        <v>13500</v>
      </c>
      <c r="AA383" s="1109">
        <f>13500*O383</f>
        <v>13500</v>
      </c>
      <c r="AB383" s="1109">
        <f>AA383-X383</f>
        <v>6017.5249999999996</v>
      </c>
      <c r="AC383" s="1112">
        <f>6500*O383</f>
        <v>6500</v>
      </c>
      <c r="AD383" s="1112"/>
      <c r="AE383" s="436">
        <f t="shared" si="149"/>
        <v>5005</v>
      </c>
      <c r="AF383" s="436">
        <f t="shared" si="150"/>
        <v>0</v>
      </c>
      <c r="AG383" s="436">
        <f t="shared" si="151"/>
        <v>5755.75</v>
      </c>
      <c r="AH383" s="436">
        <f t="shared" si="152"/>
        <v>0</v>
      </c>
      <c r="AI383" s="436">
        <f t="shared" si="153"/>
        <v>750.75</v>
      </c>
      <c r="AJ383" s="436">
        <f t="shared" si="153"/>
        <v>0</v>
      </c>
      <c r="AK383" s="437">
        <f t="shared" si="154"/>
        <v>1726.7249999999999</v>
      </c>
      <c r="AL383" s="437">
        <f t="shared" si="155"/>
        <v>0</v>
      </c>
      <c r="AM383" s="437">
        <f t="shared" si="156"/>
        <v>0</v>
      </c>
      <c r="AN383" s="437">
        <f t="shared" si="145"/>
        <v>0</v>
      </c>
      <c r="AO383" s="437">
        <f t="shared" si="146"/>
        <v>0</v>
      </c>
      <c r="AP383" s="437">
        <f t="shared" si="144"/>
        <v>5755.75</v>
      </c>
      <c r="AQ383" s="437">
        <f t="shared" si="144"/>
        <v>0</v>
      </c>
      <c r="AR383" s="436"/>
      <c r="AS383" s="437">
        <f t="shared" si="147"/>
        <v>5755.75</v>
      </c>
    </row>
    <row r="384" spans="1:45" s="438" customFormat="1" ht="24.95" customHeight="1">
      <c r="A384" s="1134"/>
      <c r="B384" s="1134"/>
      <c r="C384" s="1139"/>
      <c r="D384" s="1134"/>
      <c r="E384" s="1134"/>
      <c r="F384" s="1140"/>
      <c r="G384" s="1112"/>
      <c r="H384" s="1112"/>
      <c r="I384" s="1112"/>
      <c r="J384" s="1112"/>
      <c r="K384" s="1112"/>
      <c r="L384" s="439">
        <f>G383*L383</f>
        <v>750.75</v>
      </c>
      <c r="M384" s="1112"/>
      <c r="N384" s="1112"/>
      <c r="O384" s="1112"/>
      <c r="P384" s="1112"/>
      <c r="Q384" s="1112"/>
      <c r="R384" s="1112"/>
      <c r="S384" s="1112"/>
      <c r="T384" s="1134"/>
      <c r="U384" s="1138"/>
      <c r="V384" s="1112"/>
      <c r="W384" s="1112"/>
      <c r="X384" s="1112"/>
      <c r="Y384" s="1112"/>
      <c r="Z384" s="1112"/>
      <c r="AA384" s="1109"/>
      <c r="AB384" s="1109"/>
      <c r="AC384" s="1112"/>
      <c r="AD384" s="1112"/>
      <c r="AE384" s="436">
        <f t="shared" si="149"/>
        <v>0</v>
      </c>
      <c r="AF384" s="436">
        <f t="shared" si="150"/>
        <v>0</v>
      </c>
      <c r="AG384" s="436">
        <f t="shared" si="151"/>
        <v>0</v>
      </c>
      <c r="AH384" s="436">
        <f t="shared" si="152"/>
        <v>0</v>
      </c>
      <c r="AI384" s="436">
        <f t="shared" si="153"/>
        <v>0</v>
      </c>
      <c r="AJ384" s="436">
        <f t="shared" si="153"/>
        <v>0</v>
      </c>
      <c r="AK384" s="437">
        <f t="shared" si="154"/>
        <v>0</v>
      </c>
      <c r="AL384" s="437">
        <f t="shared" si="155"/>
        <v>0</v>
      </c>
      <c r="AM384" s="437">
        <f t="shared" si="156"/>
        <v>0</v>
      </c>
      <c r="AN384" s="437">
        <f t="shared" si="145"/>
        <v>0</v>
      </c>
      <c r="AO384" s="437">
        <f t="shared" si="146"/>
        <v>0</v>
      </c>
      <c r="AP384" s="437">
        <f t="shared" si="144"/>
        <v>0</v>
      </c>
      <c r="AQ384" s="437">
        <f t="shared" si="144"/>
        <v>0</v>
      </c>
      <c r="AR384" s="436"/>
      <c r="AS384" s="437">
        <f t="shared" si="147"/>
        <v>0</v>
      </c>
    </row>
    <row r="385" spans="1:45" s="438" customFormat="1" ht="24.95" customHeight="1">
      <c r="A385" s="1134"/>
      <c r="B385" s="1134"/>
      <c r="C385" s="1139" t="s">
        <v>700</v>
      </c>
      <c r="D385" s="1134" t="s">
        <v>1064</v>
      </c>
      <c r="E385" s="1134" t="s">
        <v>703</v>
      </c>
      <c r="F385" s="1134">
        <v>9</v>
      </c>
      <c r="G385" s="1112">
        <v>5005</v>
      </c>
      <c r="H385" s="1112"/>
      <c r="I385" s="1112"/>
      <c r="J385" s="1112"/>
      <c r="K385" s="1112"/>
      <c r="L385" s="435">
        <v>0.15</v>
      </c>
      <c r="M385" s="1112"/>
      <c r="N385" s="1112">
        <f>G385+H386+K386+L386</f>
        <v>5755.75</v>
      </c>
      <c r="O385" s="1112">
        <v>1</v>
      </c>
      <c r="P385" s="1112"/>
      <c r="Q385" s="1112"/>
      <c r="R385" s="1112"/>
      <c r="S385" s="1112"/>
      <c r="T385" s="1134">
        <v>27</v>
      </c>
      <c r="U385" s="1138">
        <v>0.3</v>
      </c>
      <c r="V385" s="1112">
        <f>N385*U385</f>
        <v>1726.7249999999999</v>
      </c>
      <c r="W385" s="1112"/>
      <c r="X385" s="1112">
        <f>(N385+V385)*O385</f>
        <v>7482.4750000000004</v>
      </c>
      <c r="Y385" s="1112">
        <f>AB385</f>
        <v>6017.5249999999996</v>
      </c>
      <c r="Z385" s="1112">
        <f>X385+Y385</f>
        <v>13500</v>
      </c>
      <c r="AA385" s="1109">
        <f>13500*O385</f>
        <v>13500</v>
      </c>
      <c r="AB385" s="1109">
        <f>AA385-X385</f>
        <v>6017.5249999999996</v>
      </c>
      <c r="AC385" s="1112">
        <f>6500*O385</f>
        <v>6500</v>
      </c>
      <c r="AD385" s="1112"/>
      <c r="AE385" s="436">
        <f t="shared" si="149"/>
        <v>5005</v>
      </c>
      <c r="AF385" s="436">
        <f t="shared" si="150"/>
        <v>0</v>
      </c>
      <c r="AG385" s="436">
        <f t="shared" si="151"/>
        <v>5755.75</v>
      </c>
      <c r="AH385" s="436">
        <f t="shared" si="152"/>
        <v>0</v>
      </c>
      <c r="AI385" s="436">
        <f t="shared" si="153"/>
        <v>750.75</v>
      </c>
      <c r="AJ385" s="436">
        <f t="shared" si="153"/>
        <v>0</v>
      </c>
      <c r="AK385" s="437">
        <f t="shared" si="154"/>
        <v>1726.7249999999999</v>
      </c>
      <c r="AL385" s="437">
        <f t="shared" si="155"/>
        <v>0</v>
      </c>
      <c r="AM385" s="437">
        <f t="shared" si="156"/>
        <v>0</v>
      </c>
      <c r="AN385" s="437">
        <f t="shared" si="145"/>
        <v>0</v>
      </c>
      <c r="AO385" s="437">
        <f t="shared" si="146"/>
        <v>0</v>
      </c>
      <c r="AP385" s="437">
        <f t="shared" si="144"/>
        <v>5755.75</v>
      </c>
      <c r="AQ385" s="437">
        <f t="shared" si="144"/>
        <v>0</v>
      </c>
      <c r="AR385" s="436"/>
      <c r="AS385" s="437">
        <f t="shared" si="147"/>
        <v>5755.75</v>
      </c>
    </row>
    <row r="386" spans="1:45" s="438" customFormat="1" ht="24.95" customHeight="1">
      <c r="A386" s="1134"/>
      <c r="B386" s="1134"/>
      <c r="C386" s="1139"/>
      <c r="D386" s="1134"/>
      <c r="E386" s="1134"/>
      <c r="F386" s="1134"/>
      <c r="G386" s="1112"/>
      <c r="H386" s="1112"/>
      <c r="I386" s="1112"/>
      <c r="J386" s="1112"/>
      <c r="K386" s="1112"/>
      <c r="L386" s="439">
        <f>G385*L385</f>
        <v>750.75</v>
      </c>
      <c r="M386" s="1112"/>
      <c r="N386" s="1112"/>
      <c r="O386" s="1112"/>
      <c r="P386" s="1112"/>
      <c r="Q386" s="1112"/>
      <c r="R386" s="1112"/>
      <c r="S386" s="1112"/>
      <c r="T386" s="1134"/>
      <c r="U386" s="1138"/>
      <c r="V386" s="1112"/>
      <c r="W386" s="1112"/>
      <c r="X386" s="1112"/>
      <c r="Y386" s="1112"/>
      <c r="Z386" s="1112"/>
      <c r="AA386" s="1109"/>
      <c r="AB386" s="1109"/>
      <c r="AC386" s="1112"/>
      <c r="AD386" s="1112"/>
      <c r="AE386" s="436">
        <f t="shared" si="149"/>
        <v>0</v>
      </c>
      <c r="AF386" s="436">
        <f t="shared" si="150"/>
        <v>0</v>
      </c>
      <c r="AG386" s="436">
        <f t="shared" si="151"/>
        <v>0</v>
      </c>
      <c r="AH386" s="436">
        <f t="shared" si="152"/>
        <v>0</v>
      </c>
      <c r="AI386" s="436">
        <f t="shared" si="153"/>
        <v>0</v>
      </c>
      <c r="AJ386" s="436">
        <f t="shared" si="153"/>
        <v>0</v>
      </c>
      <c r="AK386" s="437">
        <f t="shared" si="154"/>
        <v>0</v>
      </c>
      <c r="AL386" s="437">
        <f t="shared" si="155"/>
        <v>0</v>
      </c>
      <c r="AM386" s="437">
        <f t="shared" si="156"/>
        <v>0</v>
      </c>
      <c r="AN386" s="437">
        <f t="shared" si="145"/>
        <v>0</v>
      </c>
      <c r="AO386" s="437">
        <f t="shared" si="146"/>
        <v>0</v>
      </c>
      <c r="AP386" s="437">
        <f t="shared" si="144"/>
        <v>0</v>
      </c>
      <c r="AQ386" s="437">
        <f t="shared" si="144"/>
        <v>0</v>
      </c>
      <c r="AR386" s="436"/>
      <c r="AS386" s="437">
        <f t="shared" si="147"/>
        <v>0</v>
      </c>
    </row>
    <row r="387" spans="1:45" s="438" customFormat="1" ht="24.95" customHeight="1">
      <c r="A387" s="1134"/>
      <c r="B387" s="1134"/>
      <c r="C387" s="1139" t="s">
        <v>700</v>
      </c>
      <c r="D387" s="1134" t="s">
        <v>1065</v>
      </c>
      <c r="E387" s="1134" t="s">
        <v>704</v>
      </c>
      <c r="F387" s="1140">
        <v>9</v>
      </c>
      <c r="G387" s="1112">
        <v>5005</v>
      </c>
      <c r="H387" s="1112"/>
      <c r="I387" s="1112"/>
      <c r="J387" s="1112"/>
      <c r="K387" s="1112"/>
      <c r="L387" s="435">
        <v>0.15</v>
      </c>
      <c r="M387" s="1112"/>
      <c r="N387" s="1112">
        <f>G387+H388+K388+L388</f>
        <v>5755.75</v>
      </c>
      <c r="O387" s="1112">
        <v>1</v>
      </c>
      <c r="P387" s="1112"/>
      <c r="Q387" s="1112"/>
      <c r="R387" s="1112"/>
      <c r="S387" s="1112"/>
      <c r="T387" s="1134">
        <v>20</v>
      </c>
      <c r="U387" s="1138">
        <v>0.3</v>
      </c>
      <c r="V387" s="1112">
        <f>N387*U387</f>
        <v>1726.7249999999999</v>
      </c>
      <c r="W387" s="1112"/>
      <c r="X387" s="1112">
        <f>(N387+V387)*O387</f>
        <v>7482.4750000000004</v>
      </c>
      <c r="Y387" s="1112">
        <f>AB387</f>
        <v>6017.5249999999996</v>
      </c>
      <c r="Z387" s="1112">
        <f>X387+Y387</f>
        <v>13500</v>
      </c>
      <c r="AA387" s="1109">
        <f>13500*O387</f>
        <v>13500</v>
      </c>
      <c r="AB387" s="1109">
        <f>AA387-X387</f>
        <v>6017.5249999999996</v>
      </c>
      <c r="AC387" s="1112">
        <f>6500*O387</f>
        <v>6500</v>
      </c>
      <c r="AD387" s="1112"/>
      <c r="AE387" s="436">
        <f t="shared" si="149"/>
        <v>5005</v>
      </c>
      <c r="AF387" s="436">
        <f t="shared" si="150"/>
        <v>0</v>
      </c>
      <c r="AG387" s="436">
        <f t="shared" si="151"/>
        <v>5755.75</v>
      </c>
      <c r="AH387" s="436">
        <f t="shared" si="152"/>
        <v>0</v>
      </c>
      <c r="AI387" s="436">
        <f t="shared" si="153"/>
        <v>750.75</v>
      </c>
      <c r="AJ387" s="436">
        <f t="shared" si="153"/>
        <v>0</v>
      </c>
      <c r="AK387" s="437">
        <f t="shared" si="154"/>
        <v>1726.7249999999999</v>
      </c>
      <c r="AL387" s="437">
        <f t="shared" si="155"/>
        <v>0</v>
      </c>
      <c r="AM387" s="437">
        <f t="shared" si="156"/>
        <v>0</v>
      </c>
      <c r="AN387" s="437">
        <f t="shared" si="145"/>
        <v>0</v>
      </c>
      <c r="AO387" s="437">
        <f t="shared" si="146"/>
        <v>0</v>
      </c>
      <c r="AP387" s="437">
        <f t="shared" si="144"/>
        <v>5755.75</v>
      </c>
      <c r="AQ387" s="437">
        <f t="shared" si="144"/>
        <v>0</v>
      </c>
      <c r="AR387" s="436"/>
      <c r="AS387" s="437">
        <f t="shared" si="147"/>
        <v>5755.75</v>
      </c>
    </row>
    <row r="388" spans="1:45" s="438" customFormat="1" ht="24.95" customHeight="1">
      <c r="A388" s="1134"/>
      <c r="B388" s="1134"/>
      <c r="C388" s="1139"/>
      <c r="D388" s="1134"/>
      <c r="E388" s="1134"/>
      <c r="F388" s="1134"/>
      <c r="G388" s="1134"/>
      <c r="H388" s="1112"/>
      <c r="I388" s="1112"/>
      <c r="J388" s="1112"/>
      <c r="K388" s="1112"/>
      <c r="L388" s="439">
        <f>G387*L387</f>
        <v>750.75</v>
      </c>
      <c r="M388" s="1112"/>
      <c r="N388" s="1112"/>
      <c r="O388" s="1112"/>
      <c r="P388" s="1112"/>
      <c r="Q388" s="1112"/>
      <c r="R388" s="1112"/>
      <c r="S388" s="1112"/>
      <c r="T388" s="1134"/>
      <c r="U388" s="1138"/>
      <c r="V388" s="1112"/>
      <c r="W388" s="1112"/>
      <c r="X388" s="1112"/>
      <c r="Y388" s="1112"/>
      <c r="Z388" s="1112"/>
      <c r="AA388" s="1109"/>
      <c r="AB388" s="1109"/>
      <c r="AC388" s="1112"/>
      <c r="AD388" s="1112"/>
      <c r="AE388" s="436">
        <f t="shared" si="149"/>
        <v>0</v>
      </c>
      <c r="AF388" s="436">
        <f t="shared" si="150"/>
        <v>0</v>
      </c>
      <c r="AG388" s="436">
        <f t="shared" si="151"/>
        <v>0</v>
      </c>
      <c r="AH388" s="436">
        <f t="shared" si="152"/>
        <v>0</v>
      </c>
      <c r="AI388" s="436">
        <f t="shared" si="153"/>
        <v>0</v>
      </c>
      <c r="AJ388" s="436">
        <f t="shared" si="153"/>
        <v>0</v>
      </c>
      <c r="AK388" s="437">
        <f t="shared" si="154"/>
        <v>0</v>
      </c>
      <c r="AL388" s="437">
        <f t="shared" si="155"/>
        <v>0</v>
      </c>
      <c r="AM388" s="437">
        <f t="shared" si="156"/>
        <v>0</v>
      </c>
      <c r="AN388" s="437">
        <f t="shared" si="145"/>
        <v>0</v>
      </c>
      <c r="AO388" s="437">
        <f t="shared" si="146"/>
        <v>0</v>
      </c>
      <c r="AP388" s="437">
        <f t="shared" si="144"/>
        <v>0</v>
      </c>
      <c r="AQ388" s="437">
        <f t="shared" si="144"/>
        <v>0</v>
      </c>
      <c r="AR388" s="436"/>
      <c r="AS388" s="437">
        <f t="shared" si="147"/>
        <v>0</v>
      </c>
    </row>
    <row r="389" spans="1:45" s="446" customFormat="1" ht="24.95" customHeight="1">
      <c r="A389" s="441"/>
      <c r="B389" s="441"/>
      <c r="C389" s="442" t="s">
        <v>318</v>
      </c>
      <c r="D389" s="443"/>
      <c r="E389" s="441"/>
      <c r="F389" s="441"/>
      <c r="G389" s="444">
        <f>SUM(G381:G388)</f>
        <v>19210</v>
      </c>
      <c r="H389" s="441"/>
      <c r="I389" s="441"/>
      <c r="J389" s="441"/>
      <c r="K389" s="441"/>
      <c r="L389" s="444">
        <f>L382+L384+L386+L388</f>
        <v>2881.5</v>
      </c>
      <c r="M389" s="441"/>
      <c r="N389" s="444">
        <f>SUM(N381:N388)</f>
        <v>22091.5</v>
      </c>
      <c r="O389" s="444">
        <f>SUM(O381:O388)</f>
        <v>4</v>
      </c>
      <c r="P389" s="444">
        <f>SUM(P381:P388)</f>
        <v>0</v>
      </c>
      <c r="Q389" s="444"/>
      <c r="R389" s="444"/>
      <c r="S389" s="444"/>
      <c r="T389" s="444"/>
      <c r="U389" s="444"/>
      <c r="V389" s="444">
        <f t="shared" ref="V389:AD389" si="159">SUM(V381:V388)</f>
        <v>6627.4500000000007</v>
      </c>
      <c r="W389" s="444">
        <f t="shared" si="159"/>
        <v>228.47500000000014</v>
      </c>
      <c r="X389" s="444">
        <f t="shared" si="159"/>
        <v>28947.425000000003</v>
      </c>
      <c r="Y389" s="444">
        <f t="shared" si="159"/>
        <v>25052.574999999997</v>
      </c>
      <c r="Z389" s="444">
        <f t="shared" si="159"/>
        <v>54000</v>
      </c>
      <c r="AA389" s="499">
        <f t="shared" si="159"/>
        <v>54000</v>
      </c>
      <c r="AB389" s="499">
        <f t="shared" si="159"/>
        <v>25052.574999999997</v>
      </c>
      <c r="AC389" s="444">
        <f t="shared" si="159"/>
        <v>26000</v>
      </c>
      <c r="AD389" s="444">
        <f t="shared" si="159"/>
        <v>228.47500000000014</v>
      </c>
      <c r="AE389" s="436"/>
      <c r="AF389" s="436"/>
      <c r="AG389" s="436"/>
      <c r="AH389" s="436"/>
      <c r="AI389" s="436"/>
      <c r="AJ389" s="436"/>
      <c r="AK389" s="437"/>
      <c r="AL389" s="437"/>
      <c r="AM389" s="437"/>
      <c r="AN389" s="437"/>
      <c r="AO389" s="437"/>
      <c r="AP389" s="437">
        <f t="shared" si="144"/>
        <v>0</v>
      </c>
      <c r="AQ389" s="437">
        <f t="shared" si="144"/>
        <v>0</v>
      </c>
      <c r="AR389" s="436"/>
      <c r="AS389" s="437">
        <f t="shared" si="147"/>
        <v>0</v>
      </c>
    </row>
    <row r="390" spans="1:45" s="456" customFormat="1" ht="24.95" customHeight="1">
      <c r="A390" s="455"/>
      <c r="B390" s="455"/>
      <c r="C390" s="1136" t="s">
        <v>545</v>
      </c>
      <c r="D390" s="1136"/>
      <c r="E390" s="455"/>
      <c r="F390" s="455"/>
      <c r="G390" s="455"/>
      <c r="H390" s="455"/>
      <c r="I390" s="455"/>
      <c r="J390" s="455"/>
      <c r="K390" s="455"/>
      <c r="L390" s="455"/>
      <c r="M390" s="455"/>
      <c r="N390" s="455"/>
      <c r="O390" s="455"/>
      <c r="P390" s="455"/>
      <c r="Q390" s="455"/>
      <c r="R390" s="455"/>
      <c r="S390" s="455"/>
      <c r="T390" s="455"/>
      <c r="U390" s="455"/>
      <c r="V390" s="455"/>
      <c r="W390" s="455"/>
      <c r="X390" s="455"/>
      <c r="Y390" s="455"/>
      <c r="Z390" s="455"/>
      <c r="AA390" s="504"/>
      <c r="AB390" s="504"/>
      <c r="AC390" s="455"/>
      <c r="AD390" s="455"/>
      <c r="AE390" s="436">
        <f t="shared" si="149"/>
        <v>0</v>
      </c>
      <c r="AF390" s="436">
        <f t="shared" si="150"/>
        <v>0</v>
      </c>
      <c r="AG390" s="436">
        <f t="shared" si="151"/>
        <v>0</v>
      </c>
      <c r="AH390" s="436">
        <f t="shared" si="152"/>
        <v>0</v>
      </c>
      <c r="AI390" s="436">
        <f t="shared" si="153"/>
        <v>0</v>
      </c>
      <c r="AJ390" s="436">
        <f t="shared" si="153"/>
        <v>0</v>
      </c>
      <c r="AK390" s="437">
        <f t="shared" si="154"/>
        <v>0</v>
      </c>
      <c r="AL390" s="437">
        <f t="shared" si="155"/>
        <v>0</v>
      </c>
      <c r="AM390" s="437">
        <f t="shared" si="156"/>
        <v>0</v>
      </c>
      <c r="AN390" s="437">
        <f t="shared" si="145"/>
        <v>0</v>
      </c>
      <c r="AO390" s="437">
        <f t="shared" si="146"/>
        <v>0</v>
      </c>
      <c r="AP390" s="437">
        <f t="shared" si="144"/>
        <v>0</v>
      </c>
      <c r="AQ390" s="437">
        <f t="shared" si="144"/>
        <v>0</v>
      </c>
      <c r="AR390" s="436"/>
      <c r="AS390" s="437">
        <f t="shared" si="147"/>
        <v>0</v>
      </c>
    </row>
    <row r="391" spans="1:45" s="438" customFormat="1" ht="24.95" customHeight="1">
      <c r="A391" s="1134"/>
      <c r="B391" s="1134"/>
      <c r="C391" s="1141" t="s">
        <v>590</v>
      </c>
      <c r="D391" s="1134" t="s">
        <v>707</v>
      </c>
      <c r="E391" s="1134" t="s">
        <v>708</v>
      </c>
      <c r="F391" s="1134">
        <v>9</v>
      </c>
      <c r="G391" s="1112">
        <v>5005</v>
      </c>
      <c r="H391" s="435">
        <v>0.1</v>
      </c>
      <c r="I391" s="1138"/>
      <c r="J391" s="1138"/>
      <c r="K391" s="1112"/>
      <c r="L391" s="435">
        <v>0.15</v>
      </c>
      <c r="M391" s="1140"/>
      <c r="N391" s="1112">
        <f>G391+H392+K392+L392</f>
        <v>6331.3249999999998</v>
      </c>
      <c r="O391" s="1112">
        <v>1</v>
      </c>
      <c r="P391" s="1112"/>
      <c r="Q391" s="1140"/>
      <c r="R391" s="1140"/>
      <c r="S391" s="1140"/>
      <c r="T391" s="1134">
        <v>21</v>
      </c>
      <c r="U391" s="1138">
        <v>0.3</v>
      </c>
      <c r="V391" s="1112">
        <f>N391*U391</f>
        <v>1899.3974999999998</v>
      </c>
      <c r="W391" s="1112"/>
      <c r="X391" s="1112">
        <f>(N391+V391)*O391+W391</f>
        <v>8230.7224999999999</v>
      </c>
      <c r="Y391" s="1112">
        <f>AB391</f>
        <v>5269.2775000000001</v>
      </c>
      <c r="Z391" s="1112">
        <f>X391+Y391</f>
        <v>13500</v>
      </c>
      <c r="AA391" s="1109">
        <f>13500*O391</f>
        <v>13500</v>
      </c>
      <c r="AB391" s="1109">
        <f>AA391-X391</f>
        <v>5269.2775000000001</v>
      </c>
      <c r="AC391" s="1112">
        <f>6500*O391</f>
        <v>6500</v>
      </c>
      <c r="AD391" s="1112"/>
      <c r="AE391" s="436">
        <f t="shared" si="149"/>
        <v>5005</v>
      </c>
      <c r="AF391" s="436">
        <f t="shared" si="150"/>
        <v>0</v>
      </c>
      <c r="AG391" s="436">
        <f t="shared" si="151"/>
        <v>6331.3249999999998</v>
      </c>
      <c r="AH391" s="436">
        <f t="shared" si="152"/>
        <v>0</v>
      </c>
      <c r="AI391" s="436">
        <f t="shared" si="153"/>
        <v>1326.3249999999998</v>
      </c>
      <c r="AJ391" s="436">
        <f t="shared" si="153"/>
        <v>0</v>
      </c>
      <c r="AK391" s="437">
        <f t="shared" si="154"/>
        <v>1899.3974999999998</v>
      </c>
      <c r="AL391" s="437">
        <f t="shared" si="155"/>
        <v>0</v>
      </c>
      <c r="AM391" s="437">
        <f t="shared" si="156"/>
        <v>0</v>
      </c>
      <c r="AN391" s="437">
        <f t="shared" si="145"/>
        <v>0</v>
      </c>
      <c r="AO391" s="437">
        <f t="shared" si="146"/>
        <v>0</v>
      </c>
      <c r="AP391" s="437">
        <f t="shared" si="144"/>
        <v>6331.3249999999998</v>
      </c>
      <c r="AQ391" s="437">
        <f t="shared" si="144"/>
        <v>0</v>
      </c>
      <c r="AR391" s="436"/>
      <c r="AS391" s="437">
        <f t="shared" si="147"/>
        <v>6331.3249999999998</v>
      </c>
    </row>
    <row r="392" spans="1:45" s="438" customFormat="1" ht="24.95" customHeight="1">
      <c r="A392" s="1134"/>
      <c r="B392" s="1134"/>
      <c r="C392" s="1141"/>
      <c r="D392" s="1134"/>
      <c r="E392" s="1134"/>
      <c r="F392" s="1134"/>
      <c r="G392" s="1112"/>
      <c r="H392" s="449">
        <f>G391*H391</f>
        <v>500.5</v>
      </c>
      <c r="I392" s="1134"/>
      <c r="J392" s="1134"/>
      <c r="K392" s="1112"/>
      <c r="L392" s="439">
        <f>(G391+H392)*L391</f>
        <v>825.82499999999993</v>
      </c>
      <c r="M392" s="1140"/>
      <c r="N392" s="1112"/>
      <c r="O392" s="1112"/>
      <c r="P392" s="1112"/>
      <c r="Q392" s="1140"/>
      <c r="R392" s="1140"/>
      <c r="S392" s="1140"/>
      <c r="T392" s="1134"/>
      <c r="U392" s="1138"/>
      <c r="V392" s="1112"/>
      <c r="W392" s="1112"/>
      <c r="X392" s="1112"/>
      <c r="Y392" s="1112"/>
      <c r="Z392" s="1112"/>
      <c r="AA392" s="1109"/>
      <c r="AB392" s="1109"/>
      <c r="AC392" s="1112"/>
      <c r="AD392" s="1112"/>
      <c r="AE392" s="436">
        <f t="shared" si="149"/>
        <v>0</v>
      </c>
      <c r="AF392" s="436">
        <f t="shared" si="150"/>
        <v>0</v>
      </c>
      <c r="AG392" s="436">
        <f t="shared" si="151"/>
        <v>0</v>
      </c>
      <c r="AH392" s="436">
        <f t="shared" si="152"/>
        <v>0</v>
      </c>
      <c r="AI392" s="436">
        <f t="shared" si="153"/>
        <v>0</v>
      </c>
      <c r="AJ392" s="436">
        <f t="shared" si="153"/>
        <v>0</v>
      </c>
      <c r="AK392" s="437">
        <f t="shared" si="154"/>
        <v>0</v>
      </c>
      <c r="AL392" s="437">
        <f t="shared" si="155"/>
        <v>0</v>
      </c>
      <c r="AM392" s="437">
        <f t="shared" si="156"/>
        <v>0</v>
      </c>
      <c r="AN392" s="437">
        <f t="shared" si="145"/>
        <v>0</v>
      </c>
      <c r="AO392" s="437">
        <f t="shared" si="146"/>
        <v>0</v>
      </c>
      <c r="AP392" s="437">
        <f t="shared" si="144"/>
        <v>0</v>
      </c>
      <c r="AQ392" s="437">
        <f t="shared" si="144"/>
        <v>0</v>
      </c>
      <c r="AR392" s="436"/>
      <c r="AS392" s="437">
        <f t="shared" si="147"/>
        <v>0</v>
      </c>
    </row>
    <row r="393" spans="1:45" s="438" customFormat="1" ht="24.95" customHeight="1">
      <c r="A393" s="1134"/>
      <c r="B393" s="1134"/>
      <c r="C393" s="1139" t="s">
        <v>705</v>
      </c>
      <c r="D393" s="1134" t="s">
        <v>651</v>
      </c>
      <c r="E393" s="1134" t="s">
        <v>706</v>
      </c>
      <c r="F393" s="1134">
        <v>9</v>
      </c>
      <c r="G393" s="1112">
        <v>5005</v>
      </c>
      <c r="H393" s="1112"/>
      <c r="I393" s="1112"/>
      <c r="J393" s="1112"/>
      <c r="K393" s="1112"/>
      <c r="L393" s="435">
        <v>0.15</v>
      </c>
      <c r="M393" s="1112"/>
      <c r="N393" s="1112">
        <f>G393+H394+K394+L394</f>
        <v>5755.75</v>
      </c>
      <c r="O393" s="1112">
        <v>1</v>
      </c>
      <c r="P393" s="1112"/>
      <c r="Q393" s="1112"/>
      <c r="R393" s="1112"/>
      <c r="S393" s="1112"/>
      <c r="T393" s="1134">
        <v>17</v>
      </c>
      <c r="U393" s="1138">
        <v>0.2</v>
      </c>
      <c r="V393" s="1112">
        <f>N393*U393</f>
        <v>1151.1500000000001</v>
      </c>
      <c r="W393" s="1112"/>
      <c r="X393" s="1112">
        <f>(N393+V393)*O393</f>
        <v>6906.9</v>
      </c>
      <c r="Y393" s="1112">
        <f>AB393</f>
        <v>6593.1</v>
      </c>
      <c r="Z393" s="1112">
        <f>X393+Y393</f>
        <v>13500</v>
      </c>
      <c r="AA393" s="1109">
        <f>13500*O393</f>
        <v>13500</v>
      </c>
      <c r="AB393" s="1109">
        <f>AA393-X393</f>
        <v>6593.1</v>
      </c>
      <c r="AC393" s="1112">
        <f>6500*O393</f>
        <v>6500</v>
      </c>
      <c r="AD393" s="1112"/>
      <c r="AE393" s="436">
        <f>G393*O393</f>
        <v>5005</v>
      </c>
      <c r="AF393" s="436">
        <f>G393*P393</f>
        <v>0</v>
      </c>
      <c r="AG393" s="436">
        <f>N393*O393</f>
        <v>5755.75</v>
      </c>
      <c r="AH393" s="436">
        <f>N393*P393</f>
        <v>0</v>
      </c>
      <c r="AI393" s="436">
        <f>AG393-AE393</f>
        <v>750.75</v>
      </c>
      <c r="AJ393" s="436">
        <f>AH393-AF393</f>
        <v>0</v>
      </c>
      <c r="AK393" s="437">
        <f>V393*O393</f>
        <v>1151.1500000000001</v>
      </c>
      <c r="AL393" s="437">
        <f>V393*P393</f>
        <v>0</v>
      </c>
      <c r="AM393" s="437">
        <f>W393</f>
        <v>0</v>
      </c>
      <c r="AN393" s="437">
        <f>S393*O393</f>
        <v>0</v>
      </c>
      <c r="AO393" s="437">
        <f>S393*P393</f>
        <v>0</v>
      </c>
      <c r="AP393" s="437">
        <f>AG393</f>
        <v>5755.75</v>
      </c>
      <c r="AQ393" s="437">
        <f>AH393</f>
        <v>0</v>
      </c>
      <c r="AR393" s="436"/>
      <c r="AS393" s="437">
        <f>AP393+AQ393-AR393</f>
        <v>5755.75</v>
      </c>
    </row>
    <row r="394" spans="1:45" s="438" customFormat="1" ht="24.95" customHeight="1">
      <c r="A394" s="1134"/>
      <c r="B394" s="1134"/>
      <c r="C394" s="1139"/>
      <c r="D394" s="1134"/>
      <c r="E394" s="1134"/>
      <c r="F394" s="1134"/>
      <c r="G394" s="1112"/>
      <c r="H394" s="1112"/>
      <c r="I394" s="1112"/>
      <c r="J394" s="1112"/>
      <c r="K394" s="1112"/>
      <c r="L394" s="439">
        <f>G393*L393</f>
        <v>750.75</v>
      </c>
      <c r="M394" s="1112"/>
      <c r="N394" s="1112"/>
      <c r="O394" s="1112"/>
      <c r="P394" s="1112"/>
      <c r="Q394" s="1112"/>
      <c r="R394" s="1112"/>
      <c r="S394" s="1112"/>
      <c r="T394" s="1134"/>
      <c r="U394" s="1138"/>
      <c r="V394" s="1112"/>
      <c r="W394" s="1112"/>
      <c r="X394" s="1112"/>
      <c r="Y394" s="1112"/>
      <c r="Z394" s="1112"/>
      <c r="AA394" s="1109"/>
      <c r="AB394" s="1109"/>
      <c r="AC394" s="1112"/>
      <c r="AD394" s="1112"/>
      <c r="AE394" s="436">
        <f>G394*O394</f>
        <v>0</v>
      </c>
      <c r="AF394" s="436">
        <f>G394*P394</f>
        <v>0</v>
      </c>
      <c r="AG394" s="436">
        <f>N394*O394</f>
        <v>0</v>
      </c>
      <c r="AH394" s="436">
        <f>N394*P394</f>
        <v>0</v>
      </c>
      <c r="AI394" s="436">
        <f>AG394-AE394</f>
        <v>0</v>
      </c>
      <c r="AJ394" s="436">
        <f>AH394-AF394</f>
        <v>0</v>
      </c>
      <c r="AK394" s="437">
        <f>V394*O394</f>
        <v>0</v>
      </c>
      <c r="AL394" s="437">
        <f>V394*P394</f>
        <v>0</v>
      </c>
      <c r="AM394" s="437">
        <f>W394</f>
        <v>0</v>
      </c>
      <c r="AN394" s="437">
        <f>S394*O394</f>
        <v>0</v>
      </c>
      <c r="AO394" s="437">
        <f>S394*P394</f>
        <v>0</v>
      </c>
      <c r="AP394" s="437">
        <f>AG394</f>
        <v>0</v>
      </c>
      <c r="AQ394" s="437">
        <f>AH394</f>
        <v>0</v>
      </c>
      <c r="AR394" s="436"/>
      <c r="AS394" s="437">
        <f>AP394+AQ394-AR394</f>
        <v>0</v>
      </c>
    </row>
    <row r="395" spans="1:45" s="438" customFormat="1" ht="24.95" customHeight="1">
      <c r="A395" s="1134"/>
      <c r="B395" s="1134"/>
      <c r="C395" s="1139" t="s">
        <v>705</v>
      </c>
      <c r="D395" s="1134" t="s">
        <v>709</v>
      </c>
      <c r="E395" s="1134" t="s">
        <v>710</v>
      </c>
      <c r="F395" s="1134">
        <v>9</v>
      </c>
      <c r="G395" s="1112">
        <v>5005</v>
      </c>
      <c r="H395" s="1112"/>
      <c r="I395" s="1112"/>
      <c r="J395" s="1112"/>
      <c r="K395" s="1112"/>
      <c r="L395" s="435">
        <v>0.15</v>
      </c>
      <c r="M395" s="1112"/>
      <c r="N395" s="1112">
        <f>G395+H396+K396+L396</f>
        <v>5755.75</v>
      </c>
      <c r="O395" s="1112">
        <v>1</v>
      </c>
      <c r="P395" s="1140"/>
      <c r="Q395" s="1140"/>
      <c r="R395" s="1140"/>
      <c r="S395" s="1140"/>
      <c r="T395" s="1134">
        <v>26</v>
      </c>
      <c r="U395" s="1138">
        <v>0.3</v>
      </c>
      <c r="V395" s="1112">
        <f>N395*U395</f>
        <v>1726.7249999999999</v>
      </c>
      <c r="W395" s="1112"/>
      <c r="X395" s="1112">
        <f>(N395+V395)*O395</f>
        <v>7482.4750000000004</v>
      </c>
      <c r="Y395" s="1112">
        <f>AB395</f>
        <v>6017.5249999999996</v>
      </c>
      <c r="Z395" s="1112">
        <f>X395+Y395</f>
        <v>13500</v>
      </c>
      <c r="AA395" s="1109">
        <f>13500*O395</f>
        <v>13500</v>
      </c>
      <c r="AB395" s="1109">
        <f>AA395-X395</f>
        <v>6017.5249999999996</v>
      </c>
      <c r="AC395" s="1112">
        <f>6500*O395</f>
        <v>6500</v>
      </c>
      <c r="AD395" s="1112"/>
      <c r="AE395" s="436">
        <f t="shared" si="149"/>
        <v>5005</v>
      </c>
      <c r="AF395" s="436">
        <f t="shared" si="150"/>
        <v>0</v>
      </c>
      <c r="AG395" s="436">
        <f t="shared" si="151"/>
        <v>5755.75</v>
      </c>
      <c r="AH395" s="436">
        <f t="shared" si="152"/>
        <v>0</v>
      </c>
      <c r="AI395" s="436">
        <f t="shared" si="153"/>
        <v>750.75</v>
      </c>
      <c r="AJ395" s="436">
        <f t="shared" si="153"/>
        <v>0</v>
      </c>
      <c r="AK395" s="437">
        <f t="shared" si="154"/>
        <v>1726.7249999999999</v>
      </c>
      <c r="AL395" s="437">
        <f t="shared" si="155"/>
        <v>0</v>
      </c>
      <c r="AM395" s="437">
        <f t="shared" si="156"/>
        <v>0</v>
      </c>
      <c r="AN395" s="437">
        <f t="shared" si="145"/>
        <v>0</v>
      </c>
      <c r="AO395" s="437">
        <f t="shared" si="146"/>
        <v>0</v>
      </c>
      <c r="AP395" s="437">
        <f t="shared" si="144"/>
        <v>5755.75</v>
      </c>
      <c r="AQ395" s="437">
        <f t="shared" si="144"/>
        <v>0</v>
      </c>
      <c r="AR395" s="436"/>
      <c r="AS395" s="437">
        <f t="shared" si="147"/>
        <v>5755.75</v>
      </c>
    </row>
    <row r="396" spans="1:45" s="438" customFormat="1" ht="24.95" customHeight="1">
      <c r="A396" s="1134"/>
      <c r="B396" s="1134"/>
      <c r="C396" s="1139"/>
      <c r="D396" s="1134"/>
      <c r="E396" s="1134"/>
      <c r="F396" s="1134"/>
      <c r="G396" s="1134"/>
      <c r="H396" s="1112"/>
      <c r="I396" s="1112"/>
      <c r="J396" s="1112"/>
      <c r="K396" s="1112"/>
      <c r="L396" s="439">
        <f>G395*L395</f>
        <v>750.75</v>
      </c>
      <c r="M396" s="1112"/>
      <c r="N396" s="1112"/>
      <c r="O396" s="1112"/>
      <c r="P396" s="1140"/>
      <c r="Q396" s="1140"/>
      <c r="R396" s="1140"/>
      <c r="S396" s="1140"/>
      <c r="T396" s="1134"/>
      <c r="U396" s="1138"/>
      <c r="V396" s="1112"/>
      <c r="W396" s="1112"/>
      <c r="X396" s="1112"/>
      <c r="Y396" s="1112"/>
      <c r="Z396" s="1112"/>
      <c r="AA396" s="1109"/>
      <c r="AB396" s="1109"/>
      <c r="AC396" s="1112"/>
      <c r="AD396" s="1112"/>
      <c r="AE396" s="436">
        <f t="shared" si="149"/>
        <v>0</v>
      </c>
      <c r="AF396" s="436">
        <f t="shared" si="150"/>
        <v>0</v>
      </c>
      <c r="AG396" s="436">
        <f t="shared" si="151"/>
        <v>0</v>
      </c>
      <c r="AH396" s="436">
        <f t="shared" si="152"/>
        <v>0</v>
      </c>
      <c r="AI396" s="436">
        <f t="shared" si="153"/>
        <v>0</v>
      </c>
      <c r="AJ396" s="436">
        <f t="shared" si="153"/>
        <v>0</v>
      </c>
      <c r="AK396" s="437">
        <f t="shared" si="154"/>
        <v>0</v>
      </c>
      <c r="AL396" s="437">
        <f t="shared" si="155"/>
        <v>0</v>
      </c>
      <c r="AM396" s="437">
        <f t="shared" si="156"/>
        <v>0</v>
      </c>
      <c r="AN396" s="437">
        <f t="shared" si="145"/>
        <v>0</v>
      </c>
      <c r="AO396" s="437">
        <f t="shared" si="146"/>
        <v>0</v>
      </c>
      <c r="AP396" s="437">
        <f t="shared" si="144"/>
        <v>0</v>
      </c>
      <c r="AQ396" s="437">
        <f t="shared" si="144"/>
        <v>0</v>
      </c>
      <c r="AR396" s="436"/>
      <c r="AS396" s="437">
        <f t="shared" si="147"/>
        <v>0</v>
      </c>
    </row>
    <row r="397" spans="1:45" s="438" customFormat="1" ht="24.95" customHeight="1">
      <c r="A397" s="1134"/>
      <c r="B397" s="1134"/>
      <c r="C397" s="1139" t="s">
        <v>705</v>
      </c>
      <c r="D397" s="1134" t="s">
        <v>711</v>
      </c>
      <c r="E397" s="1134" t="s">
        <v>712</v>
      </c>
      <c r="F397" s="1134">
        <v>9</v>
      </c>
      <c r="G397" s="1112">
        <v>5005</v>
      </c>
      <c r="H397" s="1112"/>
      <c r="I397" s="1112"/>
      <c r="J397" s="1112"/>
      <c r="K397" s="1112"/>
      <c r="L397" s="435">
        <v>0.15</v>
      </c>
      <c r="M397" s="1112"/>
      <c r="N397" s="1112">
        <f>G397+H398+K398+L398</f>
        <v>5755.75</v>
      </c>
      <c r="O397" s="1112">
        <v>1</v>
      </c>
      <c r="P397" s="1112"/>
      <c r="Q397" s="1112"/>
      <c r="R397" s="1112"/>
      <c r="S397" s="1112"/>
      <c r="T397" s="1134">
        <v>24</v>
      </c>
      <c r="U397" s="1138">
        <v>0.3</v>
      </c>
      <c r="V397" s="1112">
        <f>N397*U397</f>
        <v>1726.7249999999999</v>
      </c>
      <c r="W397" s="1112"/>
      <c r="X397" s="1112">
        <f>(N397+V397)*O397</f>
        <v>7482.4750000000004</v>
      </c>
      <c r="Y397" s="1112">
        <f>AB397</f>
        <v>6017.5249999999996</v>
      </c>
      <c r="Z397" s="1112">
        <f>X397+Y397</f>
        <v>13500</v>
      </c>
      <c r="AA397" s="1109">
        <f>13500*O397</f>
        <v>13500</v>
      </c>
      <c r="AB397" s="1109">
        <f>AA397-X397</f>
        <v>6017.5249999999996</v>
      </c>
      <c r="AC397" s="1112">
        <f>6500*O397</f>
        <v>6500</v>
      </c>
      <c r="AD397" s="1112"/>
      <c r="AE397" s="436">
        <f t="shared" si="149"/>
        <v>5005</v>
      </c>
      <c r="AF397" s="436">
        <f t="shared" si="150"/>
        <v>0</v>
      </c>
      <c r="AG397" s="436">
        <f t="shared" si="151"/>
        <v>5755.75</v>
      </c>
      <c r="AH397" s="436">
        <f t="shared" si="152"/>
        <v>0</v>
      </c>
      <c r="AI397" s="436">
        <f t="shared" si="153"/>
        <v>750.75</v>
      </c>
      <c r="AJ397" s="436">
        <f t="shared" si="153"/>
        <v>0</v>
      </c>
      <c r="AK397" s="437">
        <f t="shared" si="154"/>
        <v>1726.7249999999999</v>
      </c>
      <c r="AL397" s="437">
        <f t="shared" si="155"/>
        <v>0</v>
      </c>
      <c r="AM397" s="437">
        <f t="shared" si="156"/>
        <v>0</v>
      </c>
      <c r="AN397" s="437">
        <f t="shared" si="145"/>
        <v>0</v>
      </c>
      <c r="AO397" s="437">
        <f t="shared" si="146"/>
        <v>0</v>
      </c>
      <c r="AP397" s="437">
        <f t="shared" si="144"/>
        <v>5755.75</v>
      </c>
      <c r="AQ397" s="437">
        <f t="shared" si="144"/>
        <v>0</v>
      </c>
      <c r="AR397" s="436"/>
      <c r="AS397" s="437">
        <f t="shared" si="147"/>
        <v>5755.75</v>
      </c>
    </row>
    <row r="398" spans="1:45" s="438" customFormat="1" ht="24.95" customHeight="1">
      <c r="A398" s="1134"/>
      <c r="B398" s="1134"/>
      <c r="C398" s="1139"/>
      <c r="D398" s="1134"/>
      <c r="E398" s="1134"/>
      <c r="F398" s="1134"/>
      <c r="G398" s="1112"/>
      <c r="H398" s="1112"/>
      <c r="I398" s="1112"/>
      <c r="J398" s="1112"/>
      <c r="K398" s="1112"/>
      <c r="L398" s="439">
        <f>G397*L397</f>
        <v>750.75</v>
      </c>
      <c r="M398" s="1112"/>
      <c r="N398" s="1112"/>
      <c r="O398" s="1112"/>
      <c r="P398" s="1112"/>
      <c r="Q398" s="1112"/>
      <c r="R398" s="1112"/>
      <c r="S398" s="1112"/>
      <c r="T398" s="1134"/>
      <c r="U398" s="1138"/>
      <c r="V398" s="1112"/>
      <c r="W398" s="1112"/>
      <c r="X398" s="1112"/>
      <c r="Y398" s="1112"/>
      <c r="Z398" s="1112"/>
      <c r="AA398" s="1109"/>
      <c r="AB398" s="1109"/>
      <c r="AC398" s="1112"/>
      <c r="AD398" s="1112"/>
      <c r="AE398" s="436">
        <f t="shared" si="149"/>
        <v>0</v>
      </c>
      <c r="AF398" s="436">
        <f t="shared" si="150"/>
        <v>0</v>
      </c>
      <c r="AG398" s="436">
        <f t="shared" si="151"/>
        <v>0</v>
      </c>
      <c r="AH398" s="436">
        <f t="shared" si="152"/>
        <v>0</v>
      </c>
      <c r="AI398" s="436">
        <f t="shared" si="153"/>
        <v>0</v>
      </c>
      <c r="AJ398" s="436">
        <f t="shared" si="153"/>
        <v>0</v>
      </c>
      <c r="AK398" s="437">
        <f t="shared" si="154"/>
        <v>0</v>
      </c>
      <c r="AL398" s="437">
        <f t="shared" si="155"/>
        <v>0</v>
      </c>
      <c r="AM398" s="437">
        <f t="shared" si="156"/>
        <v>0</v>
      </c>
      <c r="AN398" s="437">
        <f t="shared" si="145"/>
        <v>0</v>
      </c>
      <c r="AO398" s="437">
        <f t="shared" si="146"/>
        <v>0</v>
      </c>
      <c r="AP398" s="437">
        <f t="shared" si="144"/>
        <v>0</v>
      </c>
      <c r="AQ398" s="437">
        <f t="shared" si="144"/>
        <v>0</v>
      </c>
      <c r="AR398" s="436"/>
      <c r="AS398" s="437">
        <f t="shared" si="147"/>
        <v>0</v>
      </c>
    </row>
    <row r="399" spans="1:45" s="438" customFormat="1" ht="24.95" customHeight="1">
      <c r="A399" s="1134"/>
      <c r="B399" s="1134"/>
      <c r="C399" s="1139" t="s">
        <v>713</v>
      </c>
      <c r="D399" s="1134" t="s">
        <v>1066</v>
      </c>
      <c r="E399" s="1134" t="s">
        <v>714</v>
      </c>
      <c r="F399" s="1134">
        <v>9</v>
      </c>
      <c r="G399" s="1112">
        <v>5005</v>
      </c>
      <c r="H399" s="1112"/>
      <c r="I399" s="1112"/>
      <c r="J399" s="1112"/>
      <c r="K399" s="1112"/>
      <c r="L399" s="1112"/>
      <c r="M399" s="1112"/>
      <c r="N399" s="1112">
        <f>G399+H400+K400+L400</f>
        <v>5005</v>
      </c>
      <c r="O399" s="1112">
        <v>1</v>
      </c>
      <c r="P399" s="1112"/>
      <c r="Q399" s="1112"/>
      <c r="R399" s="1112"/>
      <c r="S399" s="1112"/>
      <c r="T399" s="1134">
        <v>24</v>
      </c>
      <c r="U399" s="1138">
        <v>0.3</v>
      </c>
      <c r="V399" s="1112">
        <f>N399*U399</f>
        <v>1501.5</v>
      </c>
      <c r="W399" s="1112"/>
      <c r="X399" s="1112">
        <f>(N399+V399)*O399</f>
        <v>6506.5</v>
      </c>
      <c r="Y399" s="1112">
        <f>AB399</f>
        <v>6993.5</v>
      </c>
      <c r="Z399" s="1112">
        <f>X399+Y399</f>
        <v>13500</v>
      </c>
      <c r="AA399" s="1109">
        <f>13500*O399</f>
        <v>13500</v>
      </c>
      <c r="AB399" s="1109">
        <f>AA399-X399</f>
        <v>6993.5</v>
      </c>
      <c r="AC399" s="1112">
        <f>6500*O399</f>
        <v>6500</v>
      </c>
      <c r="AD399" s="1112"/>
      <c r="AE399" s="436">
        <f t="shared" si="149"/>
        <v>5005</v>
      </c>
      <c r="AF399" s="436">
        <f t="shared" si="150"/>
        <v>0</v>
      </c>
      <c r="AG399" s="436">
        <f t="shared" si="151"/>
        <v>5005</v>
      </c>
      <c r="AH399" s="436">
        <f t="shared" si="152"/>
        <v>0</v>
      </c>
      <c r="AI399" s="436">
        <f t="shared" si="153"/>
        <v>0</v>
      </c>
      <c r="AJ399" s="436">
        <f t="shared" si="153"/>
        <v>0</v>
      </c>
      <c r="AK399" s="437">
        <f t="shared" si="154"/>
        <v>1501.5</v>
      </c>
      <c r="AL399" s="437">
        <f t="shared" si="155"/>
        <v>0</v>
      </c>
      <c r="AM399" s="437">
        <f t="shared" si="156"/>
        <v>0</v>
      </c>
      <c r="AN399" s="437">
        <f t="shared" si="145"/>
        <v>0</v>
      </c>
      <c r="AO399" s="437">
        <f t="shared" si="146"/>
        <v>0</v>
      </c>
      <c r="AP399" s="437">
        <f t="shared" ref="AP399:AQ468" si="160">AG399</f>
        <v>5005</v>
      </c>
      <c r="AQ399" s="437">
        <f t="shared" si="160"/>
        <v>0</v>
      </c>
      <c r="AR399" s="436"/>
      <c r="AS399" s="437">
        <f t="shared" si="147"/>
        <v>5005</v>
      </c>
    </row>
    <row r="400" spans="1:45" s="438" customFormat="1" ht="24.95" customHeight="1">
      <c r="A400" s="1134"/>
      <c r="B400" s="1134"/>
      <c r="C400" s="1139"/>
      <c r="D400" s="1134"/>
      <c r="E400" s="1134"/>
      <c r="F400" s="1134"/>
      <c r="G400" s="1112"/>
      <c r="H400" s="1112"/>
      <c r="I400" s="1112"/>
      <c r="J400" s="1112"/>
      <c r="K400" s="1112"/>
      <c r="L400" s="1112"/>
      <c r="M400" s="1112"/>
      <c r="N400" s="1112"/>
      <c r="O400" s="1112"/>
      <c r="P400" s="1112"/>
      <c r="Q400" s="1112"/>
      <c r="R400" s="1112"/>
      <c r="S400" s="1112"/>
      <c r="T400" s="1134"/>
      <c r="U400" s="1138"/>
      <c r="V400" s="1112"/>
      <c r="W400" s="1112"/>
      <c r="X400" s="1112"/>
      <c r="Y400" s="1112"/>
      <c r="Z400" s="1112"/>
      <c r="AA400" s="1109"/>
      <c r="AB400" s="1109"/>
      <c r="AC400" s="1112"/>
      <c r="AD400" s="1112"/>
      <c r="AE400" s="436">
        <f t="shared" si="149"/>
        <v>0</v>
      </c>
      <c r="AF400" s="436">
        <f t="shared" si="150"/>
        <v>0</v>
      </c>
      <c r="AG400" s="436">
        <f t="shared" si="151"/>
        <v>0</v>
      </c>
      <c r="AH400" s="436">
        <f t="shared" si="152"/>
        <v>0</v>
      </c>
      <c r="AI400" s="436">
        <f t="shared" si="153"/>
        <v>0</v>
      </c>
      <c r="AJ400" s="436">
        <f t="shared" si="153"/>
        <v>0</v>
      </c>
      <c r="AK400" s="437">
        <f t="shared" si="154"/>
        <v>0</v>
      </c>
      <c r="AL400" s="437">
        <f t="shared" si="155"/>
        <v>0</v>
      </c>
      <c r="AM400" s="437">
        <f t="shared" si="156"/>
        <v>0</v>
      </c>
      <c r="AN400" s="437">
        <f t="shared" si="145"/>
        <v>0</v>
      </c>
      <c r="AO400" s="437">
        <f t="shared" si="146"/>
        <v>0</v>
      </c>
      <c r="AP400" s="437">
        <f t="shared" si="160"/>
        <v>0</v>
      </c>
      <c r="AQ400" s="437">
        <f t="shared" si="160"/>
        <v>0</v>
      </c>
      <c r="AR400" s="436"/>
      <c r="AS400" s="437">
        <f t="shared" si="147"/>
        <v>0</v>
      </c>
    </row>
    <row r="401" spans="1:45" s="438" customFormat="1" ht="24.95" customHeight="1">
      <c r="A401" s="1134"/>
      <c r="B401" s="1134"/>
      <c r="C401" s="1139" t="s">
        <v>715</v>
      </c>
      <c r="D401" s="1134" t="s">
        <v>603</v>
      </c>
      <c r="E401" s="1134" t="s">
        <v>716</v>
      </c>
      <c r="F401" s="1134">
        <v>8</v>
      </c>
      <c r="G401" s="1112">
        <v>4745</v>
      </c>
      <c r="H401" s="1112"/>
      <c r="I401" s="1112"/>
      <c r="J401" s="1112"/>
      <c r="K401" s="1112"/>
      <c r="L401" s="1112"/>
      <c r="M401" s="1112"/>
      <c r="N401" s="1112">
        <f>G401+H402+K402+L402</f>
        <v>4745</v>
      </c>
      <c r="O401" s="1112">
        <v>1</v>
      </c>
      <c r="P401" s="1112"/>
      <c r="Q401" s="1112"/>
      <c r="R401" s="1112"/>
      <c r="S401" s="1112"/>
      <c r="T401" s="1134">
        <v>14</v>
      </c>
      <c r="U401" s="1138">
        <v>0.2</v>
      </c>
      <c r="V401" s="1112">
        <f>N401*U401</f>
        <v>949</v>
      </c>
      <c r="W401" s="1112">
        <f>AD401</f>
        <v>806</v>
      </c>
      <c r="X401" s="1112">
        <f>(N401+V401)*O401+W401</f>
        <v>6500</v>
      </c>
      <c r="Y401" s="1112">
        <f>AB401</f>
        <v>7000</v>
      </c>
      <c r="Z401" s="1112">
        <f>X401+Y401</f>
        <v>13500</v>
      </c>
      <c r="AA401" s="1109">
        <f>13500*O401</f>
        <v>13500</v>
      </c>
      <c r="AB401" s="1109">
        <f>AA401-X401</f>
        <v>7000</v>
      </c>
      <c r="AC401" s="1112">
        <f>6500*O401</f>
        <v>6500</v>
      </c>
      <c r="AD401" s="1112">
        <f>AC401-(N401*O401)-V401</f>
        <v>806</v>
      </c>
      <c r="AE401" s="436">
        <f t="shared" si="149"/>
        <v>4745</v>
      </c>
      <c r="AF401" s="436">
        <f t="shared" si="150"/>
        <v>0</v>
      </c>
      <c r="AG401" s="436">
        <f t="shared" si="151"/>
        <v>4745</v>
      </c>
      <c r="AH401" s="436">
        <f t="shared" si="152"/>
        <v>0</v>
      </c>
      <c r="AI401" s="436">
        <f t="shared" si="153"/>
        <v>0</v>
      </c>
      <c r="AJ401" s="436">
        <f t="shared" si="153"/>
        <v>0</v>
      </c>
      <c r="AK401" s="437">
        <f t="shared" si="154"/>
        <v>949</v>
      </c>
      <c r="AL401" s="437">
        <f t="shared" si="155"/>
        <v>0</v>
      </c>
      <c r="AM401" s="437">
        <f t="shared" si="156"/>
        <v>806</v>
      </c>
      <c r="AN401" s="437">
        <f t="shared" si="145"/>
        <v>0</v>
      </c>
      <c r="AO401" s="437">
        <f t="shared" si="146"/>
        <v>0</v>
      </c>
      <c r="AP401" s="437">
        <f t="shared" si="160"/>
        <v>4745</v>
      </c>
      <c r="AQ401" s="437">
        <f t="shared" si="160"/>
        <v>0</v>
      </c>
      <c r="AR401" s="436"/>
      <c r="AS401" s="437">
        <f t="shared" si="147"/>
        <v>4745</v>
      </c>
    </row>
    <row r="402" spans="1:45" s="438" customFormat="1" ht="24.95" customHeight="1">
      <c r="A402" s="1134"/>
      <c r="B402" s="1134"/>
      <c r="C402" s="1139"/>
      <c r="D402" s="1134"/>
      <c r="E402" s="1134"/>
      <c r="F402" s="1134"/>
      <c r="G402" s="1112"/>
      <c r="H402" s="1112"/>
      <c r="I402" s="1112"/>
      <c r="J402" s="1112"/>
      <c r="K402" s="1112"/>
      <c r="L402" s="1112"/>
      <c r="M402" s="1112"/>
      <c r="N402" s="1112"/>
      <c r="O402" s="1112"/>
      <c r="P402" s="1112"/>
      <c r="Q402" s="1112"/>
      <c r="R402" s="1112"/>
      <c r="S402" s="1112"/>
      <c r="T402" s="1134"/>
      <c r="U402" s="1138"/>
      <c r="V402" s="1112"/>
      <c r="W402" s="1112"/>
      <c r="X402" s="1112"/>
      <c r="Y402" s="1112"/>
      <c r="Z402" s="1112"/>
      <c r="AA402" s="1109"/>
      <c r="AB402" s="1109"/>
      <c r="AC402" s="1112"/>
      <c r="AD402" s="1112"/>
      <c r="AE402" s="436">
        <f t="shared" si="149"/>
        <v>0</v>
      </c>
      <c r="AF402" s="436">
        <f t="shared" si="150"/>
        <v>0</v>
      </c>
      <c r="AG402" s="436">
        <f t="shared" si="151"/>
        <v>0</v>
      </c>
      <c r="AH402" s="436">
        <f t="shared" si="152"/>
        <v>0</v>
      </c>
      <c r="AI402" s="436">
        <f t="shared" si="153"/>
        <v>0</v>
      </c>
      <c r="AJ402" s="436">
        <f t="shared" si="153"/>
        <v>0</v>
      </c>
      <c r="AK402" s="437">
        <f t="shared" si="154"/>
        <v>0</v>
      </c>
      <c r="AL402" s="437">
        <f t="shared" si="155"/>
        <v>0</v>
      </c>
      <c r="AM402" s="437">
        <f t="shared" si="156"/>
        <v>0</v>
      </c>
      <c r="AN402" s="437">
        <f t="shared" si="145"/>
        <v>0</v>
      </c>
      <c r="AO402" s="437">
        <f t="shared" si="146"/>
        <v>0</v>
      </c>
      <c r="AP402" s="437">
        <f t="shared" si="160"/>
        <v>0</v>
      </c>
      <c r="AQ402" s="437">
        <f t="shared" si="160"/>
        <v>0</v>
      </c>
      <c r="AR402" s="436"/>
      <c r="AS402" s="437">
        <f t="shared" si="147"/>
        <v>0</v>
      </c>
    </row>
    <row r="403" spans="1:45" s="438" customFormat="1" ht="24.95" customHeight="1">
      <c r="A403" s="1134"/>
      <c r="B403" s="1134"/>
      <c r="C403" s="1139" t="s">
        <v>715</v>
      </c>
      <c r="D403" s="1134" t="s">
        <v>663</v>
      </c>
      <c r="E403" s="1134" t="s">
        <v>717</v>
      </c>
      <c r="F403" s="1134">
        <v>9</v>
      </c>
      <c r="G403" s="1112">
        <v>5005</v>
      </c>
      <c r="H403" s="1112"/>
      <c r="I403" s="1112"/>
      <c r="J403" s="1112"/>
      <c r="K403" s="1112"/>
      <c r="L403" s="1112"/>
      <c r="M403" s="1112"/>
      <c r="N403" s="1112">
        <f>G403+H404+K404+L404</f>
        <v>5005</v>
      </c>
      <c r="O403" s="1112">
        <v>1</v>
      </c>
      <c r="P403" s="1112"/>
      <c r="Q403" s="1112"/>
      <c r="R403" s="1112"/>
      <c r="S403" s="1112"/>
      <c r="T403" s="1134">
        <v>28</v>
      </c>
      <c r="U403" s="1138">
        <v>0.3</v>
      </c>
      <c r="V403" s="1112">
        <f>N403*U403</f>
        <v>1501.5</v>
      </c>
      <c r="W403" s="1112"/>
      <c r="X403" s="1112">
        <f>(N403+V403)*O403</f>
        <v>6506.5</v>
      </c>
      <c r="Y403" s="1112">
        <f>AB403</f>
        <v>6993.5</v>
      </c>
      <c r="Z403" s="1112">
        <f>X403+Y403</f>
        <v>13500</v>
      </c>
      <c r="AA403" s="1109">
        <f>13500*O403</f>
        <v>13500</v>
      </c>
      <c r="AB403" s="1109">
        <f>AA403-X403</f>
        <v>6993.5</v>
      </c>
      <c r="AC403" s="1112">
        <f>6500*O403</f>
        <v>6500</v>
      </c>
      <c r="AD403" s="1112"/>
      <c r="AE403" s="436">
        <f t="shared" si="149"/>
        <v>5005</v>
      </c>
      <c r="AF403" s="436">
        <f t="shared" si="150"/>
        <v>0</v>
      </c>
      <c r="AG403" s="436">
        <f t="shared" si="151"/>
        <v>5005</v>
      </c>
      <c r="AH403" s="436">
        <f t="shared" si="152"/>
        <v>0</v>
      </c>
      <c r="AI403" s="436">
        <f t="shared" ref="AI403:AJ444" si="161">AG403-AE403</f>
        <v>0</v>
      </c>
      <c r="AJ403" s="436">
        <f t="shared" si="161"/>
        <v>0</v>
      </c>
      <c r="AK403" s="437">
        <f t="shared" si="154"/>
        <v>1501.5</v>
      </c>
      <c r="AL403" s="437">
        <f t="shared" si="155"/>
        <v>0</v>
      </c>
      <c r="AM403" s="437">
        <f t="shared" si="156"/>
        <v>0</v>
      </c>
      <c r="AN403" s="437">
        <f t="shared" si="145"/>
        <v>0</v>
      </c>
      <c r="AO403" s="437">
        <f t="shared" si="146"/>
        <v>0</v>
      </c>
      <c r="AP403" s="437">
        <f t="shared" si="160"/>
        <v>5005</v>
      </c>
      <c r="AQ403" s="437">
        <f t="shared" si="160"/>
        <v>0</v>
      </c>
      <c r="AR403" s="436"/>
      <c r="AS403" s="437">
        <f t="shared" si="147"/>
        <v>5005</v>
      </c>
    </row>
    <row r="404" spans="1:45" s="438" customFormat="1" ht="24.95" customHeight="1">
      <c r="A404" s="1134"/>
      <c r="B404" s="1134"/>
      <c r="C404" s="1139"/>
      <c r="D404" s="1134"/>
      <c r="E404" s="1134"/>
      <c r="F404" s="1134"/>
      <c r="G404" s="1112"/>
      <c r="H404" s="1112"/>
      <c r="I404" s="1112"/>
      <c r="J404" s="1112"/>
      <c r="K404" s="1112"/>
      <c r="L404" s="1112"/>
      <c r="M404" s="1112"/>
      <c r="N404" s="1112"/>
      <c r="O404" s="1112"/>
      <c r="P404" s="1112"/>
      <c r="Q404" s="1112"/>
      <c r="R404" s="1112"/>
      <c r="S404" s="1112"/>
      <c r="T404" s="1134"/>
      <c r="U404" s="1138"/>
      <c r="V404" s="1112"/>
      <c r="W404" s="1112"/>
      <c r="X404" s="1112"/>
      <c r="Y404" s="1112"/>
      <c r="Z404" s="1112"/>
      <c r="AA404" s="1109"/>
      <c r="AB404" s="1109"/>
      <c r="AC404" s="1112"/>
      <c r="AD404" s="1112"/>
      <c r="AE404" s="436">
        <f t="shared" si="149"/>
        <v>0</v>
      </c>
      <c r="AF404" s="436">
        <f t="shared" si="150"/>
        <v>0</v>
      </c>
      <c r="AG404" s="436">
        <f t="shared" si="151"/>
        <v>0</v>
      </c>
      <c r="AH404" s="436">
        <f t="shared" si="152"/>
        <v>0</v>
      </c>
      <c r="AI404" s="436">
        <f t="shared" si="161"/>
        <v>0</v>
      </c>
      <c r="AJ404" s="436">
        <f t="shared" si="161"/>
        <v>0</v>
      </c>
      <c r="AK404" s="437">
        <f t="shared" si="154"/>
        <v>0</v>
      </c>
      <c r="AL404" s="437">
        <f t="shared" si="155"/>
        <v>0</v>
      </c>
      <c r="AM404" s="437">
        <f t="shared" si="156"/>
        <v>0</v>
      </c>
      <c r="AN404" s="437">
        <f t="shared" si="145"/>
        <v>0</v>
      </c>
      <c r="AO404" s="437">
        <f t="shared" si="146"/>
        <v>0</v>
      </c>
      <c r="AP404" s="437">
        <f t="shared" si="160"/>
        <v>0</v>
      </c>
      <c r="AQ404" s="437">
        <f t="shared" si="160"/>
        <v>0</v>
      </c>
      <c r="AR404" s="436"/>
      <c r="AS404" s="437">
        <f t="shared" si="147"/>
        <v>0</v>
      </c>
    </row>
    <row r="405" spans="1:45" s="446" customFormat="1" ht="24.95" customHeight="1">
      <c r="A405" s="441"/>
      <c r="B405" s="441"/>
      <c r="C405" s="442" t="s">
        <v>318</v>
      </c>
      <c r="D405" s="443"/>
      <c r="E405" s="441"/>
      <c r="F405" s="441"/>
      <c r="G405" s="444">
        <f>SUM(G391:G404)</f>
        <v>34775</v>
      </c>
      <c r="H405" s="441"/>
      <c r="I405" s="441"/>
      <c r="J405" s="441"/>
      <c r="K405" s="441"/>
      <c r="L405" s="451">
        <f>L392+L394+L396+L398</f>
        <v>3078.0749999999998</v>
      </c>
      <c r="M405" s="441"/>
      <c r="N405" s="444">
        <f>SUM(N391:N404)</f>
        <v>38353.574999999997</v>
      </c>
      <c r="O405" s="444">
        <f>SUM(O391:O404)</f>
        <v>7</v>
      </c>
      <c r="P405" s="444">
        <f>SUM(P391:P404)</f>
        <v>0</v>
      </c>
      <c r="Q405" s="444"/>
      <c r="R405" s="444"/>
      <c r="S405" s="444"/>
      <c r="T405" s="444"/>
      <c r="U405" s="444"/>
      <c r="V405" s="444">
        <f t="shared" ref="V405:AD405" si="162">SUM(V391:V404)</f>
        <v>10455.997499999999</v>
      </c>
      <c r="W405" s="444">
        <f t="shared" si="162"/>
        <v>806</v>
      </c>
      <c r="X405" s="444">
        <f t="shared" si="162"/>
        <v>49615.572500000002</v>
      </c>
      <c r="Y405" s="444">
        <f t="shared" si="162"/>
        <v>44884.427499999998</v>
      </c>
      <c r="Z405" s="444">
        <f t="shared" si="162"/>
        <v>94500</v>
      </c>
      <c r="AA405" s="499">
        <f t="shared" si="162"/>
        <v>94500</v>
      </c>
      <c r="AB405" s="499">
        <f t="shared" si="162"/>
        <v>44884.427499999998</v>
      </c>
      <c r="AC405" s="444">
        <f t="shared" si="162"/>
        <v>45500</v>
      </c>
      <c r="AD405" s="444">
        <f t="shared" si="162"/>
        <v>806</v>
      </c>
      <c r="AE405" s="436"/>
      <c r="AF405" s="436"/>
      <c r="AG405" s="436"/>
      <c r="AH405" s="436"/>
      <c r="AI405" s="436"/>
      <c r="AJ405" s="436"/>
      <c r="AK405" s="437"/>
      <c r="AL405" s="437"/>
      <c r="AM405" s="437"/>
      <c r="AN405" s="437"/>
      <c r="AO405" s="437"/>
      <c r="AP405" s="437">
        <f t="shared" si="160"/>
        <v>0</v>
      </c>
      <c r="AQ405" s="437">
        <f t="shared" si="160"/>
        <v>0</v>
      </c>
      <c r="AR405" s="436"/>
      <c r="AS405" s="437">
        <f t="shared" si="147"/>
        <v>0</v>
      </c>
    </row>
    <row r="406" spans="1:45" s="456" customFormat="1" ht="24.95" customHeight="1">
      <c r="A406" s="455"/>
      <c r="B406" s="455"/>
      <c r="C406" s="1136" t="s">
        <v>548</v>
      </c>
      <c r="D406" s="1136"/>
      <c r="E406" s="455"/>
      <c r="F406" s="455"/>
      <c r="G406" s="455"/>
      <c r="H406" s="455"/>
      <c r="I406" s="455"/>
      <c r="J406" s="455"/>
      <c r="K406" s="455"/>
      <c r="L406" s="455"/>
      <c r="M406" s="455"/>
      <c r="N406" s="455"/>
      <c r="O406" s="455"/>
      <c r="P406" s="455"/>
      <c r="Q406" s="455"/>
      <c r="R406" s="455"/>
      <c r="S406" s="455"/>
      <c r="T406" s="455"/>
      <c r="U406" s="455"/>
      <c r="V406" s="455"/>
      <c r="W406" s="455"/>
      <c r="X406" s="455"/>
      <c r="Y406" s="455"/>
      <c r="Z406" s="455"/>
      <c r="AA406" s="504"/>
      <c r="AB406" s="504"/>
      <c r="AC406" s="455"/>
      <c r="AD406" s="455"/>
      <c r="AE406" s="436">
        <f t="shared" si="149"/>
        <v>0</v>
      </c>
      <c r="AF406" s="436">
        <f t="shared" si="150"/>
        <v>0</v>
      </c>
      <c r="AG406" s="436">
        <f t="shared" si="151"/>
        <v>0</v>
      </c>
      <c r="AH406" s="436">
        <f t="shared" si="152"/>
        <v>0</v>
      </c>
      <c r="AI406" s="436">
        <f t="shared" si="161"/>
        <v>0</v>
      </c>
      <c r="AJ406" s="436">
        <f t="shared" si="161"/>
        <v>0</v>
      </c>
      <c r="AK406" s="437">
        <f t="shared" si="154"/>
        <v>0</v>
      </c>
      <c r="AL406" s="437">
        <f t="shared" si="155"/>
        <v>0</v>
      </c>
      <c r="AM406" s="437">
        <f t="shared" si="156"/>
        <v>0</v>
      </c>
      <c r="AN406" s="437">
        <f t="shared" si="145"/>
        <v>0</v>
      </c>
      <c r="AO406" s="437">
        <f t="shared" si="146"/>
        <v>0</v>
      </c>
      <c r="AP406" s="437">
        <f t="shared" si="160"/>
        <v>0</v>
      </c>
      <c r="AQ406" s="437">
        <f t="shared" si="160"/>
        <v>0</v>
      </c>
      <c r="AR406" s="436"/>
      <c r="AS406" s="437">
        <f t="shared" si="147"/>
        <v>0</v>
      </c>
    </row>
    <row r="407" spans="1:45" s="438" customFormat="1" ht="24.95" customHeight="1">
      <c r="A407" s="1134"/>
      <c r="B407" s="1134"/>
      <c r="C407" s="1141" t="s">
        <v>590</v>
      </c>
      <c r="D407" s="1134" t="s">
        <v>718</v>
      </c>
      <c r="E407" s="1134" t="s">
        <v>567</v>
      </c>
      <c r="F407" s="1134">
        <v>9</v>
      </c>
      <c r="G407" s="1112">
        <v>5005</v>
      </c>
      <c r="H407" s="435">
        <v>0.1</v>
      </c>
      <c r="I407" s="1140"/>
      <c r="J407" s="1140"/>
      <c r="K407" s="1140"/>
      <c r="L407" s="1140"/>
      <c r="M407" s="1140"/>
      <c r="N407" s="1112">
        <f>G407+H408+K408</f>
        <v>5505.5</v>
      </c>
      <c r="O407" s="1112">
        <v>1</v>
      </c>
      <c r="P407" s="1140"/>
      <c r="Q407" s="1140"/>
      <c r="R407" s="1140"/>
      <c r="S407" s="1140"/>
      <c r="T407" s="1134">
        <v>39</v>
      </c>
      <c r="U407" s="1138">
        <v>0.3</v>
      </c>
      <c r="V407" s="1112">
        <f>N407*U407</f>
        <v>1651.6499999999999</v>
      </c>
      <c r="W407" s="1112"/>
      <c r="X407" s="1112">
        <f>(N407+V407)*O407</f>
        <v>7157.15</v>
      </c>
      <c r="Y407" s="1112">
        <f>AB407</f>
        <v>6342.85</v>
      </c>
      <c r="Z407" s="1112">
        <f>X407+Y407</f>
        <v>13500</v>
      </c>
      <c r="AA407" s="1109">
        <f>13500*O407</f>
        <v>13500</v>
      </c>
      <c r="AB407" s="1109">
        <f>AA407-X407</f>
        <v>6342.85</v>
      </c>
      <c r="AC407" s="1112">
        <f>6500*O407</f>
        <v>6500</v>
      </c>
      <c r="AD407" s="1112"/>
      <c r="AE407" s="436">
        <f t="shared" si="149"/>
        <v>5005</v>
      </c>
      <c r="AF407" s="436">
        <f t="shared" si="150"/>
        <v>0</v>
      </c>
      <c r="AG407" s="436">
        <f t="shared" si="151"/>
        <v>5505.5</v>
      </c>
      <c r="AH407" s="436">
        <f t="shared" si="152"/>
        <v>0</v>
      </c>
      <c r="AI407" s="436">
        <f t="shared" si="161"/>
        <v>500.5</v>
      </c>
      <c r="AJ407" s="436">
        <f t="shared" si="161"/>
        <v>0</v>
      </c>
      <c r="AK407" s="437">
        <f t="shared" si="154"/>
        <v>1651.6499999999999</v>
      </c>
      <c r="AL407" s="437">
        <f t="shared" si="155"/>
        <v>0</v>
      </c>
      <c r="AM407" s="437">
        <f t="shared" si="156"/>
        <v>0</v>
      </c>
      <c r="AN407" s="437">
        <f t="shared" si="145"/>
        <v>0</v>
      </c>
      <c r="AO407" s="437">
        <f t="shared" si="146"/>
        <v>0</v>
      </c>
      <c r="AP407" s="437">
        <f t="shared" si="160"/>
        <v>5505.5</v>
      </c>
      <c r="AQ407" s="437">
        <f t="shared" si="160"/>
        <v>0</v>
      </c>
      <c r="AR407" s="436"/>
      <c r="AS407" s="437">
        <f t="shared" si="147"/>
        <v>5505.5</v>
      </c>
    </row>
    <row r="408" spans="1:45" s="438" customFormat="1" ht="24.95" customHeight="1">
      <c r="A408" s="1134"/>
      <c r="B408" s="1134"/>
      <c r="C408" s="1141"/>
      <c r="D408" s="1134"/>
      <c r="E408" s="1134"/>
      <c r="F408" s="1134"/>
      <c r="G408" s="1112"/>
      <c r="H408" s="449">
        <f>G407*H407</f>
        <v>500.5</v>
      </c>
      <c r="I408" s="1140"/>
      <c r="J408" s="1140"/>
      <c r="K408" s="1140"/>
      <c r="L408" s="1140"/>
      <c r="M408" s="1140"/>
      <c r="N408" s="1112"/>
      <c r="O408" s="1112"/>
      <c r="P408" s="1140"/>
      <c r="Q408" s="1140"/>
      <c r="R408" s="1140"/>
      <c r="S408" s="1140"/>
      <c r="T408" s="1134"/>
      <c r="U408" s="1138"/>
      <c r="V408" s="1112"/>
      <c r="W408" s="1112"/>
      <c r="X408" s="1112"/>
      <c r="Y408" s="1112"/>
      <c r="Z408" s="1112"/>
      <c r="AA408" s="1109"/>
      <c r="AB408" s="1109"/>
      <c r="AC408" s="1112"/>
      <c r="AD408" s="1112"/>
      <c r="AE408" s="436">
        <f t="shared" si="149"/>
        <v>0</v>
      </c>
      <c r="AF408" s="436">
        <f t="shared" si="150"/>
        <v>0</v>
      </c>
      <c r="AG408" s="436">
        <f t="shared" si="151"/>
        <v>0</v>
      </c>
      <c r="AH408" s="436">
        <f t="shared" si="152"/>
        <v>0</v>
      </c>
      <c r="AI408" s="436">
        <f t="shared" si="161"/>
        <v>0</v>
      </c>
      <c r="AJ408" s="436">
        <f t="shared" si="161"/>
        <v>0</v>
      </c>
      <c r="AK408" s="437">
        <f t="shared" si="154"/>
        <v>0</v>
      </c>
      <c r="AL408" s="437">
        <f t="shared" si="155"/>
        <v>0</v>
      </c>
      <c r="AM408" s="437">
        <f t="shared" si="156"/>
        <v>0</v>
      </c>
      <c r="AN408" s="437">
        <f t="shared" si="145"/>
        <v>0</v>
      </c>
      <c r="AO408" s="437">
        <f t="shared" si="146"/>
        <v>0</v>
      </c>
      <c r="AP408" s="437">
        <f t="shared" si="160"/>
        <v>0</v>
      </c>
      <c r="AQ408" s="437">
        <f t="shared" si="160"/>
        <v>0</v>
      </c>
      <c r="AR408" s="436"/>
      <c r="AS408" s="437">
        <f t="shared" si="147"/>
        <v>0</v>
      </c>
    </row>
    <row r="409" spans="1:45" s="438" customFormat="1" ht="24.95" customHeight="1">
      <c r="A409" s="1134"/>
      <c r="B409" s="1134"/>
      <c r="C409" s="1139" t="s">
        <v>564</v>
      </c>
      <c r="D409" s="1134" t="s">
        <v>719</v>
      </c>
      <c r="E409" s="1134" t="s">
        <v>720</v>
      </c>
      <c r="F409" s="1134">
        <v>9</v>
      </c>
      <c r="G409" s="1112">
        <v>5005</v>
      </c>
      <c r="H409" s="1112"/>
      <c r="I409" s="1112"/>
      <c r="J409" s="1112"/>
      <c r="K409" s="1112"/>
      <c r="L409" s="1112"/>
      <c r="M409" s="1112"/>
      <c r="N409" s="1112">
        <f>G409+H410</f>
        <v>5005</v>
      </c>
      <c r="O409" s="1112">
        <v>1</v>
      </c>
      <c r="P409" s="1140"/>
      <c r="Q409" s="1140"/>
      <c r="R409" s="1140"/>
      <c r="S409" s="1140"/>
      <c r="T409" s="1134">
        <v>25</v>
      </c>
      <c r="U409" s="1138">
        <v>0.3</v>
      </c>
      <c r="V409" s="1112">
        <f>N409*U409</f>
        <v>1501.5</v>
      </c>
      <c r="W409" s="1112"/>
      <c r="X409" s="1112">
        <f>(N409+V409)*O409+W409</f>
        <v>6506.5</v>
      </c>
      <c r="Y409" s="1112">
        <f>AB409</f>
        <v>6993.5</v>
      </c>
      <c r="Z409" s="1112">
        <f>X409+Y409</f>
        <v>13500</v>
      </c>
      <c r="AA409" s="1109">
        <f>13500*O409</f>
        <v>13500</v>
      </c>
      <c r="AB409" s="1109">
        <f>AA409-X409</f>
        <v>6993.5</v>
      </c>
      <c r="AC409" s="1112">
        <f>6500*O409</f>
        <v>6500</v>
      </c>
      <c r="AD409" s="1112"/>
      <c r="AE409" s="436">
        <f t="shared" si="149"/>
        <v>5005</v>
      </c>
      <c r="AF409" s="436">
        <f t="shared" si="150"/>
        <v>0</v>
      </c>
      <c r="AG409" s="436">
        <f t="shared" si="151"/>
        <v>5005</v>
      </c>
      <c r="AH409" s="436">
        <f t="shared" si="152"/>
        <v>0</v>
      </c>
      <c r="AI409" s="436">
        <f t="shared" si="161"/>
        <v>0</v>
      </c>
      <c r="AJ409" s="436">
        <f t="shared" si="161"/>
        <v>0</v>
      </c>
      <c r="AK409" s="437">
        <f t="shared" si="154"/>
        <v>1501.5</v>
      </c>
      <c r="AL409" s="437">
        <f t="shared" si="155"/>
        <v>0</v>
      </c>
      <c r="AM409" s="437">
        <f t="shared" si="156"/>
        <v>0</v>
      </c>
      <c r="AN409" s="437">
        <f t="shared" si="145"/>
        <v>0</v>
      </c>
      <c r="AO409" s="437">
        <f t="shared" si="146"/>
        <v>0</v>
      </c>
      <c r="AP409" s="437">
        <f t="shared" si="160"/>
        <v>5005</v>
      </c>
      <c r="AQ409" s="437">
        <f t="shared" si="160"/>
        <v>0</v>
      </c>
      <c r="AR409" s="436"/>
      <c r="AS409" s="437">
        <f t="shared" si="147"/>
        <v>5005</v>
      </c>
    </row>
    <row r="410" spans="1:45" s="438" customFormat="1" ht="24.95" customHeight="1">
      <c r="A410" s="1134"/>
      <c r="B410" s="1134"/>
      <c r="C410" s="1139"/>
      <c r="D410" s="1134"/>
      <c r="E410" s="1134"/>
      <c r="F410" s="1134"/>
      <c r="G410" s="1112"/>
      <c r="H410" s="1112"/>
      <c r="I410" s="1112"/>
      <c r="J410" s="1112"/>
      <c r="K410" s="1112"/>
      <c r="L410" s="1112"/>
      <c r="M410" s="1112"/>
      <c r="N410" s="1112"/>
      <c r="O410" s="1112"/>
      <c r="P410" s="1140"/>
      <c r="Q410" s="1140"/>
      <c r="R410" s="1140"/>
      <c r="S410" s="1140"/>
      <c r="T410" s="1134"/>
      <c r="U410" s="1138"/>
      <c r="V410" s="1112"/>
      <c r="W410" s="1112"/>
      <c r="X410" s="1112"/>
      <c r="Y410" s="1112"/>
      <c r="Z410" s="1112"/>
      <c r="AA410" s="1109"/>
      <c r="AB410" s="1109"/>
      <c r="AC410" s="1112"/>
      <c r="AD410" s="1112"/>
      <c r="AE410" s="436">
        <f t="shared" si="149"/>
        <v>0</v>
      </c>
      <c r="AF410" s="436">
        <f t="shared" si="150"/>
        <v>0</v>
      </c>
      <c r="AG410" s="436">
        <f t="shared" si="151"/>
        <v>0</v>
      </c>
      <c r="AH410" s="436">
        <f t="shared" si="152"/>
        <v>0</v>
      </c>
      <c r="AI410" s="436">
        <f t="shared" si="161"/>
        <v>0</v>
      </c>
      <c r="AJ410" s="436">
        <f t="shared" si="161"/>
        <v>0</v>
      </c>
      <c r="AK410" s="437">
        <f t="shared" si="154"/>
        <v>0</v>
      </c>
      <c r="AL410" s="437">
        <f t="shared" si="155"/>
        <v>0</v>
      </c>
      <c r="AM410" s="437">
        <f t="shared" si="156"/>
        <v>0</v>
      </c>
      <c r="AN410" s="437">
        <f t="shared" si="145"/>
        <v>0</v>
      </c>
      <c r="AO410" s="437">
        <f t="shared" si="146"/>
        <v>0</v>
      </c>
      <c r="AP410" s="437">
        <f t="shared" si="160"/>
        <v>0</v>
      </c>
      <c r="AQ410" s="437">
        <f t="shared" si="160"/>
        <v>0</v>
      </c>
      <c r="AR410" s="436"/>
      <c r="AS410" s="437">
        <f t="shared" si="147"/>
        <v>0</v>
      </c>
    </row>
    <row r="411" spans="1:45" s="438" customFormat="1" ht="24.95" customHeight="1">
      <c r="A411" s="1134"/>
      <c r="B411" s="1134"/>
      <c r="C411" s="1139" t="s">
        <v>564</v>
      </c>
      <c r="D411" s="1134" t="s">
        <v>661</v>
      </c>
      <c r="E411" s="1134" t="s">
        <v>662</v>
      </c>
      <c r="F411" s="1134">
        <v>9</v>
      </c>
      <c r="G411" s="1112">
        <v>5005</v>
      </c>
      <c r="H411" s="1112"/>
      <c r="I411" s="1112"/>
      <c r="J411" s="1112"/>
      <c r="K411" s="1112"/>
      <c r="L411" s="1112"/>
      <c r="M411" s="1112"/>
      <c r="N411" s="1112">
        <f>G411+H412</f>
        <v>5005</v>
      </c>
      <c r="O411" s="1112">
        <v>1</v>
      </c>
      <c r="P411" s="1112"/>
      <c r="Q411" s="1140"/>
      <c r="R411" s="1140"/>
      <c r="S411" s="1140"/>
      <c r="T411" s="1134">
        <v>32</v>
      </c>
      <c r="U411" s="1138">
        <v>0.3</v>
      </c>
      <c r="V411" s="1112">
        <f>N411*U411</f>
        <v>1501.5</v>
      </c>
      <c r="W411" s="1112"/>
      <c r="X411" s="1112">
        <f>(N411+V411)*O411+W411</f>
        <v>6506.5</v>
      </c>
      <c r="Y411" s="1112">
        <f>AB411</f>
        <v>6993.5</v>
      </c>
      <c r="Z411" s="1112">
        <f>X411+Y411</f>
        <v>13500</v>
      </c>
      <c r="AA411" s="1109">
        <f>13500*O411</f>
        <v>13500</v>
      </c>
      <c r="AB411" s="1109">
        <f>AA411-X411</f>
        <v>6993.5</v>
      </c>
      <c r="AC411" s="1112">
        <f>6500*O411</f>
        <v>6500</v>
      </c>
      <c r="AD411" s="1112"/>
      <c r="AE411" s="436">
        <f t="shared" si="149"/>
        <v>5005</v>
      </c>
      <c r="AF411" s="436">
        <f t="shared" si="150"/>
        <v>0</v>
      </c>
      <c r="AG411" s="436">
        <f t="shared" si="151"/>
        <v>5005</v>
      </c>
      <c r="AH411" s="436">
        <f t="shared" si="152"/>
        <v>0</v>
      </c>
      <c r="AI411" s="436">
        <f t="shared" si="161"/>
        <v>0</v>
      </c>
      <c r="AJ411" s="436">
        <f t="shared" si="161"/>
        <v>0</v>
      </c>
      <c r="AK411" s="437">
        <f t="shared" si="154"/>
        <v>1501.5</v>
      </c>
      <c r="AL411" s="437">
        <f t="shared" si="155"/>
        <v>0</v>
      </c>
      <c r="AM411" s="437">
        <f t="shared" si="156"/>
        <v>0</v>
      </c>
      <c r="AN411" s="437">
        <f t="shared" si="145"/>
        <v>0</v>
      </c>
      <c r="AO411" s="437">
        <f t="shared" si="146"/>
        <v>0</v>
      </c>
      <c r="AP411" s="437">
        <f t="shared" si="160"/>
        <v>5005</v>
      </c>
      <c r="AQ411" s="437">
        <f t="shared" si="160"/>
        <v>0</v>
      </c>
      <c r="AR411" s="436"/>
      <c r="AS411" s="437">
        <f t="shared" si="147"/>
        <v>5005</v>
      </c>
    </row>
    <row r="412" spans="1:45" s="438" customFormat="1" ht="24.95" customHeight="1">
      <c r="A412" s="1134"/>
      <c r="B412" s="1134"/>
      <c r="C412" s="1139"/>
      <c r="D412" s="1134"/>
      <c r="E412" s="1134"/>
      <c r="F412" s="1134"/>
      <c r="G412" s="1112"/>
      <c r="H412" s="1112"/>
      <c r="I412" s="1112"/>
      <c r="J412" s="1112"/>
      <c r="K412" s="1112"/>
      <c r="L412" s="1112"/>
      <c r="M412" s="1112"/>
      <c r="N412" s="1112"/>
      <c r="O412" s="1112"/>
      <c r="P412" s="1112"/>
      <c r="Q412" s="1140"/>
      <c r="R412" s="1140"/>
      <c r="S412" s="1140"/>
      <c r="T412" s="1134"/>
      <c r="U412" s="1138"/>
      <c r="V412" s="1112"/>
      <c r="W412" s="1112"/>
      <c r="X412" s="1112"/>
      <c r="Y412" s="1112"/>
      <c r="Z412" s="1112"/>
      <c r="AA412" s="1109"/>
      <c r="AB412" s="1109"/>
      <c r="AC412" s="1112"/>
      <c r="AD412" s="1112"/>
      <c r="AE412" s="436">
        <f t="shared" si="149"/>
        <v>0</v>
      </c>
      <c r="AF412" s="436">
        <f t="shared" si="150"/>
        <v>0</v>
      </c>
      <c r="AG412" s="436">
        <f t="shared" si="151"/>
        <v>0</v>
      </c>
      <c r="AH412" s="436">
        <f t="shared" si="152"/>
        <v>0</v>
      </c>
      <c r="AI412" s="436">
        <f t="shared" si="161"/>
        <v>0</v>
      </c>
      <c r="AJ412" s="436">
        <f t="shared" si="161"/>
        <v>0</v>
      </c>
      <c r="AK412" s="437">
        <f t="shared" si="154"/>
        <v>0</v>
      </c>
      <c r="AL412" s="437">
        <f t="shared" si="155"/>
        <v>0</v>
      </c>
      <c r="AM412" s="437">
        <f t="shared" si="156"/>
        <v>0</v>
      </c>
      <c r="AN412" s="437">
        <f t="shared" si="145"/>
        <v>0</v>
      </c>
      <c r="AO412" s="437">
        <f t="shared" si="146"/>
        <v>0</v>
      </c>
      <c r="AP412" s="437">
        <f t="shared" si="160"/>
        <v>0</v>
      </c>
      <c r="AQ412" s="437">
        <f t="shared" si="160"/>
        <v>0</v>
      </c>
      <c r="AR412" s="436"/>
      <c r="AS412" s="437">
        <f t="shared" si="147"/>
        <v>0</v>
      </c>
    </row>
    <row r="413" spans="1:45" s="438" customFormat="1" ht="24.95" customHeight="1">
      <c r="A413" s="1134"/>
      <c r="B413" s="1134"/>
      <c r="C413" s="1139" t="s">
        <v>564</v>
      </c>
      <c r="D413" s="1134"/>
      <c r="E413" s="1134" t="s">
        <v>325</v>
      </c>
      <c r="F413" s="1134">
        <v>6</v>
      </c>
      <c r="G413" s="1112">
        <v>4195</v>
      </c>
      <c r="H413" s="1112"/>
      <c r="I413" s="1112"/>
      <c r="J413" s="1112"/>
      <c r="K413" s="1112"/>
      <c r="L413" s="1112"/>
      <c r="M413" s="1112"/>
      <c r="N413" s="1112">
        <f>G413+H414+K414+L414</f>
        <v>4195</v>
      </c>
      <c r="O413" s="1112">
        <v>0.5</v>
      </c>
      <c r="P413" s="1140"/>
      <c r="Q413" s="1140"/>
      <c r="R413" s="1140"/>
      <c r="S413" s="1140"/>
      <c r="T413" s="1134">
        <v>49</v>
      </c>
      <c r="U413" s="1138">
        <v>0.3</v>
      </c>
      <c r="V413" s="1112">
        <f>N413*U413</f>
        <v>1258.5</v>
      </c>
      <c r="W413" s="1112">
        <f>AD413</f>
        <v>523.25</v>
      </c>
      <c r="X413" s="1112">
        <f>(N413+V413)*O413+W413</f>
        <v>3250</v>
      </c>
      <c r="Y413" s="1112">
        <f>AB413</f>
        <v>3500</v>
      </c>
      <c r="Z413" s="1112">
        <f>X413+Y413</f>
        <v>6750</v>
      </c>
      <c r="AA413" s="1109">
        <f>13500*O413</f>
        <v>6750</v>
      </c>
      <c r="AB413" s="1109">
        <f>AA413-X413</f>
        <v>3500</v>
      </c>
      <c r="AC413" s="1112">
        <f>6500*O413</f>
        <v>3250</v>
      </c>
      <c r="AD413" s="1112">
        <f>AC413-(N413*O413)-V413*0.5</f>
        <v>523.25</v>
      </c>
      <c r="AE413" s="436">
        <f t="shared" si="149"/>
        <v>2097.5</v>
      </c>
      <c r="AF413" s="436">
        <f t="shared" si="150"/>
        <v>0</v>
      </c>
      <c r="AG413" s="436">
        <f t="shared" si="151"/>
        <v>2097.5</v>
      </c>
      <c r="AH413" s="436">
        <f t="shared" si="152"/>
        <v>0</v>
      </c>
      <c r="AI413" s="436">
        <f t="shared" si="161"/>
        <v>0</v>
      </c>
      <c r="AJ413" s="436">
        <f t="shared" si="161"/>
        <v>0</v>
      </c>
      <c r="AK413" s="437">
        <f t="shared" si="154"/>
        <v>629.25</v>
      </c>
      <c r="AL413" s="437">
        <f t="shared" si="155"/>
        <v>0</v>
      </c>
      <c r="AM413" s="437">
        <f t="shared" si="156"/>
        <v>523.25</v>
      </c>
      <c r="AN413" s="437">
        <f t="shared" si="145"/>
        <v>0</v>
      </c>
      <c r="AO413" s="437">
        <f t="shared" si="146"/>
        <v>0</v>
      </c>
      <c r="AP413" s="437">
        <f t="shared" si="160"/>
        <v>2097.5</v>
      </c>
      <c r="AQ413" s="437">
        <f t="shared" si="160"/>
        <v>0</v>
      </c>
      <c r="AR413" s="436"/>
      <c r="AS413" s="437">
        <f t="shared" si="147"/>
        <v>2097.5</v>
      </c>
    </row>
    <row r="414" spans="1:45" s="438" customFormat="1" ht="24.95" customHeight="1">
      <c r="A414" s="1134"/>
      <c r="B414" s="1134"/>
      <c r="C414" s="1139"/>
      <c r="D414" s="1134"/>
      <c r="E414" s="1134"/>
      <c r="F414" s="1134"/>
      <c r="G414" s="1112"/>
      <c r="H414" s="1112"/>
      <c r="I414" s="1112"/>
      <c r="J414" s="1112"/>
      <c r="K414" s="1112"/>
      <c r="L414" s="1112"/>
      <c r="M414" s="1112"/>
      <c r="N414" s="1112"/>
      <c r="O414" s="1112"/>
      <c r="P414" s="1140"/>
      <c r="Q414" s="1140"/>
      <c r="R414" s="1140"/>
      <c r="S414" s="1140"/>
      <c r="T414" s="1134"/>
      <c r="U414" s="1138"/>
      <c r="V414" s="1112"/>
      <c r="W414" s="1112"/>
      <c r="X414" s="1112"/>
      <c r="Y414" s="1112"/>
      <c r="Z414" s="1112"/>
      <c r="AA414" s="1109"/>
      <c r="AB414" s="1109"/>
      <c r="AC414" s="1112"/>
      <c r="AD414" s="1112"/>
      <c r="AE414" s="436">
        <f t="shared" si="149"/>
        <v>0</v>
      </c>
      <c r="AF414" s="436">
        <f t="shared" si="150"/>
        <v>0</v>
      </c>
      <c r="AG414" s="436">
        <f t="shared" si="151"/>
        <v>0</v>
      </c>
      <c r="AH414" s="436">
        <f t="shared" si="152"/>
        <v>0</v>
      </c>
      <c r="AI414" s="436">
        <f t="shared" si="161"/>
        <v>0</v>
      </c>
      <c r="AJ414" s="436">
        <f t="shared" si="161"/>
        <v>0</v>
      </c>
      <c r="AK414" s="437">
        <f t="shared" si="154"/>
        <v>0</v>
      </c>
      <c r="AL414" s="437">
        <f t="shared" si="155"/>
        <v>0</v>
      </c>
      <c r="AM414" s="437">
        <f t="shared" si="156"/>
        <v>0</v>
      </c>
      <c r="AN414" s="437">
        <f t="shared" si="145"/>
        <v>0</v>
      </c>
      <c r="AO414" s="437">
        <f t="shared" si="146"/>
        <v>0</v>
      </c>
      <c r="AP414" s="437">
        <f t="shared" si="160"/>
        <v>0</v>
      </c>
      <c r="AQ414" s="437">
        <f t="shared" si="160"/>
        <v>0</v>
      </c>
      <c r="AR414" s="436"/>
      <c r="AS414" s="437">
        <f t="shared" si="147"/>
        <v>0</v>
      </c>
    </row>
    <row r="415" spans="1:45" s="438" customFormat="1" ht="24.95" customHeight="1">
      <c r="A415" s="1134"/>
      <c r="B415" s="1134"/>
      <c r="C415" s="1139" t="s">
        <v>564</v>
      </c>
      <c r="D415" s="1134"/>
      <c r="E415" s="1134" t="s">
        <v>325</v>
      </c>
      <c r="F415" s="1134">
        <v>9</v>
      </c>
      <c r="G415" s="1112">
        <v>5005</v>
      </c>
      <c r="H415" s="1112"/>
      <c r="I415" s="1112"/>
      <c r="J415" s="1112"/>
      <c r="K415" s="1112"/>
      <c r="L415" s="1112"/>
      <c r="M415" s="1112"/>
      <c r="N415" s="1112">
        <f>G415+H416+K416+L416</f>
        <v>5005</v>
      </c>
      <c r="O415" s="1112">
        <v>0.5</v>
      </c>
      <c r="P415" s="1140"/>
      <c r="Q415" s="1140"/>
      <c r="R415" s="1140"/>
      <c r="S415" s="1140"/>
      <c r="T415" s="1134"/>
      <c r="U415" s="1138">
        <v>0</v>
      </c>
      <c r="V415" s="1112">
        <f>N415*U415</f>
        <v>0</v>
      </c>
      <c r="W415" s="1112">
        <f>AD415</f>
        <v>747.5</v>
      </c>
      <c r="X415" s="1112">
        <f>(N415+V415)*O415+W415</f>
        <v>3250</v>
      </c>
      <c r="Y415" s="1112">
        <f>AB415</f>
        <v>3500</v>
      </c>
      <c r="Z415" s="1112">
        <f>X415+Y415</f>
        <v>6750</v>
      </c>
      <c r="AA415" s="1109">
        <f>13500*O415</f>
        <v>6750</v>
      </c>
      <c r="AB415" s="1109">
        <f>AA415-X415</f>
        <v>3500</v>
      </c>
      <c r="AC415" s="1112">
        <f>6500*O415</f>
        <v>3250</v>
      </c>
      <c r="AD415" s="1112">
        <f>AC415-(N415*O415)-V415</f>
        <v>747.5</v>
      </c>
      <c r="AE415" s="436">
        <f t="shared" si="149"/>
        <v>2502.5</v>
      </c>
      <c r="AF415" s="436">
        <f t="shared" si="150"/>
        <v>0</v>
      </c>
      <c r="AG415" s="436">
        <f t="shared" si="151"/>
        <v>2502.5</v>
      </c>
      <c r="AH415" s="436">
        <f t="shared" si="152"/>
        <v>0</v>
      </c>
      <c r="AI415" s="436">
        <f t="shared" si="161"/>
        <v>0</v>
      </c>
      <c r="AJ415" s="436">
        <f t="shared" si="161"/>
        <v>0</v>
      </c>
      <c r="AK415" s="437">
        <f t="shared" si="154"/>
        <v>0</v>
      </c>
      <c r="AL415" s="437">
        <f t="shared" si="155"/>
        <v>0</v>
      </c>
      <c r="AM415" s="437">
        <f t="shared" si="156"/>
        <v>747.5</v>
      </c>
      <c r="AN415" s="437">
        <f t="shared" si="145"/>
        <v>0</v>
      </c>
      <c r="AO415" s="437">
        <f t="shared" si="146"/>
        <v>0</v>
      </c>
      <c r="AP415" s="437">
        <f t="shared" si="160"/>
        <v>2502.5</v>
      </c>
      <c r="AQ415" s="437">
        <f t="shared" si="160"/>
        <v>0</v>
      </c>
      <c r="AR415" s="436"/>
      <c r="AS415" s="437">
        <f t="shared" si="147"/>
        <v>2502.5</v>
      </c>
    </row>
    <row r="416" spans="1:45" s="438" customFormat="1" ht="23.25" customHeight="1">
      <c r="A416" s="1134"/>
      <c r="B416" s="1134"/>
      <c r="C416" s="1139"/>
      <c r="D416" s="1134"/>
      <c r="E416" s="1134"/>
      <c r="F416" s="1134"/>
      <c r="G416" s="1112"/>
      <c r="H416" s="1112"/>
      <c r="I416" s="1112"/>
      <c r="J416" s="1112"/>
      <c r="K416" s="1112"/>
      <c r="L416" s="1112"/>
      <c r="M416" s="1112"/>
      <c r="N416" s="1112"/>
      <c r="O416" s="1112"/>
      <c r="P416" s="1140"/>
      <c r="Q416" s="1140"/>
      <c r="R416" s="1140"/>
      <c r="S416" s="1140"/>
      <c r="T416" s="1134"/>
      <c r="U416" s="1138"/>
      <c r="V416" s="1112"/>
      <c r="W416" s="1112"/>
      <c r="X416" s="1112"/>
      <c r="Y416" s="1112"/>
      <c r="Z416" s="1112"/>
      <c r="AA416" s="1109"/>
      <c r="AB416" s="1109"/>
      <c r="AC416" s="1112"/>
      <c r="AD416" s="1112"/>
      <c r="AE416" s="436">
        <f t="shared" si="149"/>
        <v>0</v>
      </c>
      <c r="AF416" s="436">
        <f t="shared" si="150"/>
        <v>0</v>
      </c>
      <c r="AG416" s="436">
        <f t="shared" si="151"/>
        <v>0</v>
      </c>
      <c r="AH416" s="436">
        <f t="shared" si="152"/>
        <v>0</v>
      </c>
      <c r="AI416" s="436">
        <f t="shared" si="161"/>
        <v>0</v>
      </c>
      <c r="AJ416" s="436">
        <f t="shared" si="161"/>
        <v>0</v>
      </c>
      <c r="AK416" s="437">
        <f t="shared" si="154"/>
        <v>0</v>
      </c>
      <c r="AL416" s="437">
        <f t="shared" si="155"/>
        <v>0</v>
      </c>
      <c r="AM416" s="437">
        <f t="shared" si="156"/>
        <v>0</v>
      </c>
      <c r="AN416" s="437">
        <f t="shared" si="145"/>
        <v>0</v>
      </c>
      <c r="AO416" s="437">
        <f t="shared" si="146"/>
        <v>0</v>
      </c>
      <c r="AP416" s="437">
        <f t="shared" si="160"/>
        <v>0</v>
      </c>
      <c r="AQ416" s="437">
        <f t="shared" si="160"/>
        <v>0</v>
      </c>
      <c r="AR416" s="436"/>
      <c r="AS416" s="437">
        <f t="shared" si="147"/>
        <v>0</v>
      </c>
    </row>
    <row r="417" spans="1:45" s="438" customFormat="1">
      <c r="A417" s="1134"/>
      <c r="B417" s="1134"/>
      <c r="C417" s="1139" t="s">
        <v>564</v>
      </c>
      <c r="D417" s="1134" t="s">
        <v>1055</v>
      </c>
      <c r="E417" s="1134" t="s">
        <v>721</v>
      </c>
      <c r="F417" s="1134">
        <v>9</v>
      </c>
      <c r="G417" s="1112">
        <v>5005</v>
      </c>
      <c r="H417" s="1112"/>
      <c r="I417" s="1112"/>
      <c r="J417" s="1112"/>
      <c r="K417" s="1112"/>
      <c r="L417" s="1112"/>
      <c r="M417" s="1112"/>
      <c r="N417" s="1112">
        <f>G417+H418</f>
        <v>5005</v>
      </c>
      <c r="O417" s="1112">
        <v>1</v>
      </c>
      <c r="P417" s="1112"/>
      <c r="Q417" s="1112"/>
      <c r="R417" s="1112"/>
      <c r="S417" s="1112"/>
      <c r="T417" s="1134">
        <v>35</v>
      </c>
      <c r="U417" s="1138">
        <v>0.3</v>
      </c>
      <c r="V417" s="1112">
        <f>N417*U417</f>
        <v>1501.5</v>
      </c>
      <c r="W417" s="1112"/>
      <c r="X417" s="1112">
        <f>(N417+V417)*O417</f>
        <v>6506.5</v>
      </c>
      <c r="Y417" s="1112">
        <f>AB417</f>
        <v>6993.5</v>
      </c>
      <c r="Z417" s="1112">
        <f>X417+Y417</f>
        <v>13500</v>
      </c>
      <c r="AA417" s="1109">
        <f>13500*O417</f>
        <v>13500</v>
      </c>
      <c r="AB417" s="1109">
        <f>AA417-X417</f>
        <v>6993.5</v>
      </c>
      <c r="AC417" s="1112">
        <f>6500*O417</f>
        <v>6500</v>
      </c>
      <c r="AD417" s="1112"/>
      <c r="AE417" s="436">
        <f t="shared" si="149"/>
        <v>5005</v>
      </c>
      <c r="AF417" s="436">
        <f t="shared" si="150"/>
        <v>0</v>
      </c>
      <c r="AG417" s="436">
        <f t="shared" si="151"/>
        <v>5005</v>
      </c>
      <c r="AH417" s="436">
        <f t="shared" si="152"/>
        <v>0</v>
      </c>
      <c r="AI417" s="436">
        <f t="shared" si="161"/>
        <v>0</v>
      </c>
      <c r="AJ417" s="436">
        <f t="shared" si="161"/>
        <v>0</v>
      </c>
      <c r="AK417" s="437">
        <f t="shared" si="154"/>
        <v>1501.5</v>
      </c>
      <c r="AL417" s="437">
        <f t="shared" si="155"/>
        <v>0</v>
      </c>
      <c r="AM417" s="437">
        <f t="shared" si="156"/>
        <v>0</v>
      </c>
      <c r="AN417" s="437">
        <f t="shared" si="145"/>
        <v>0</v>
      </c>
      <c r="AO417" s="437">
        <f t="shared" si="146"/>
        <v>0</v>
      </c>
      <c r="AP417" s="437">
        <f t="shared" si="160"/>
        <v>5005</v>
      </c>
      <c r="AQ417" s="437">
        <f t="shared" si="160"/>
        <v>0</v>
      </c>
      <c r="AR417" s="436"/>
      <c r="AS417" s="437">
        <f t="shared" si="147"/>
        <v>5005</v>
      </c>
    </row>
    <row r="418" spans="1:45" s="438" customFormat="1" ht="24.95" customHeight="1">
      <c r="A418" s="1134"/>
      <c r="B418" s="1134"/>
      <c r="C418" s="1139"/>
      <c r="D418" s="1134"/>
      <c r="E418" s="1134"/>
      <c r="F418" s="1134"/>
      <c r="G418" s="1112"/>
      <c r="H418" s="1112"/>
      <c r="I418" s="1112"/>
      <c r="J418" s="1112"/>
      <c r="K418" s="1112"/>
      <c r="L418" s="1112"/>
      <c r="M418" s="1112"/>
      <c r="N418" s="1112"/>
      <c r="O418" s="1112"/>
      <c r="P418" s="1112"/>
      <c r="Q418" s="1112"/>
      <c r="R418" s="1112"/>
      <c r="S418" s="1112"/>
      <c r="T418" s="1134"/>
      <c r="U418" s="1138"/>
      <c r="V418" s="1112"/>
      <c r="W418" s="1112"/>
      <c r="X418" s="1112"/>
      <c r="Y418" s="1112"/>
      <c r="Z418" s="1112"/>
      <c r="AA418" s="1109"/>
      <c r="AB418" s="1109"/>
      <c r="AC418" s="1112"/>
      <c r="AD418" s="1112"/>
      <c r="AE418" s="436">
        <f t="shared" si="149"/>
        <v>0</v>
      </c>
      <c r="AF418" s="436">
        <f t="shared" si="150"/>
        <v>0</v>
      </c>
      <c r="AG418" s="436">
        <f t="shared" si="151"/>
        <v>0</v>
      </c>
      <c r="AH418" s="436">
        <f t="shared" si="152"/>
        <v>0</v>
      </c>
      <c r="AI418" s="436">
        <f t="shared" si="161"/>
        <v>0</v>
      </c>
      <c r="AJ418" s="436">
        <f t="shared" si="161"/>
        <v>0</v>
      </c>
      <c r="AK418" s="437">
        <f t="shared" si="154"/>
        <v>0</v>
      </c>
      <c r="AL418" s="437">
        <f t="shared" si="155"/>
        <v>0</v>
      </c>
      <c r="AM418" s="437">
        <f t="shared" si="156"/>
        <v>0</v>
      </c>
      <c r="AN418" s="437">
        <f t="shared" si="145"/>
        <v>0</v>
      </c>
      <c r="AO418" s="437">
        <f t="shared" si="146"/>
        <v>0</v>
      </c>
      <c r="AP418" s="437">
        <f t="shared" si="160"/>
        <v>0</v>
      </c>
      <c r="AQ418" s="437">
        <f t="shared" si="160"/>
        <v>0</v>
      </c>
      <c r="AR418" s="436"/>
      <c r="AS418" s="437">
        <f t="shared" si="147"/>
        <v>0</v>
      </c>
    </row>
    <row r="419" spans="1:45" s="438" customFormat="1" ht="24.95" customHeight="1">
      <c r="A419" s="1134"/>
      <c r="B419" s="1134"/>
      <c r="C419" s="1139" t="s">
        <v>564</v>
      </c>
      <c r="D419" s="1134" t="s">
        <v>572</v>
      </c>
      <c r="E419" s="1134" t="s">
        <v>722</v>
      </c>
      <c r="F419" s="1134">
        <v>9</v>
      </c>
      <c r="G419" s="1112">
        <v>5005</v>
      </c>
      <c r="H419" s="1112"/>
      <c r="I419" s="1112"/>
      <c r="J419" s="1112"/>
      <c r="K419" s="1112"/>
      <c r="L419" s="1140"/>
      <c r="M419" s="1140"/>
      <c r="N419" s="1112">
        <f>G419+I420</f>
        <v>5005</v>
      </c>
      <c r="O419" s="1112">
        <v>1</v>
      </c>
      <c r="P419" s="1112"/>
      <c r="Q419" s="1140"/>
      <c r="R419" s="1140"/>
      <c r="S419" s="1140"/>
      <c r="T419" s="1134">
        <v>35</v>
      </c>
      <c r="U419" s="1138">
        <v>0.3</v>
      </c>
      <c r="V419" s="1112">
        <f>N419*U419</f>
        <v>1501.5</v>
      </c>
      <c r="W419" s="1112"/>
      <c r="X419" s="1112">
        <f>(N419+V419)*O419</f>
        <v>6506.5</v>
      </c>
      <c r="Y419" s="1112">
        <f>AB419</f>
        <v>6993.5</v>
      </c>
      <c r="Z419" s="1112">
        <f>X419+Y419</f>
        <v>13500</v>
      </c>
      <c r="AA419" s="1109">
        <f>13500*O419</f>
        <v>13500</v>
      </c>
      <c r="AB419" s="1109">
        <f>AA419-X419</f>
        <v>6993.5</v>
      </c>
      <c r="AC419" s="1112">
        <f>6500*O419</f>
        <v>6500</v>
      </c>
      <c r="AD419" s="1112"/>
      <c r="AE419" s="436">
        <f t="shared" si="149"/>
        <v>5005</v>
      </c>
      <c r="AF419" s="436">
        <f t="shared" si="150"/>
        <v>0</v>
      </c>
      <c r="AG419" s="436">
        <f t="shared" si="151"/>
        <v>5005</v>
      </c>
      <c r="AH419" s="436">
        <f t="shared" si="152"/>
        <v>0</v>
      </c>
      <c r="AI419" s="436">
        <f t="shared" si="161"/>
        <v>0</v>
      </c>
      <c r="AJ419" s="436">
        <f t="shared" si="161"/>
        <v>0</v>
      </c>
      <c r="AK419" s="437">
        <f t="shared" si="154"/>
        <v>1501.5</v>
      </c>
      <c r="AL419" s="437">
        <f t="shared" si="155"/>
        <v>0</v>
      </c>
      <c r="AM419" s="437">
        <f t="shared" si="156"/>
        <v>0</v>
      </c>
      <c r="AN419" s="437">
        <f t="shared" si="145"/>
        <v>0</v>
      </c>
      <c r="AO419" s="437">
        <f t="shared" si="146"/>
        <v>0</v>
      </c>
      <c r="AP419" s="437">
        <f t="shared" si="160"/>
        <v>5005</v>
      </c>
      <c r="AQ419" s="437">
        <f t="shared" si="160"/>
        <v>0</v>
      </c>
      <c r="AR419" s="436"/>
      <c r="AS419" s="437">
        <f t="shared" si="147"/>
        <v>5005</v>
      </c>
    </row>
    <row r="420" spans="1:45" s="438" customFormat="1" ht="24.95" customHeight="1">
      <c r="A420" s="1134"/>
      <c r="B420" s="1134"/>
      <c r="C420" s="1139"/>
      <c r="D420" s="1134"/>
      <c r="E420" s="1134"/>
      <c r="F420" s="1134"/>
      <c r="G420" s="1112"/>
      <c r="H420" s="1112"/>
      <c r="I420" s="1112"/>
      <c r="J420" s="1112"/>
      <c r="K420" s="1112"/>
      <c r="L420" s="1140"/>
      <c r="M420" s="1140"/>
      <c r="N420" s="1112"/>
      <c r="O420" s="1112"/>
      <c r="P420" s="1112"/>
      <c r="Q420" s="1140"/>
      <c r="R420" s="1140"/>
      <c r="S420" s="1140"/>
      <c r="T420" s="1134"/>
      <c r="U420" s="1138"/>
      <c r="V420" s="1112"/>
      <c r="W420" s="1112"/>
      <c r="X420" s="1112"/>
      <c r="Y420" s="1112"/>
      <c r="Z420" s="1112"/>
      <c r="AA420" s="1109"/>
      <c r="AB420" s="1109"/>
      <c r="AC420" s="1112"/>
      <c r="AD420" s="1112"/>
      <c r="AE420" s="436">
        <f t="shared" si="149"/>
        <v>0</v>
      </c>
      <c r="AF420" s="436">
        <f t="shared" si="150"/>
        <v>0</v>
      </c>
      <c r="AG420" s="436">
        <f t="shared" si="151"/>
        <v>0</v>
      </c>
      <c r="AH420" s="436">
        <f t="shared" si="152"/>
        <v>0</v>
      </c>
      <c r="AI420" s="436">
        <f t="shared" si="161"/>
        <v>0</v>
      </c>
      <c r="AJ420" s="436">
        <f t="shared" si="161"/>
        <v>0</v>
      </c>
      <c r="AK420" s="437">
        <f t="shared" si="154"/>
        <v>0</v>
      </c>
      <c r="AL420" s="437">
        <f t="shared" si="155"/>
        <v>0</v>
      </c>
      <c r="AM420" s="437">
        <f t="shared" si="156"/>
        <v>0</v>
      </c>
      <c r="AN420" s="437">
        <f t="shared" ref="AN420:AN483" si="163">S420*O420</f>
        <v>0</v>
      </c>
      <c r="AO420" s="437">
        <f t="shared" ref="AO420:AO483" si="164">S420*P420</f>
        <v>0</v>
      </c>
      <c r="AP420" s="437">
        <f t="shared" si="160"/>
        <v>0</v>
      </c>
      <c r="AQ420" s="437">
        <f t="shared" si="160"/>
        <v>0</v>
      </c>
      <c r="AR420" s="436"/>
      <c r="AS420" s="437">
        <f t="shared" si="147"/>
        <v>0</v>
      </c>
    </row>
    <row r="421" spans="1:45" s="446" customFormat="1" ht="24.95" customHeight="1">
      <c r="A421" s="441"/>
      <c r="B421" s="441"/>
      <c r="C421" s="442" t="s">
        <v>318</v>
      </c>
      <c r="D421" s="443"/>
      <c r="E421" s="441"/>
      <c r="F421" s="441"/>
      <c r="G421" s="444">
        <f>SUM(G407:G420)</f>
        <v>34225</v>
      </c>
      <c r="H421" s="441">
        <f>H408</f>
        <v>500.5</v>
      </c>
      <c r="I421" s="441"/>
      <c r="J421" s="441"/>
      <c r="K421" s="441"/>
      <c r="L421" s="441"/>
      <c r="M421" s="441"/>
      <c r="N421" s="444">
        <f>SUM(N407:N420)</f>
        <v>34725.5</v>
      </c>
      <c r="O421" s="444">
        <f>SUM(O407:O420)</f>
        <v>6</v>
      </c>
      <c r="P421" s="444">
        <f>SUM(P407:P420)</f>
        <v>0</v>
      </c>
      <c r="Q421" s="444"/>
      <c r="R421" s="444"/>
      <c r="S421" s="444"/>
      <c r="T421" s="444"/>
      <c r="U421" s="444"/>
      <c r="V421" s="444">
        <f t="shared" ref="V421:AD421" si="165">SUM(V407:V420)</f>
        <v>8916.15</v>
      </c>
      <c r="W421" s="444">
        <f t="shared" si="165"/>
        <v>1270.75</v>
      </c>
      <c r="X421" s="444">
        <f t="shared" si="165"/>
        <v>39683.15</v>
      </c>
      <c r="Y421" s="444">
        <f t="shared" si="165"/>
        <v>41316.85</v>
      </c>
      <c r="Z421" s="444">
        <f t="shared" si="165"/>
        <v>81000</v>
      </c>
      <c r="AA421" s="499">
        <f t="shared" si="165"/>
        <v>81000</v>
      </c>
      <c r="AB421" s="499">
        <f t="shared" si="165"/>
        <v>41316.85</v>
      </c>
      <c r="AC421" s="444">
        <f t="shared" si="165"/>
        <v>39000</v>
      </c>
      <c r="AD421" s="444">
        <f t="shared" si="165"/>
        <v>1270.75</v>
      </c>
      <c r="AE421" s="436"/>
      <c r="AF421" s="436"/>
      <c r="AG421" s="436"/>
      <c r="AH421" s="436"/>
      <c r="AI421" s="436"/>
      <c r="AJ421" s="436"/>
      <c r="AK421" s="437"/>
      <c r="AL421" s="437"/>
      <c r="AM421" s="437"/>
      <c r="AN421" s="437"/>
      <c r="AO421" s="437"/>
      <c r="AP421" s="437">
        <f t="shared" si="160"/>
        <v>0</v>
      </c>
      <c r="AQ421" s="437">
        <f t="shared" si="160"/>
        <v>0</v>
      </c>
      <c r="AR421" s="436"/>
      <c r="AS421" s="437">
        <f t="shared" si="147"/>
        <v>0</v>
      </c>
    </row>
    <row r="422" spans="1:45" s="456" customFormat="1" ht="24.95" customHeight="1">
      <c r="A422" s="455"/>
      <c r="B422" s="455"/>
      <c r="C422" s="1135" t="s">
        <v>723</v>
      </c>
      <c r="D422" s="1135"/>
      <c r="E422" s="455"/>
      <c r="F422" s="455"/>
      <c r="G422" s="455"/>
      <c r="H422" s="455"/>
      <c r="I422" s="455"/>
      <c r="J422" s="455"/>
      <c r="K422" s="455"/>
      <c r="L422" s="455"/>
      <c r="M422" s="455"/>
      <c r="N422" s="455"/>
      <c r="O422" s="455"/>
      <c r="P422" s="455"/>
      <c r="Q422" s="455"/>
      <c r="R422" s="455"/>
      <c r="S422" s="455"/>
      <c r="T422" s="455"/>
      <c r="U422" s="455"/>
      <c r="V422" s="455"/>
      <c r="W422" s="455"/>
      <c r="X422" s="455"/>
      <c r="Y422" s="455"/>
      <c r="Z422" s="455"/>
      <c r="AA422" s="504"/>
      <c r="AB422" s="504"/>
      <c r="AC422" s="455"/>
      <c r="AD422" s="455"/>
      <c r="AE422" s="436">
        <f t="shared" si="149"/>
        <v>0</v>
      </c>
      <c r="AF422" s="436">
        <f t="shared" si="150"/>
        <v>0</v>
      </c>
      <c r="AG422" s="436">
        <f t="shared" si="151"/>
        <v>0</v>
      </c>
      <c r="AH422" s="436">
        <f t="shared" si="152"/>
        <v>0</v>
      </c>
      <c r="AI422" s="436">
        <f t="shared" si="161"/>
        <v>0</v>
      </c>
      <c r="AJ422" s="436">
        <f t="shared" si="161"/>
        <v>0</v>
      </c>
      <c r="AK422" s="437">
        <f t="shared" si="154"/>
        <v>0</v>
      </c>
      <c r="AL422" s="437">
        <f t="shared" si="155"/>
        <v>0</v>
      </c>
      <c r="AM422" s="437">
        <f t="shared" si="156"/>
        <v>0</v>
      </c>
      <c r="AN422" s="437">
        <f t="shared" si="163"/>
        <v>0</v>
      </c>
      <c r="AO422" s="437">
        <f t="shared" si="164"/>
        <v>0</v>
      </c>
      <c r="AP422" s="437">
        <f t="shared" si="160"/>
        <v>0</v>
      </c>
      <c r="AQ422" s="437">
        <f t="shared" si="160"/>
        <v>0</v>
      </c>
      <c r="AR422" s="436"/>
      <c r="AS422" s="437">
        <f t="shared" ref="AS422:AS468" si="166">AP422+AQ422-AR422</f>
        <v>0</v>
      </c>
    </row>
    <row r="423" spans="1:45" s="438" customFormat="1" ht="24.95" customHeight="1">
      <c r="A423" s="1134"/>
      <c r="B423" s="1134"/>
      <c r="C423" s="1139" t="s">
        <v>724</v>
      </c>
      <c r="D423" s="1134" t="s">
        <v>589</v>
      </c>
      <c r="E423" s="1134" t="s">
        <v>725</v>
      </c>
      <c r="F423" s="1134">
        <v>9</v>
      </c>
      <c r="G423" s="1112">
        <v>5005</v>
      </c>
      <c r="H423" s="1112"/>
      <c r="I423" s="1112"/>
      <c r="J423" s="1112"/>
      <c r="K423" s="1112"/>
      <c r="L423" s="1112"/>
      <c r="M423" s="1140"/>
      <c r="N423" s="1112">
        <f>G423+H424+K424+L424</f>
        <v>5005</v>
      </c>
      <c r="O423" s="1112">
        <v>1</v>
      </c>
      <c r="P423" s="1112"/>
      <c r="Q423" s="1140"/>
      <c r="R423" s="1140"/>
      <c r="S423" s="1140"/>
      <c r="T423" s="1134">
        <v>30</v>
      </c>
      <c r="U423" s="1138">
        <v>0.3</v>
      </c>
      <c r="V423" s="1112">
        <f>N423*U423</f>
        <v>1501.5</v>
      </c>
      <c r="W423" s="1112"/>
      <c r="X423" s="1112">
        <f>(N423+V423)*O423</f>
        <v>6506.5</v>
      </c>
      <c r="Y423" s="1112">
        <f>AB423</f>
        <v>6993.5</v>
      </c>
      <c r="Z423" s="1112">
        <f>X423+Y423</f>
        <v>13500</v>
      </c>
      <c r="AA423" s="1109">
        <f>13500*O423</f>
        <v>13500</v>
      </c>
      <c r="AB423" s="1109">
        <f>AA423-X423</f>
        <v>6993.5</v>
      </c>
      <c r="AC423" s="1112">
        <f>6500*O423</f>
        <v>6500</v>
      </c>
      <c r="AD423" s="1112"/>
      <c r="AE423" s="436">
        <f t="shared" si="149"/>
        <v>5005</v>
      </c>
      <c r="AF423" s="436">
        <f t="shared" si="150"/>
        <v>0</v>
      </c>
      <c r="AG423" s="436">
        <f t="shared" si="151"/>
        <v>5005</v>
      </c>
      <c r="AH423" s="436">
        <f t="shared" si="152"/>
        <v>0</v>
      </c>
      <c r="AI423" s="436">
        <f t="shared" si="161"/>
        <v>0</v>
      </c>
      <c r="AJ423" s="436">
        <f t="shared" si="161"/>
        <v>0</v>
      </c>
      <c r="AK423" s="437">
        <f t="shared" si="154"/>
        <v>1501.5</v>
      </c>
      <c r="AL423" s="437">
        <f t="shared" si="155"/>
        <v>0</v>
      </c>
      <c r="AM423" s="437">
        <f t="shared" si="156"/>
        <v>0</v>
      </c>
      <c r="AN423" s="437">
        <f t="shared" si="163"/>
        <v>0</v>
      </c>
      <c r="AO423" s="437">
        <f t="shared" si="164"/>
        <v>0</v>
      </c>
      <c r="AP423" s="437">
        <f t="shared" si="160"/>
        <v>5005</v>
      </c>
      <c r="AQ423" s="437">
        <f t="shared" si="160"/>
        <v>0</v>
      </c>
      <c r="AR423" s="436"/>
      <c r="AS423" s="437">
        <f t="shared" si="166"/>
        <v>5005</v>
      </c>
    </row>
    <row r="424" spans="1:45" s="438" customFormat="1" ht="24.95" customHeight="1">
      <c r="A424" s="1134"/>
      <c r="B424" s="1134"/>
      <c r="C424" s="1139"/>
      <c r="D424" s="1134"/>
      <c r="E424" s="1134"/>
      <c r="F424" s="1134"/>
      <c r="G424" s="1112"/>
      <c r="H424" s="1112"/>
      <c r="I424" s="1112"/>
      <c r="J424" s="1112"/>
      <c r="K424" s="1112"/>
      <c r="L424" s="1112"/>
      <c r="M424" s="1140"/>
      <c r="N424" s="1112"/>
      <c r="O424" s="1112"/>
      <c r="P424" s="1112"/>
      <c r="Q424" s="1140"/>
      <c r="R424" s="1140"/>
      <c r="S424" s="1140"/>
      <c r="T424" s="1134"/>
      <c r="U424" s="1138"/>
      <c r="V424" s="1112"/>
      <c r="W424" s="1112"/>
      <c r="X424" s="1112"/>
      <c r="Y424" s="1112"/>
      <c r="Z424" s="1112"/>
      <c r="AA424" s="1109"/>
      <c r="AB424" s="1109"/>
      <c r="AC424" s="1112"/>
      <c r="AD424" s="1112"/>
      <c r="AE424" s="436">
        <f t="shared" si="149"/>
        <v>0</v>
      </c>
      <c r="AF424" s="436">
        <f t="shared" si="150"/>
        <v>0</v>
      </c>
      <c r="AG424" s="436">
        <f t="shared" si="151"/>
        <v>0</v>
      </c>
      <c r="AH424" s="436">
        <f t="shared" si="152"/>
        <v>0</v>
      </c>
      <c r="AI424" s="436">
        <f t="shared" si="161"/>
        <v>0</v>
      </c>
      <c r="AJ424" s="436">
        <f t="shared" si="161"/>
        <v>0</v>
      </c>
      <c r="AK424" s="437">
        <f t="shared" si="154"/>
        <v>0</v>
      </c>
      <c r="AL424" s="437">
        <f t="shared" si="155"/>
        <v>0</v>
      </c>
      <c r="AM424" s="437">
        <f t="shared" si="156"/>
        <v>0</v>
      </c>
      <c r="AN424" s="437">
        <f t="shared" si="163"/>
        <v>0</v>
      </c>
      <c r="AO424" s="437">
        <f t="shared" si="164"/>
        <v>0</v>
      </c>
      <c r="AP424" s="437">
        <f t="shared" si="160"/>
        <v>0</v>
      </c>
      <c r="AQ424" s="437">
        <f t="shared" si="160"/>
        <v>0</v>
      </c>
      <c r="AR424" s="436"/>
      <c r="AS424" s="437">
        <f t="shared" si="166"/>
        <v>0</v>
      </c>
    </row>
    <row r="425" spans="1:45" s="446" customFormat="1" ht="24.95" customHeight="1">
      <c r="A425" s="441"/>
      <c r="B425" s="441"/>
      <c r="C425" s="442" t="s">
        <v>318</v>
      </c>
      <c r="D425" s="443"/>
      <c r="E425" s="441"/>
      <c r="F425" s="441"/>
      <c r="G425" s="444">
        <f>SUM(G423)</f>
        <v>5005</v>
      </c>
      <c r="H425" s="441"/>
      <c r="I425" s="441"/>
      <c r="J425" s="441"/>
      <c r="K425" s="441"/>
      <c r="L425" s="441"/>
      <c r="M425" s="441"/>
      <c r="N425" s="444">
        <f>SUM(N423:N424)</f>
        <v>5005</v>
      </c>
      <c r="O425" s="444">
        <f>SUM(O423:O424)</f>
        <v>1</v>
      </c>
      <c r="P425" s="444">
        <f>SUM(P423:P424)</f>
        <v>0</v>
      </c>
      <c r="Q425" s="444"/>
      <c r="R425" s="444"/>
      <c r="S425" s="444"/>
      <c r="T425" s="444"/>
      <c r="U425" s="444"/>
      <c r="V425" s="444">
        <f t="shared" ref="V425:AD425" si="167">SUM(V423:V424)</f>
        <v>1501.5</v>
      </c>
      <c r="W425" s="444">
        <f t="shared" si="167"/>
        <v>0</v>
      </c>
      <c r="X425" s="444">
        <f t="shared" si="167"/>
        <v>6506.5</v>
      </c>
      <c r="Y425" s="444">
        <f t="shared" si="167"/>
        <v>6993.5</v>
      </c>
      <c r="Z425" s="444">
        <f t="shared" si="167"/>
        <v>13500</v>
      </c>
      <c r="AA425" s="499">
        <f t="shared" si="167"/>
        <v>13500</v>
      </c>
      <c r="AB425" s="499">
        <f t="shared" si="167"/>
        <v>6993.5</v>
      </c>
      <c r="AC425" s="444">
        <f t="shared" si="167"/>
        <v>6500</v>
      </c>
      <c r="AD425" s="444">
        <f t="shared" si="167"/>
        <v>0</v>
      </c>
      <c r="AE425" s="436"/>
      <c r="AF425" s="436"/>
      <c r="AG425" s="436"/>
      <c r="AH425" s="436"/>
      <c r="AI425" s="436"/>
      <c r="AJ425" s="436"/>
      <c r="AK425" s="437"/>
      <c r="AL425" s="437"/>
      <c r="AM425" s="437"/>
      <c r="AN425" s="437"/>
      <c r="AO425" s="437"/>
      <c r="AP425" s="437">
        <f t="shared" si="160"/>
        <v>0</v>
      </c>
      <c r="AQ425" s="437">
        <f t="shared" si="160"/>
        <v>0</v>
      </c>
      <c r="AR425" s="436"/>
      <c r="AS425" s="437">
        <f t="shared" si="166"/>
        <v>0</v>
      </c>
    </row>
    <row r="426" spans="1:45" s="456" customFormat="1" ht="24.95" customHeight="1">
      <c r="A426" s="455"/>
      <c r="B426" s="455"/>
      <c r="C426" s="1136" t="s">
        <v>726</v>
      </c>
      <c r="D426" s="1137"/>
      <c r="E426" s="455"/>
      <c r="F426" s="455"/>
      <c r="G426" s="455"/>
      <c r="H426" s="455"/>
      <c r="I426" s="455"/>
      <c r="J426" s="455"/>
      <c r="K426" s="455"/>
      <c r="L426" s="455"/>
      <c r="M426" s="455"/>
      <c r="N426" s="455"/>
      <c r="O426" s="455"/>
      <c r="P426" s="455"/>
      <c r="Q426" s="455"/>
      <c r="R426" s="455"/>
      <c r="S426" s="455"/>
      <c r="T426" s="455"/>
      <c r="U426" s="455"/>
      <c r="V426" s="455"/>
      <c r="W426" s="455"/>
      <c r="X426" s="455"/>
      <c r="Y426" s="455"/>
      <c r="Z426" s="455"/>
      <c r="AA426" s="504"/>
      <c r="AB426" s="504"/>
      <c r="AC426" s="455"/>
      <c r="AD426" s="455"/>
      <c r="AE426" s="436"/>
      <c r="AF426" s="436"/>
      <c r="AG426" s="436"/>
      <c r="AH426" s="436"/>
      <c r="AI426" s="436"/>
      <c r="AJ426" s="436"/>
      <c r="AK426" s="437"/>
      <c r="AL426" s="437"/>
      <c r="AM426" s="437"/>
      <c r="AN426" s="437"/>
      <c r="AO426" s="437"/>
      <c r="AP426" s="437">
        <f t="shared" si="160"/>
        <v>0</v>
      </c>
      <c r="AQ426" s="437">
        <f t="shared" si="160"/>
        <v>0</v>
      </c>
      <c r="AR426" s="436"/>
      <c r="AS426" s="437">
        <f t="shared" si="166"/>
        <v>0</v>
      </c>
    </row>
    <row r="427" spans="1:45" s="438" customFormat="1" ht="24.95" customHeight="1">
      <c r="A427" s="1134"/>
      <c r="B427" s="1134"/>
      <c r="C427" s="1139" t="s">
        <v>727</v>
      </c>
      <c r="D427" s="1140"/>
      <c r="E427" s="1140" t="s">
        <v>325</v>
      </c>
      <c r="F427" s="1134">
        <v>9</v>
      </c>
      <c r="G427" s="1112">
        <v>5005</v>
      </c>
      <c r="H427" s="1112"/>
      <c r="I427" s="1112"/>
      <c r="J427" s="1112"/>
      <c r="K427" s="1112"/>
      <c r="L427" s="1112"/>
      <c r="M427" s="1112"/>
      <c r="N427" s="1112">
        <f>G427+H428</f>
        <v>5005</v>
      </c>
      <c r="O427" s="1112">
        <v>1</v>
      </c>
      <c r="P427" s="1112"/>
      <c r="Q427" s="1112"/>
      <c r="R427" s="1112"/>
      <c r="S427" s="1112"/>
      <c r="T427" s="1134"/>
      <c r="U427" s="1138">
        <v>0</v>
      </c>
      <c r="V427" s="1112">
        <f>N427*U427</f>
        <v>0</v>
      </c>
      <c r="W427" s="1112">
        <f>AD427</f>
        <v>1495</v>
      </c>
      <c r="X427" s="1112">
        <f>(N427+V427)*O427+W427</f>
        <v>6500</v>
      </c>
      <c r="Y427" s="1112">
        <f>AB427</f>
        <v>7000</v>
      </c>
      <c r="Z427" s="1112">
        <f>X427+Y427</f>
        <v>13500</v>
      </c>
      <c r="AA427" s="1109">
        <f>13500*O427</f>
        <v>13500</v>
      </c>
      <c r="AB427" s="1109">
        <f>AA427-X427</f>
        <v>7000</v>
      </c>
      <c r="AC427" s="1112">
        <f>6500*O427</f>
        <v>6500</v>
      </c>
      <c r="AD427" s="1112">
        <f>AC427-(N427*O427)-V427</f>
        <v>1495</v>
      </c>
      <c r="AE427" s="436">
        <f t="shared" ref="AE427:AE432" si="168">G427*O427</f>
        <v>5005</v>
      </c>
      <c r="AF427" s="436">
        <f t="shared" ref="AF427:AF432" si="169">G427*P427</f>
        <v>0</v>
      </c>
      <c r="AG427" s="436">
        <f t="shared" ref="AG427:AG432" si="170">N427*O427</f>
        <v>5005</v>
      </c>
      <c r="AH427" s="436">
        <f t="shared" ref="AH427:AH432" si="171">N427*P427</f>
        <v>0</v>
      </c>
      <c r="AI427" s="436">
        <f t="shared" si="161"/>
        <v>0</v>
      </c>
      <c r="AJ427" s="436">
        <f t="shared" si="161"/>
        <v>0</v>
      </c>
      <c r="AK427" s="437">
        <f t="shared" ref="AK427:AK432" si="172">V427*O427</f>
        <v>0</v>
      </c>
      <c r="AL427" s="437">
        <f t="shared" ref="AL427:AL432" si="173">V427*P427</f>
        <v>0</v>
      </c>
      <c r="AM427" s="437">
        <f t="shared" ref="AM427:AM432" si="174">W427</f>
        <v>1495</v>
      </c>
      <c r="AN427" s="437">
        <f t="shared" si="163"/>
        <v>0</v>
      </c>
      <c r="AO427" s="437">
        <f t="shared" si="164"/>
        <v>0</v>
      </c>
      <c r="AP427" s="437">
        <f t="shared" si="160"/>
        <v>5005</v>
      </c>
      <c r="AQ427" s="437">
        <f t="shared" si="160"/>
        <v>0</v>
      </c>
      <c r="AR427" s="436"/>
      <c r="AS427" s="437">
        <f t="shared" si="166"/>
        <v>5005</v>
      </c>
    </row>
    <row r="428" spans="1:45" s="438" customFormat="1" ht="24.95" customHeight="1">
      <c r="A428" s="1134"/>
      <c r="B428" s="1134"/>
      <c r="C428" s="1139"/>
      <c r="D428" s="1140"/>
      <c r="E428" s="1140"/>
      <c r="F428" s="1134"/>
      <c r="G428" s="1112"/>
      <c r="H428" s="1112"/>
      <c r="I428" s="1112"/>
      <c r="J428" s="1112"/>
      <c r="K428" s="1112"/>
      <c r="L428" s="1112"/>
      <c r="M428" s="1112"/>
      <c r="N428" s="1112"/>
      <c r="O428" s="1112"/>
      <c r="P428" s="1112"/>
      <c r="Q428" s="1112"/>
      <c r="R428" s="1112"/>
      <c r="S428" s="1112"/>
      <c r="T428" s="1134"/>
      <c r="U428" s="1138"/>
      <c r="V428" s="1112"/>
      <c r="W428" s="1112"/>
      <c r="X428" s="1112"/>
      <c r="Y428" s="1112"/>
      <c r="Z428" s="1112"/>
      <c r="AA428" s="1109"/>
      <c r="AB428" s="1109"/>
      <c r="AC428" s="1112"/>
      <c r="AD428" s="1112"/>
      <c r="AE428" s="436">
        <f t="shared" si="168"/>
        <v>0</v>
      </c>
      <c r="AF428" s="436">
        <f t="shared" si="169"/>
        <v>0</v>
      </c>
      <c r="AG428" s="436">
        <f t="shared" si="170"/>
        <v>0</v>
      </c>
      <c r="AH428" s="436">
        <f t="shared" si="171"/>
        <v>0</v>
      </c>
      <c r="AI428" s="436">
        <f t="shared" si="161"/>
        <v>0</v>
      </c>
      <c r="AJ428" s="436">
        <f t="shared" si="161"/>
        <v>0</v>
      </c>
      <c r="AK428" s="437">
        <f t="shared" si="172"/>
        <v>0</v>
      </c>
      <c r="AL428" s="437">
        <f t="shared" si="173"/>
        <v>0</v>
      </c>
      <c r="AM428" s="437">
        <f t="shared" si="174"/>
        <v>0</v>
      </c>
      <c r="AN428" s="437">
        <f t="shared" si="163"/>
        <v>0</v>
      </c>
      <c r="AO428" s="437">
        <f t="shared" si="164"/>
        <v>0</v>
      </c>
      <c r="AP428" s="437">
        <f t="shared" si="160"/>
        <v>0</v>
      </c>
      <c r="AQ428" s="437">
        <f t="shared" si="160"/>
        <v>0</v>
      </c>
      <c r="AR428" s="436"/>
      <c r="AS428" s="437">
        <f t="shared" si="166"/>
        <v>0</v>
      </c>
    </row>
    <row r="429" spans="1:45" s="438" customFormat="1" ht="24.95" customHeight="1">
      <c r="A429" s="1134"/>
      <c r="B429" s="1134"/>
      <c r="C429" s="1139" t="s">
        <v>728</v>
      </c>
      <c r="D429" s="1140" t="s">
        <v>729</v>
      </c>
      <c r="E429" s="1140" t="s">
        <v>730</v>
      </c>
      <c r="F429" s="1134">
        <v>7</v>
      </c>
      <c r="G429" s="1112">
        <v>4455</v>
      </c>
      <c r="H429" s="1112"/>
      <c r="I429" s="1112"/>
      <c r="J429" s="1112"/>
      <c r="K429" s="1112"/>
      <c r="L429" s="1140"/>
      <c r="M429" s="1140"/>
      <c r="N429" s="1112">
        <f>G429+I430</f>
        <v>4455</v>
      </c>
      <c r="O429" s="1112">
        <v>1</v>
      </c>
      <c r="P429" s="1112"/>
      <c r="Q429" s="1140"/>
      <c r="R429" s="1140"/>
      <c r="S429" s="1140"/>
      <c r="T429" s="1134">
        <v>20</v>
      </c>
      <c r="U429" s="1138">
        <v>0.3</v>
      </c>
      <c r="V429" s="1112">
        <f>N429*U429</f>
        <v>1336.5</v>
      </c>
      <c r="W429" s="1112">
        <f>AD429</f>
        <v>708.5</v>
      </c>
      <c r="X429" s="1112">
        <f>(N429+V429)*O429+W429</f>
        <v>6500</v>
      </c>
      <c r="Y429" s="1112">
        <f>AB429</f>
        <v>7000</v>
      </c>
      <c r="Z429" s="1112">
        <f>X429+Y429</f>
        <v>13500</v>
      </c>
      <c r="AA429" s="1109">
        <f>13500*O429</f>
        <v>13500</v>
      </c>
      <c r="AB429" s="1109">
        <f>AA429-X429</f>
        <v>7000</v>
      </c>
      <c r="AC429" s="1112">
        <f>6500*O429</f>
        <v>6500</v>
      </c>
      <c r="AD429" s="1112">
        <f>AC429-(N429*O429)-V429</f>
        <v>708.5</v>
      </c>
      <c r="AE429" s="436">
        <f t="shared" si="168"/>
        <v>4455</v>
      </c>
      <c r="AF429" s="436">
        <f t="shared" si="169"/>
        <v>0</v>
      </c>
      <c r="AG429" s="436">
        <f t="shared" si="170"/>
        <v>4455</v>
      </c>
      <c r="AH429" s="436">
        <f t="shared" si="171"/>
        <v>0</v>
      </c>
      <c r="AI429" s="436">
        <f>AG429-AE429</f>
        <v>0</v>
      </c>
      <c r="AJ429" s="436">
        <f>AH429-AF429</f>
        <v>0</v>
      </c>
      <c r="AK429" s="437">
        <f t="shared" si="172"/>
        <v>1336.5</v>
      </c>
      <c r="AL429" s="437">
        <f t="shared" si="173"/>
        <v>0</v>
      </c>
      <c r="AM429" s="437">
        <f t="shared" si="174"/>
        <v>708.5</v>
      </c>
      <c r="AN429" s="437">
        <f t="shared" si="163"/>
        <v>0</v>
      </c>
      <c r="AO429" s="437">
        <f t="shared" si="164"/>
        <v>0</v>
      </c>
      <c r="AP429" s="437">
        <f>AG429</f>
        <v>4455</v>
      </c>
      <c r="AQ429" s="437">
        <f>AH429</f>
        <v>0</v>
      </c>
      <c r="AR429" s="436"/>
      <c r="AS429" s="437">
        <f t="shared" si="166"/>
        <v>4455</v>
      </c>
    </row>
    <row r="430" spans="1:45" s="438" customFormat="1" ht="24.95" customHeight="1">
      <c r="A430" s="1134"/>
      <c r="B430" s="1134"/>
      <c r="C430" s="1139"/>
      <c r="D430" s="1140"/>
      <c r="E430" s="1140"/>
      <c r="F430" s="1134"/>
      <c r="G430" s="1112"/>
      <c r="H430" s="1112"/>
      <c r="I430" s="1112"/>
      <c r="J430" s="1112"/>
      <c r="K430" s="1112"/>
      <c r="L430" s="1140"/>
      <c r="M430" s="1140"/>
      <c r="N430" s="1112"/>
      <c r="O430" s="1112"/>
      <c r="P430" s="1112"/>
      <c r="Q430" s="1140"/>
      <c r="R430" s="1140"/>
      <c r="S430" s="1140"/>
      <c r="T430" s="1134"/>
      <c r="U430" s="1138"/>
      <c r="V430" s="1112"/>
      <c r="W430" s="1112"/>
      <c r="X430" s="1112"/>
      <c r="Y430" s="1112"/>
      <c r="Z430" s="1112"/>
      <c r="AA430" s="1109"/>
      <c r="AB430" s="1109"/>
      <c r="AC430" s="1112"/>
      <c r="AD430" s="1112"/>
      <c r="AE430" s="436">
        <f t="shared" si="168"/>
        <v>0</v>
      </c>
      <c r="AF430" s="436">
        <f t="shared" si="169"/>
        <v>0</v>
      </c>
      <c r="AG430" s="436">
        <f t="shared" si="170"/>
        <v>0</v>
      </c>
      <c r="AH430" s="436">
        <f t="shared" si="171"/>
        <v>0</v>
      </c>
      <c r="AI430" s="436">
        <f>AG430-AE430</f>
        <v>0</v>
      </c>
      <c r="AJ430" s="436">
        <f>AH430-AF430</f>
        <v>0</v>
      </c>
      <c r="AK430" s="437">
        <f t="shared" si="172"/>
        <v>0</v>
      </c>
      <c r="AL430" s="437">
        <f t="shared" si="173"/>
        <v>0</v>
      </c>
      <c r="AM430" s="437">
        <f t="shared" si="174"/>
        <v>0</v>
      </c>
      <c r="AN430" s="437">
        <f t="shared" si="163"/>
        <v>0</v>
      </c>
      <c r="AO430" s="437">
        <f t="shared" si="164"/>
        <v>0</v>
      </c>
      <c r="AP430" s="437">
        <f>AG430</f>
        <v>0</v>
      </c>
      <c r="AQ430" s="437">
        <f>AH430</f>
        <v>0</v>
      </c>
      <c r="AR430" s="436"/>
      <c r="AS430" s="437">
        <f t="shared" si="166"/>
        <v>0</v>
      </c>
    </row>
    <row r="431" spans="1:45" s="438" customFormat="1" ht="24.95" customHeight="1">
      <c r="A431" s="1134"/>
      <c r="B431" s="1134"/>
      <c r="C431" s="1139" t="s">
        <v>728</v>
      </c>
      <c r="D431" s="1140" t="s">
        <v>731</v>
      </c>
      <c r="E431" s="1140" t="s">
        <v>732</v>
      </c>
      <c r="F431" s="1134">
        <v>8</v>
      </c>
      <c r="G431" s="1112">
        <v>4745</v>
      </c>
      <c r="H431" s="1112"/>
      <c r="I431" s="1112"/>
      <c r="J431" s="1112"/>
      <c r="K431" s="1112"/>
      <c r="L431" s="1140"/>
      <c r="M431" s="1140"/>
      <c r="N431" s="1112">
        <f>G431+I432</f>
        <v>4745</v>
      </c>
      <c r="O431" s="1112">
        <v>0.5</v>
      </c>
      <c r="P431" s="1112"/>
      <c r="Q431" s="1140"/>
      <c r="R431" s="1140"/>
      <c r="S431" s="1140"/>
      <c r="T431" s="1134">
        <v>13</v>
      </c>
      <c r="U431" s="1138">
        <v>0.2</v>
      </c>
      <c r="V431" s="1112">
        <f>N431*U431</f>
        <v>949</v>
      </c>
      <c r="W431" s="1112">
        <f>AD431</f>
        <v>372.59999999999991</v>
      </c>
      <c r="X431" s="1112">
        <f>(N431+V431)*O431+W431</f>
        <v>3219.6</v>
      </c>
      <c r="Y431" s="1112">
        <f>AB431</f>
        <v>3530.4</v>
      </c>
      <c r="Z431" s="1112">
        <f>X431+Y431</f>
        <v>6750</v>
      </c>
      <c r="AA431" s="1109">
        <f>13500*O431</f>
        <v>6750</v>
      </c>
      <c r="AB431" s="1109">
        <f>AA431-X431</f>
        <v>3530.4</v>
      </c>
      <c r="AC431" s="1112">
        <f>6500*O431</f>
        <v>3250</v>
      </c>
      <c r="AD431" s="1112">
        <f>3000-2627.4</f>
        <v>372.59999999999991</v>
      </c>
      <c r="AE431" s="436">
        <f t="shared" si="168"/>
        <v>2372.5</v>
      </c>
      <c r="AF431" s="436">
        <f t="shared" si="169"/>
        <v>0</v>
      </c>
      <c r="AG431" s="436">
        <f t="shared" si="170"/>
        <v>2372.5</v>
      </c>
      <c r="AH431" s="436">
        <f t="shared" si="171"/>
        <v>0</v>
      </c>
      <c r="AI431" s="436">
        <f t="shared" si="161"/>
        <v>0</v>
      </c>
      <c r="AJ431" s="436">
        <f t="shared" si="161"/>
        <v>0</v>
      </c>
      <c r="AK431" s="437">
        <f t="shared" si="172"/>
        <v>474.5</v>
      </c>
      <c r="AL431" s="437">
        <f t="shared" si="173"/>
        <v>0</v>
      </c>
      <c r="AM431" s="437">
        <f t="shared" si="174"/>
        <v>372.59999999999991</v>
      </c>
      <c r="AN431" s="437">
        <f t="shared" si="163"/>
        <v>0</v>
      </c>
      <c r="AO431" s="437">
        <f t="shared" si="164"/>
        <v>0</v>
      </c>
      <c r="AP431" s="437">
        <f t="shared" si="160"/>
        <v>2372.5</v>
      </c>
      <c r="AQ431" s="437">
        <f t="shared" si="160"/>
        <v>0</v>
      </c>
      <c r="AR431" s="436"/>
      <c r="AS431" s="437">
        <f t="shared" si="166"/>
        <v>2372.5</v>
      </c>
    </row>
    <row r="432" spans="1:45" s="438" customFormat="1" ht="24.95" customHeight="1">
      <c r="A432" s="1134"/>
      <c r="B432" s="1134"/>
      <c r="C432" s="1139"/>
      <c r="D432" s="1140"/>
      <c r="E432" s="1140"/>
      <c r="F432" s="1134"/>
      <c r="G432" s="1112"/>
      <c r="H432" s="1112"/>
      <c r="I432" s="1112"/>
      <c r="J432" s="1112"/>
      <c r="K432" s="1112"/>
      <c r="L432" s="1140"/>
      <c r="M432" s="1140"/>
      <c r="N432" s="1112"/>
      <c r="O432" s="1112"/>
      <c r="P432" s="1112"/>
      <c r="Q432" s="1140"/>
      <c r="R432" s="1140"/>
      <c r="S432" s="1140"/>
      <c r="T432" s="1134"/>
      <c r="U432" s="1138"/>
      <c r="V432" s="1112"/>
      <c r="W432" s="1112"/>
      <c r="X432" s="1112"/>
      <c r="Y432" s="1112"/>
      <c r="Z432" s="1112"/>
      <c r="AA432" s="1109"/>
      <c r="AB432" s="1109"/>
      <c r="AC432" s="1112"/>
      <c r="AD432" s="1112"/>
      <c r="AE432" s="436">
        <f t="shared" si="168"/>
        <v>0</v>
      </c>
      <c r="AF432" s="436">
        <f t="shared" si="169"/>
        <v>0</v>
      </c>
      <c r="AG432" s="436">
        <f t="shared" si="170"/>
        <v>0</v>
      </c>
      <c r="AH432" s="436">
        <f t="shared" si="171"/>
        <v>0</v>
      </c>
      <c r="AI432" s="436">
        <f t="shared" si="161"/>
        <v>0</v>
      </c>
      <c r="AJ432" s="436">
        <f t="shared" si="161"/>
        <v>0</v>
      </c>
      <c r="AK432" s="437">
        <f t="shared" si="172"/>
        <v>0</v>
      </c>
      <c r="AL432" s="437">
        <f t="shared" si="173"/>
        <v>0</v>
      </c>
      <c r="AM432" s="437">
        <f t="shared" si="174"/>
        <v>0</v>
      </c>
      <c r="AN432" s="437">
        <f t="shared" si="163"/>
        <v>0</v>
      </c>
      <c r="AO432" s="437">
        <f t="shared" si="164"/>
        <v>0</v>
      </c>
      <c r="AP432" s="437">
        <f t="shared" si="160"/>
        <v>0</v>
      </c>
      <c r="AQ432" s="437">
        <f t="shared" si="160"/>
        <v>0</v>
      </c>
      <c r="AR432" s="436"/>
      <c r="AS432" s="437">
        <f t="shared" si="166"/>
        <v>0</v>
      </c>
    </row>
    <row r="433" spans="1:45" s="446" customFormat="1" ht="24.95" customHeight="1">
      <c r="A433" s="441"/>
      <c r="B433" s="441"/>
      <c r="C433" s="442" t="s">
        <v>318</v>
      </c>
      <c r="D433" s="443"/>
      <c r="E433" s="441"/>
      <c r="F433" s="441"/>
      <c r="G433" s="444">
        <f>SUM(G427:G432)</f>
        <v>14205</v>
      </c>
      <c r="H433" s="441"/>
      <c r="I433" s="441"/>
      <c r="J433" s="441"/>
      <c r="K433" s="441"/>
      <c r="L433" s="441"/>
      <c r="M433" s="441"/>
      <c r="N433" s="444">
        <f>SUM(N427:N432)</f>
        <v>14205</v>
      </c>
      <c r="O433" s="444">
        <f>SUM(O427:O432)</f>
        <v>2.5</v>
      </c>
      <c r="P433" s="444">
        <f>SUM(P427:P432)</f>
        <v>0</v>
      </c>
      <c r="Q433" s="444"/>
      <c r="R433" s="444"/>
      <c r="S433" s="444"/>
      <c r="T433" s="444"/>
      <c r="U433" s="444"/>
      <c r="V433" s="444">
        <f t="shared" ref="V433:AD433" si="175">SUM(V427:V432)</f>
        <v>2285.5</v>
      </c>
      <c r="W433" s="444">
        <f t="shared" si="175"/>
        <v>2576.1</v>
      </c>
      <c r="X433" s="444">
        <f t="shared" si="175"/>
        <v>16219.6</v>
      </c>
      <c r="Y433" s="444">
        <f t="shared" si="175"/>
        <v>17530.400000000001</v>
      </c>
      <c r="Z433" s="444">
        <f t="shared" si="175"/>
        <v>33750</v>
      </c>
      <c r="AA433" s="499">
        <f t="shared" si="175"/>
        <v>33750</v>
      </c>
      <c r="AB433" s="499">
        <f t="shared" si="175"/>
        <v>17530.400000000001</v>
      </c>
      <c r="AC433" s="444">
        <f t="shared" si="175"/>
        <v>16250</v>
      </c>
      <c r="AD433" s="444">
        <f t="shared" si="175"/>
        <v>2576.1</v>
      </c>
      <c r="AE433" s="436"/>
      <c r="AF433" s="436"/>
      <c r="AG433" s="436"/>
      <c r="AH433" s="436"/>
      <c r="AI433" s="436"/>
      <c r="AJ433" s="436"/>
      <c r="AK433" s="437"/>
      <c r="AL433" s="437"/>
      <c r="AM433" s="437"/>
      <c r="AN433" s="437"/>
      <c r="AO433" s="437"/>
      <c r="AP433" s="437">
        <f t="shared" si="160"/>
        <v>0</v>
      </c>
      <c r="AQ433" s="437">
        <f t="shared" si="160"/>
        <v>0</v>
      </c>
      <c r="AR433" s="436"/>
      <c r="AS433" s="437">
        <f t="shared" si="166"/>
        <v>0</v>
      </c>
    </row>
    <row r="434" spans="1:45" s="446" customFormat="1" ht="24.95" customHeight="1">
      <c r="A434" s="441"/>
      <c r="B434" s="441"/>
      <c r="C434" s="1136" t="s">
        <v>733</v>
      </c>
      <c r="D434" s="1137"/>
      <c r="E434" s="441"/>
      <c r="F434" s="441"/>
      <c r="G434" s="441"/>
      <c r="H434" s="441"/>
      <c r="I434" s="441"/>
      <c r="J434" s="441"/>
      <c r="K434" s="441"/>
      <c r="L434" s="441"/>
      <c r="M434" s="441"/>
      <c r="N434" s="445">
        <f>N202+N226+N248+N280+N296+N314+N328+N344+N360+N370+N379+N389+N405+N421+N425+N433</f>
        <v>549697.21900000004</v>
      </c>
      <c r="O434" s="444">
        <f>O202+O226+O248+O280+O296+O314+O328+O344+O360+O370+O379+O389+O405+O421+O425+O433</f>
        <v>94.5</v>
      </c>
      <c r="P434" s="444">
        <f>P202+P226+P248+P280+P296+P314+P328+P344+P360+P370+P379+P389+P405+P421+P425+P433</f>
        <v>1</v>
      </c>
      <c r="Q434" s="444"/>
      <c r="R434" s="444"/>
      <c r="S434" s="444"/>
      <c r="T434" s="444"/>
      <c r="U434" s="444"/>
      <c r="V434" s="445">
        <f t="shared" ref="V434:AD434" si="176">V202+V226+V248+V280+V296+V314+V328+V344+V360+V370+V379+V389+V405+V421+V425+V433</f>
        <v>148529.31569999998</v>
      </c>
      <c r="W434" s="445">
        <f t="shared" si="176"/>
        <v>17737.362499999999</v>
      </c>
      <c r="X434" s="445">
        <f t="shared" si="176"/>
        <v>664652.2472000001</v>
      </c>
      <c r="Y434" s="445">
        <f t="shared" si="176"/>
        <v>624597.7527999999</v>
      </c>
      <c r="Z434" s="445">
        <f t="shared" si="176"/>
        <v>1289250</v>
      </c>
      <c r="AA434" s="502">
        <f t="shared" si="176"/>
        <v>1289250</v>
      </c>
      <c r="AB434" s="502">
        <f t="shared" si="176"/>
        <v>624597.7527999999</v>
      </c>
      <c r="AC434" s="445">
        <f t="shared" si="176"/>
        <v>620750</v>
      </c>
      <c r="AD434" s="444">
        <f t="shared" si="176"/>
        <v>17737.362499999999</v>
      </c>
      <c r="AE434" s="436"/>
      <c r="AF434" s="436"/>
      <c r="AG434" s="436"/>
      <c r="AH434" s="436"/>
      <c r="AI434" s="436"/>
      <c r="AJ434" s="436"/>
      <c r="AK434" s="437"/>
      <c r="AL434" s="437"/>
      <c r="AM434" s="437"/>
      <c r="AN434" s="437"/>
      <c r="AO434" s="437"/>
      <c r="AP434" s="437">
        <f t="shared" si="160"/>
        <v>0</v>
      </c>
      <c r="AQ434" s="437">
        <f t="shared" si="160"/>
        <v>0</v>
      </c>
      <c r="AR434" s="436"/>
      <c r="AS434" s="437">
        <f t="shared" si="166"/>
        <v>0</v>
      </c>
    </row>
    <row r="435" spans="1:45" s="456" customFormat="1" ht="24.95" customHeight="1">
      <c r="A435" s="455"/>
      <c r="B435" s="455"/>
      <c r="C435" s="1135" t="s">
        <v>734</v>
      </c>
      <c r="D435" s="1135"/>
      <c r="E435" s="455"/>
      <c r="F435" s="455"/>
      <c r="G435" s="455"/>
      <c r="H435" s="455"/>
      <c r="I435" s="455"/>
      <c r="J435" s="455"/>
      <c r="K435" s="455"/>
      <c r="L435" s="455"/>
      <c r="M435" s="455"/>
      <c r="N435" s="455"/>
      <c r="O435" s="455"/>
      <c r="P435" s="455"/>
      <c r="Q435" s="455"/>
      <c r="R435" s="455"/>
      <c r="S435" s="455"/>
      <c r="T435" s="455"/>
      <c r="U435" s="455"/>
      <c r="V435" s="455"/>
      <c r="W435" s="455"/>
      <c r="X435" s="455"/>
      <c r="Y435" s="455"/>
      <c r="Z435" s="455"/>
      <c r="AA435" s="504"/>
      <c r="AB435" s="504"/>
      <c r="AC435" s="455"/>
      <c r="AD435" s="455"/>
      <c r="AE435" s="436">
        <f t="shared" ref="AE435:AE444" si="177">G435*O435</f>
        <v>0</v>
      </c>
      <c r="AF435" s="436">
        <f t="shared" ref="AF435:AF444" si="178">G435*P435</f>
        <v>0</v>
      </c>
      <c r="AG435" s="436">
        <f t="shared" ref="AG435:AG444" si="179">N435*O435</f>
        <v>0</v>
      </c>
      <c r="AH435" s="436">
        <f t="shared" ref="AH435:AH444" si="180">N435*P435</f>
        <v>0</v>
      </c>
      <c r="AI435" s="436">
        <f t="shared" si="161"/>
        <v>0</v>
      </c>
      <c r="AJ435" s="436">
        <f t="shared" si="161"/>
        <v>0</v>
      </c>
      <c r="AK435" s="437">
        <f t="shared" ref="AK435:AK444" si="181">V435*O435</f>
        <v>0</v>
      </c>
      <c r="AL435" s="437">
        <f t="shared" ref="AL435:AL444" si="182">V435*P435</f>
        <v>0</v>
      </c>
      <c r="AM435" s="437">
        <f t="shared" ref="AM435:AM444" si="183">W435</f>
        <v>0</v>
      </c>
      <c r="AN435" s="437">
        <f t="shared" si="163"/>
        <v>0</v>
      </c>
      <c r="AO435" s="437">
        <f t="shared" si="164"/>
        <v>0</v>
      </c>
      <c r="AP435" s="437">
        <f t="shared" si="160"/>
        <v>0</v>
      </c>
      <c r="AQ435" s="437">
        <f t="shared" si="160"/>
        <v>0</v>
      </c>
      <c r="AR435" s="436"/>
      <c r="AS435" s="437">
        <f t="shared" si="166"/>
        <v>0</v>
      </c>
    </row>
    <row r="436" spans="1:45" s="456" customFormat="1" ht="24.95" customHeight="1">
      <c r="A436" s="455"/>
      <c r="B436" s="455"/>
      <c r="C436" s="1136" t="s">
        <v>1006</v>
      </c>
      <c r="D436" s="1136"/>
      <c r="E436" s="455"/>
      <c r="F436" s="455"/>
      <c r="G436" s="455"/>
      <c r="H436" s="455"/>
      <c r="I436" s="455"/>
      <c r="J436" s="455"/>
      <c r="K436" s="455"/>
      <c r="L436" s="455"/>
      <c r="M436" s="455"/>
      <c r="N436" s="455"/>
      <c r="O436" s="455"/>
      <c r="P436" s="455"/>
      <c r="Q436" s="455"/>
      <c r="R436" s="455"/>
      <c r="S436" s="455"/>
      <c r="T436" s="455"/>
      <c r="U436" s="455"/>
      <c r="V436" s="455"/>
      <c r="W436" s="455"/>
      <c r="X436" s="455"/>
      <c r="Y436" s="455"/>
      <c r="Z436" s="455"/>
      <c r="AA436" s="504"/>
      <c r="AB436" s="504"/>
      <c r="AC436" s="455"/>
      <c r="AD436" s="455"/>
      <c r="AE436" s="436">
        <f t="shared" si="177"/>
        <v>0</v>
      </c>
      <c r="AF436" s="436">
        <f t="shared" si="178"/>
        <v>0</v>
      </c>
      <c r="AG436" s="436">
        <f t="shared" si="179"/>
        <v>0</v>
      </c>
      <c r="AH436" s="436">
        <f t="shared" si="180"/>
        <v>0</v>
      </c>
      <c r="AI436" s="436">
        <f t="shared" si="161"/>
        <v>0</v>
      </c>
      <c r="AJ436" s="436">
        <f t="shared" si="161"/>
        <v>0</v>
      </c>
      <c r="AK436" s="437">
        <f t="shared" si="181"/>
        <v>0</v>
      </c>
      <c r="AL436" s="437">
        <f t="shared" si="182"/>
        <v>0</v>
      </c>
      <c r="AM436" s="437">
        <f t="shared" si="183"/>
        <v>0</v>
      </c>
      <c r="AN436" s="437">
        <f t="shared" si="163"/>
        <v>0</v>
      </c>
      <c r="AO436" s="437">
        <f t="shared" si="164"/>
        <v>0</v>
      </c>
      <c r="AP436" s="437">
        <f t="shared" si="160"/>
        <v>0</v>
      </c>
      <c r="AQ436" s="437">
        <f t="shared" si="160"/>
        <v>0</v>
      </c>
      <c r="AR436" s="436"/>
      <c r="AS436" s="437">
        <f t="shared" si="166"/>
        <v>0</v>
      </c>
    </row>
    <row r="437" spans="1:45" s="438" customFormat="1" ht="24.95" customHeight="1">
      <c r="A437" s="1134"/>
      <c r="B437" s="1134"/>
      <c r="C437" s="1139" t="s">
        <v>735</v>
      </c>
      <c r="D437" s="1134"/>
      <c r="E437" s="1134" t="s">
        <v>736</v>
      </c>
      <c r="F437" s="1134">
        <v>3</v>
      </c>
      <c r="G437" s="1112">
        <v>3414</v>
      </c>
      <c r="H437" s="1112"/>
      <c r="I437" s="1140"/>
      <c r="J437" s="1140"/>
      <c r="K437" s="1140"/>
      <c r="L437" s="1140"/>
      <c r="M437" s="1140"/>
      <c r="N437" s="1112">
        <f>G437+H438+K438</f>
        <v>3414</v>
      </c>
      <c r="O437" s="1112">
        <v>1</v>
      </c>
      <c r="P437" s="1140"/>
      <c r="Q437" s="1140"/>
      <c r="R437" s="1138">
        <v>0.1</v>
      </c>
      <c r="S437" s="1112">
        <f>N437*R437</f>
        <v>341.40000000000003</v>
      </c>
      <c r="T437" s="1134"/>
      <c r="U437" s="1138"/>
      <c r="V437" s="1112"/>
      <c r="W437" s="1112">
        <f>AD437</f>
        <v>3086</v>
      </c>
      <c r="X437" s="1112">
        <f>(N437+V437+Q438+S437)*O437+W437</f>
        <v>6841.4</v>
      </c>
      <c r="Y437" s="1112"/>
      <c r="Z437" s="1112">
        <f>X437+Y437</f>
        <v>6841.4</v>
      </c>
      <c r="AA437" s="1109">
        <f>Z437</f>
        <v>6841.4</v>
      </c>
      <c r="AB437" s="1109">
        <f>AA437-X437</f>
        <v>0</v>
      </c>
      <c r="AC437" s="1112">
        <f>6500*O437</f>
        <v>6500</v>
      </c>
      <c r="AD437" s="1112">
        <f>AC437-(N437*O437)</f>
        <v>3086</v>
      </c>
      <c r="AE437" s="436">
        <f t="shared" si="177"/>
        <v>3414</v>
      </c>
      <c r="AF437" s="436">
        <f t="shared" si="178"/>
        <v>0</v>
      </c>
      <c r="AG437" s="436">
        <f t="shared" si="179"/>
        <v>3414</v>
      </c>
      <c r="AH437" s="436">
        <f t="shared" si="180"/>
        <v>0</v>
      </c>
      <c r="AI437" s="436">
        <f t="shared" si="161"/>
        <v>0</v>
      </c>
      <c r="AJ437" s="436">
        <f t="shared" si="161"/>
        <v>0</v>
      </c>
      <c r="AK437" s="437">
        <f t="shared" si="181"/>
        <v>0</v>
      </c>
      <c r="AL437" s="437">
        <f t="shared" si="182"/>
        <v>0</v>
      </c>
      <c r="AM437" s="437">
        <f t="shared" si="183"/>
        <v>3086</v>
      </c>
      <c r="AN437" s="437">
        <f t="shared" si="163"/>
        <v>341.40000000000003</v>
      </c>
      <c r="AO437" s="437">
        <f t="shared" si="164"/>
        <v>0</v>
      </c>
      <c r="AP437" s="437">
        <f t="shared" si="160"/>
        <v>3414</v>
      </c>
      <c r="AQ437" s="437">
        <f t="shared" si="160"/>
        <v>0</v>
      </c>
      <c r="AR437" s="436"/>
      <c r="AS437" s="437">
        <f t="shared" si="166"/>
        <v>3414</v>
      </c>
    </row>
    <row r="438" spans="1:45" s="438" customFormat="1" ht="24.95" customHeight="1">
      <c r="A438" s="1134"/>
      <c r="B438" s="1134"/>
      <c r="C438" s="1139"/>
      <c r="D438" s="1134"/>
      <c r="E438" s="1134"/>
      <c r="F438" s="1134"/>
      <c r="G438" s="1112"/>
      <c r="H438" s="1112"/>
      <c r="I438" s="1140"/>
      <c r="J438" s="1140"/>
      <c r="K438" s="1140"/>
      <c r="L438" s="1140"/>
      <c r="M438" s="1140"/>
      <c r="N438" s="1112"/>
      <c r="O438" s="1112"/>
      <c r="P438" s="1140"/>
      <c r="Q438" s="1140"/>
      <c r="R438" s="1138"/>
      <c r="S438" s="1112"/>
      <c r="T438" s="1134"/>
      <c r="U438" s="1138"/>
      <c r="V438" s="1112"/>
      <c r="W438" s="1112"/>
      <c r="X438" s="1112"/>
      <c r="Y438" s="1112"/>
      <c r="Z438" s="1112"/>
      <c r="AA438" s="1109"/>
      <c r="AB438" s="1109"/>
      <c r="AC438" s="1112"/>
      <c r="AD438" s="1112"/>
      <c r="AE438" s="436">
        <f t="shared" si="177"/>
        <v>0</v>
      </c>
      <c r="AF438" s="436">
        <f t="shared" si="178"/>
        <v>0</v>
      </c>
      <c r="AG438" s="436">
        <f t="shared" si="179"/>
        <v>0</v>
      </c>
      <c r="AH438" s="436">
        <f t="shared" si="180"/>
        <v>0</v>
      </c>
      <c r="AI438" s="436">
        <f t="shared" si="161"/>
        <v>0</v>
      </c>
      <c r="AJ438" s="436">
        <f t="shared" si="161"/>
        <v>0</v>
      </c>
      <c r="AK438" s="437">
        <f t="shared" si="181"/>
        <v>0</v>
      </c>
      <c r="AL438" s="437">
        <f t="shared" si="182"/>
        <v>0</v>
      </c>
      <c r="AM438" s="437">
        <f t="shared" si="183"/>
        <v>0</v>
      </c>
      <c r="AN438" s="437">
        <f t="shared" si="163"/>
        <v>0</v>
      </c>
      <c r="AO438" s="437">
        <f t="shared" si="164"/>
        <v>0</v>
      </c>
      <c r="AP438" s="437">
        <f t="shared" si="160"/>
        <v>0</v>
      </c>
      <c r="AQ438" s="437">
        <f t="shared" si="160"/>
        <v>0</v>
      </c>
      <c r="AR438" s="436"/>
      <c r="AS438" s="437">
        <f t="shared" si="166"/>
        <v>0</v>
      </c>
    </row>
    <row r="439" spans="1:45" s="438" customFormat="1" ht="24.95" customHeight="1">
      <c r="A439" s="1134"/>
      <c r="B439" s="1134"/>
      <c r="C439" s="1139" t="s">
        <v>735</v>
      </c>
      <c r="D439" s="1134"/>
      <c r="E439" s="1134" t="s">
        <v>737</v>
      </c>
      <c r="F439" s="1134">
        <v>3</v>
      </c>
      <c r="G439" s="1112">
        <v>3414</v>
      </c>
      <c r="H439" s="1112"/>
      <c r="I439" s="1112"/>
      <c r="J439" s="1112"/>
      <c r="K439" s="1112"/>
      <c r="L439" s="1112"/>
      <c r="M439" s="1112"/>
      <c r="N439" s="1112">
        <f>G439+H440</f>
        <v>3414</v>
      </c>
      <c r="O439" s="1112">
        <v>1</v>
      </c>
      <c r="P439" s="1112"/>
      <c r="Q439" s="1112"/>
      <c r="R439" s="1138">
        <v>0.1</v>
      </c>
      <c r="S439" s="1112">
        <f>N439*R439</f>
        <v>341.40000000000003</v>
      </c>
      <c r="T439" s="1134"/>
      <c r="U439" s="1138"/>
      <c r="V439" s="1112"/>
      <c r="W439" s="1112">
        <f>AD439</f>
        <v>3086</v>
      </c>
      <c r="X439" s="1112">
        <f>(N439+V439+Q440+S439)*O439+W439</f>
        <v>6841.4</v>
      </c>
      <c r="Y439" s="1112"/>
      <c r="Z439" s="1112">
        <f>X439+Y439</f>
        <v>6841.4</v>
      </c>
      <c r="AA439" s="1109">
        <f>Z439</f>
        <v>6841.4</v>
      </c>
      <c r="AB439" s="1109">
        <f>AA439-X439</f>
        <v>0</v>
      </c>
      <c r="AC439" s="1112">
        <f>6500*O439</f>
        <v>6500</v>
      </c>
      <c r="AD439" s="1112">
        <f>AC439-(N439*O439)</f>
        <v>3086</v>
      </c>
      <c r="AE439" s="436">
        <f t="shared" si="177"/>
        <v>3414</v>
      </c>
      <c r="AF439" s="436">
        <f t="shared" si="178"/>
        <v>0</v>
      </c>
      <c r="AG439" s="436">
        <f t="shared" si="179"/>
        <v>3414</v>
      </c>
      <c r="AH439" s="436">
        <f t="shared" si="180"/>
        <v>0</v>
      </c>
      <c r="AI439" s="436">
        <f t="shared" si="161"/>
        <v>0</v>
      </c>
      <c r="AJ439" s="436">
        <f t="shared" si="161"/>
        <v>0</v>
      </c>
      <c r="AK439" s="437">
        <f t="shared" si="181"/>
        <v>0</v>
      </c>
      <c r="AL439" s="437">
        <f t="shared" si="182"/>
        <v>0</v>
      </c>
      <c r="AM439" s="437">
        <f t="shared" si="183"/>
        <v>3086</v>
      </c>
      <c r="AN439" s="437">
        <f t="shared" si="163"/>
        <v>341.40000000000003</v>
      </c>
      <c r="AO439" s="437">
        <f t="shared" si="164"/>
        <v>0</v>
      </c>
      <c r="AP439" s="437">
        <f t="shared" si="160"/>
        <v>3414</v>
      </c>
      <c r="AQ439" s="437">
        <f t="shared" si="160"/>
        <v>0</v>
      </c>
      <c r="AR439" s="436"/>
      <c r="AS439" s="437">
        <f t="shared" si="166"/>
        <v>3414</v>
      </c>
    </row>
    <row r="440" spans="1:45" s="438" customFormat="1" ht="24.95" customHeight="1">
      <c r="A440" s="1134"/>
      <c r="B440" s="1134"/>
      <c r="C440" s="1139"/>
      <c r="D440" s="1134"/>
      <c r="E440" s="1134"/>
      <c r="F440" s="1134"/>
      <c r="G440" s="1112"/>
      <c r="H440" s="1112"/>
      <c r="I440" s="1112"/>
      <c r="J440" s="1112"/>
      <c r="K440" s="1112"/>
      <c r="L440" s="1112"/>
      <c r="M440" s="1112"/>
      <c r="N440" s="1112"/>
      <c r="O440" s="1112"/>
      <c r="P440" s="1112"/>
      <c r="Q440" s="1112"/>
      <c r="R440" s="1138"/>
      <c r="S440" s="1112"/>
      <c r="T440" s="1134"/>
      <c r="U440" s="1138"/>
      <c r="V440" s="1112"/>
      <c r="W440" s="1112"/>
      <c r="X440" s="1112"/>
      <c r="Y440" s="1112"/>
      <c r="Z440" s="1112"/>
      <c r="AA440" s="1109"/>
      <c r="AB440" s="1109"/>
      <c r="AC440" s="1112"/>
      <c r="AD440" s="1112"/>
      <c r="AE440" s="436">
        <f t="shared" si="177"/>
        <v>0</v>
      </c>
      <c r="AF440" s="436">
        <f t="shared" si="178"/>
        <v>0</v>
      </c>
      <c r="AG440" s="436">
        <f t="shared" si="179"/>
        <v>0</v>
      </c>
      <c r="AH440" s="436">
        <f t="shared" si="180"/>
        <v>0</v>
      </c>
      <c r="AI440" s="436">
        <f t="shared" si="161"/>
        <v>0</v>
      </c>
      <c r="AJ440" s="436">
        <f t="shared" si="161"/>
        <v>0</v>
      </c>
      <c r="AK440" s="437">
        <f t="shared" si="181"/>
        <v>0</v>
      </c>
      <c r="AL440" s="437">
        <f t="shared" si="182"/>
        <v>0</v>
      </c>
      <c r="AM440" s="437">
        <f t="shared" si="183"/>
        <v>0</v>
      </c>
      <c r="AN440" s="437">
        <f t="shared" si="163"/>
        <v>0</v>
      </c>
      <c r="AO440" s="437">
        <f t="shared" si="164"/>
        <v>0</v>
      </c>
      <c r="AP440" s="437">
        <f t="shared" si="160"/>
        <v>0</v>
      </c>
      <c r="AQ440" s="437">
        <f t="shared" si="160"/>
        <v>0</v>
      </c>
      <c r="AR440" s="436"/>
      <c r="AS440" s="437">
        <f t="shared" si="166"/>
        <v>0</v>
      </c>
    </row>
    <row r="441" spans="1:45" s="438" customFormat="1" ht="24.95" customHeight="1">
      <c r="A441" s="1134"/>
      <c r="B441" s="1134"/>
      <c r="C441" s="1139" t="s">
        <v>735</v>
      </c>
      <c r="D441" s="1134"/>
      <c r="E441" s="1134" t="s">
        <v>738</v>
      </c>
      <c r="F441" s="1134">
        <v>3</v>
      </c>
      <c r="G441" s="1112">
        <v>3414</v>
      </c>
      <c r="H441" s="1112"/>
      <c r="I441" s="1112"/>
      <c r="J441" s="1112"/>
      <c r="K441" s="1112"/>
      <c r="L441" s="1112"/>
      <c r="M441" s="1112"/>
      <c r="N441" s="1112">
        <f>G441+H442</f>
        <v>3414</v>
      </c>
      <c r="O441" s="1112">
        <v>1</v>
      </c>
      <c r="P441" s="1112"/>
      <c r="Q441" s="1112"/>
      <c r="R441" s="1138">
        <v>0.1</v>
      </c>
      <c r="S441" s="1112">
        <f>N441*R441</f>
        <v>341.40000000000003</v>
      </c>
      <c r="T441" s="1134"/>
      <c r="U441" s="1138"/>
      <c r="V441" s="1112"/>
      <c r="W441" s="1112">
        <f>AD441</f>
        <v>3086</v>
      </c>
      <c r="X441" s="1112">
        <f>(N441+V441+Q442+S441)*O441+W441</f>
        <v>6841.4</v>
      </c>
      <c r="Y441" s="1112"/>
      <c r="Z441" s="1112">
        <f>X441+Y441</f>
        <v>6841.4</v>
      </c>
      <c r="AA441" s="1109">
        <f>Z441</f>
        <v>6841.4</v>
      </c>
      <c r="AB441" s="1109">
        <f>AA441-X441</f>
        <v>0</v>
      </c>
      <c r="AC441" s="1112">
        <f>6500*O441</f>
        <v>6500</v>
      </c>
      <c r="AD441" s="1112">
        <f>AC441-(N441*O441)</f>
        <v>3086</v>
      </c>
      <c r="AE441" s="436">
        <f t="shared" si="177"/>
        <v>3414</v>
      </c>
      <c r="AF441" s="436">
        <f t="shared" si="178"/>
        <v>0</v>
      </c>
      <c r="AG441" s="436">
        <f t="shared" si="179"/>
        <v>3414</v>
      </c>
      <c r="AH441" s="436">
        <f t="shared" si="180"/>
        <v>0</v>
      </c>
      <c r="AI441" s="436">
        <f t="shared" si="161"/>
        <v>0</v>
      </c>
      <c r="AJ441" s="436">
        <f t="shared" si="161"/>
        <v>0</v>
      </c>
      <c r="AK441" s="437">
        <f t="shared" si="181"/>
        <v>0</v>
      </c>
      <c r="AL441" s="437">
        <f t="shared" si="182"/>
        <v>0</v>
      </c>
      <c r="AM441" s="437">
        <f t="shared" si="183"/>
        <v>3086</v>
      </c>
      <c r="AN441" s="437">
        <f t="shared" si="163"/>
        <v>341.40000000000003</v>
      </c>
      <c r="AO441" s="437">
        <f t="shared" si="164"/>
        <v>0</v>
      </c>
      <c r="AP441" s="437">
        <f t="shared" si="160"/>
        <v>3414</v>
      </c>
      <c r="AQ441" s="437">
        <f t="shared" si="160"/>
        <v>0</v>
      </c>
      <c r="AR441" s="436"/>
      <c r="AS441" s="437">
        <f t="shared" si="166"/>
        <v>3414</v>
      </c>
    </row>
    <row r="442" spans="1:45" s="438" customFormat="1" ht="24.95" customHeight="1">
      <c r="A442" s="1134"/>
      <c r="B442" s="1134"/>
      <c r="C442" s="1139"/>
      <c r="D442" s="1134"/>
      <c r="E442" s="1134"/>
      <c r="F442" s="1134"/>
      <c r="G442" s="1112"/>
      <c r="H442" s="1112"/>
      <c r="I442" s="1112"/>
      <c r="J442" s="1112"/>
      <c r="K442" s="1112"/>
      <c r="L442" s="1112"/>
      <c r="M442" s="1112"/>
      <c r="N442" s="1112"/>
      <c r="O442" s="1112"/>
      <c r="P442" s="1112"/>
      <c r="Q442" s="1112"/>
      <c r="R442" s="1138"/>
      <c r="S442" s="1112"/>
      <c r="T442" s="1134"/>
      <c r="U442" s="1138"/>
      <c r="V442" s="1112"/>
      <c r="W442" s="1112"/>
      <c r="X442" s="1112"/>
      <c r="Y442" s="1112"/>
      <c r="Z442" s="1112"/>
      <c r="AA442" s="1109"/>
      <c r="AB442" s="1109"/>
      <c r="AC442" s="1112"/>
      <c r="AD442" s="1112"/>
      <c r="AE442" s="436">
        <f t="shared" si="177"/>
        <v>0</v>
      </c>
      <c r="AF442" s="436">
        <f t="shared" si="178"/>
        <v>0</v>
      </c>
      <c r="AG442" s="436">
        <f t="shared" si="179"/>
        <v>0</v>
      </c>
      <c r="AH442" s="436">
        <f t="shared" si="180"/>
        <v>0</v>
      </c>
      <c r="AI442" s="436">
        <f t="shared" si="161"/>
        <v>0</v>
      </c>
      <c r="AJ442" s="436">
        <f t="shared" si="161"/>
        <v>0</v>
      </c>
      <c r="AK442" s="437">
        <f t="shared" si="181"/>
        <v>0</v>
      </c>
      <c r="AL442" s="437">
        <f t="shared" si="182"/>
        <v>0</v>
      </c>
      <c r="AM442" s="437">
        <f t="shared" si="183"/>
        <v>0</v>
      </c>
      <c r="AN442" s="437">
        <f t="shared" si="163"/>
        <v>0</v>
      </c>
      <c r="AO442" s="437">
        <f t="shared" si="164"/>
        <v>0</v>
      </c>
      <c r="AP442" s="437">
        <f t="shared" si="160"/>
        <v>0</v>
      </c>
      <c r="AQ442" s="437">
        <f t="shared" si="160"/>
        <v>0</v>
      </c>
      <c r="AR442" s="436"/>
      <c r="AS442" s="437">
        <f t="shared" si="166"/>
        <v>0</v>
      </c>
    </row>
    <row r="443" spans="1:45" s="438" customFormat="1" ht="24.95" customHeight="1">
      <c r="A443" s="1134"/>
      <c r="B443" s="1134"/>
      <c r="C443" s="1139" t="s">
        <v>735</v>
      </c>
      <c r="D443" s="1134"/>
      <c r="E443" s="1134" t="s">
        <v>739</v>
      </c>
      <c r="F443" s="1134">
        <v>3</v>
      </c>
      <c r="G443" s="1112">
        <v>3414</v>
      </c>
      <c r="H443" s="1112"/>
      <c r="I443" s="1112"/>
      <c r="J443" s="1112"/>
      <c r="K443" s="1112"/>
      <c r="L443" s="1140"/>
      <c r="M443" s="1140"/>
      <c r="N443" s="1112">
        <f>G443+I444</f>
        <v>3414</v>
      </c>
      <c r="O443" s="1112">
        <v>1</v>
      </c>
      <c r="P443" s="1112"/>
      <c r="Q443" s="1112"/>
      <c r="R443" s="1138">
        <v>0.1</v>
      </c>
      <c r="S443" s="1112">
        <f>N443*R443</f>
        <v>341.40000000000003</v>
      </c>
      <c r="T443" s="1134"/>
      <c r="U443" s="1138"/>
      <c r="V443" s="1112"/>
      <c r="W443" s="1112">
        <f>AD443</f>
        <v>3086</v>
      </c>
      <c r="X443" s="1112">
        <f>(N443+V443+Q444+S443)*O443+W443</f>
        <v>6841.4</v>
      </c>
      <c r="Y443" s="1112"/>
      <c r="Z443" s="1112">
        <f>X443+Y443</f>
        <v>6841.4</v>
      </c>
      <c r="AA443" s="1109">
        <f>Z443</f>
        <v>6841.4</v>
      </c>
      <c r="AB443" s="1109">
        <f>AA443-X443</f>
        <v>0</v>
      </c>
      <c r="AC443" s="1112">
        <f>6500*O443</f>
        <v>6500</v>
      </c>
      <c r="AD443" s="1112">
        <f>AC443-(N443*O443)</f>
        <v>3086</v>
      </c>
      <c r="AE443" s="436">
        <f t="shared" si="177"/>
        <v>3414</v>
      </c>
      <c r="AF443" s="436">
        <f t="shared" si="178"/>
        <v>0</v>
      </c>
      <c r="AG443" s="436">
        <f t="shared" si="179"/>
        <v>3414</v>
      </c>
      <c r="AH443" s="436">
        <f t="shared" si="180"/>
        <v>0</v>
      </c>
      <c r="AI443" s="436">
        <f t="shared" si="161"/>
        <v>0</v>
      </c>
      <c r="AJ443" s="436">
        <f t="shared" si="161"/>
        <v>0</v>
      </c>
      <c r="AK443" s="437">
        <f t="shared" si="181"/>
        <v>0</v>
      </c>
      <c r="AL443" s="437">
        <f t="shared" si="182"/>
        <v>0</v>
      </c>
      <c r="AM443" s="437">
        <f t="shared" si="183"/>
        <v>3086</v>
      </c>
      <c r="AN443" s="437">
        <f t="shared" si="163"/>
        <v>341.40000000000003</v>
      </c>
      <c r="AO443" s="437">
        <f t="shared" si="164"/>
        <v>0</v>
      </c>
      <c r="AP443" s="437">
        <f t="shared" si="160"/>
        <v>3414</v>
      </c>
      <c r="AQ443" s="437">
        <f t="shared" si="160"/>
        <v>0</v>
      </c>
      <c r="AR443" s="436"/>
      <c r="AS443" s="437">
        <f t="shared" si="166"/>
        <v>3414</v>
      </c>
    </row>
    <row r="444" spans="1:45" s="438" customFormat="1" ht="24.95" customHeight="1">
      <c r="A444" s="1134"/>
      <c r="B444" s="1134"/>
      <c r="C444" s="1139"/>
      <c r="D444" s="1134"/>
      <c r="E444" s="1134"/>
      <c r="F444" s="1134"/>
      <c r="G444" s="1112"/>
      <c r="H444" s="1112"/>
      <c r="I444" s="1112"/>
      <c r="J444" s="1112"/>
      <c r="K444" s="1112"/>
      <c r="L444" s="1140"/>
      <c r="M444" s="1140"/>
      <c r="N444" s="1112"/>
      <c r="O444" s="1112"/>
      <c r="P444" s="1112"/>
      <c r="Q444" s="1112"/>
      <c r="R444" s="1138"/>
      <c r="S444" s="1112"/>
      <c r="T444" s="1134"/>
      <c r="U444" s="1138"/>
      <c r="V444" s="1112"/>
      <c r="W444" s="1112"/>
      <c r="X444" s="1112"/>
      <c r="Y444" s="1112"/>
      <c r="Z444" s="1112"/>
      <c r="AA444" s="1109"/>
      <c r="AB444" s="1109"/>
      <c r="AC444" s="1112"/>
      <c r="AD444" s="1112"/>
      <c r="AE444" s="436">
        <f t="shared" si="177"/>
        <v>0</v>
      </c>
      <c r="AF444" s="436">
        <f t="shared" si="178"/>
        <v>0</v>
      </c>
      <c r="AG444" s="436">
        <f t="shared" si="179"/>
        <v>0</v>
      </c>
      <c r="AH444" s="436">
        <f t="shared" si="180"/>
        <v>0</v>
      </c>
      <c r="AI444" s="436">
        <f t="shared" si="161"/>
        <v>0</v>
      </c>
      <c r="AJ444" s="436">
        <f t="shared" si="161"/>
        <v>0</v>
      </c>
      <c r="AK444" s="437">
        <f t="shared" si="181"/>
        <v>0</v>
      </c>
      <c r="AL444" s="437">
        <f t="shared" si="182"/>
        <v>0</v>
      </c>
      <c r="AM444" s="437">
        <f t="shared" si="183"/>
        <v>0</v>
      </c>
      <c r="AN444" s="437">
        <f t="shared" si="163"/>
        <v>0</v>
      </c>
      <c r="AO444" s="437">
        <f t="shared" si="164"/>
        <v>0</v>
      </c>
      <c r="AP444" s="437">
        <f t="shared" si="160"/>
        <v>0</v>
      </c>
      <c r="AQ444" s="437">
        <f t="shared" si="160"/>
        <v>0</v>
      </c>
      <c r="AR444" s="436"/>
      <c r="AS444" s="437">
        <f t="shared" si="166"/>
        <v>0</v>
      </c>
    </row>
    <row r="445" spans="1:45" s="446" customFormat="1" ht="24.95" customHeight="1">
      <c r="A445" s="441"/>
      <c r="B445" s="441"/>
      <c r="C445" s="442" t="s">
        <v>318</v>
      </c>
      <c r="D445" s="443"/>
      <c r="E445" s="441"/>
      <c r="F445" s="441"/>
      <c r="G445" s="444">
        <f>SUM(G437:G444)</f>
        <v>13656</v>
      </c>
      <c r="H445" s="441"/>
      <c r="I445" s="441"/>
      <c r="J445" s="441"/>
      <c r="K445" s="441"/>
      <c r="L445" s="441"/>
      <c r="M445" s="441"/>
      <c r="N445" s="444">
        <f>SUM(N437:N444)</f>
        <v>13656</v>
      </c>
      <c r="O445" s="444">
        <f>SUM(O437:O444)</f>
        <v>4</v>
      </c>
      <c r="P445" s="444">
        <f>SUM(P437:P444)</f>
        <v>0</v>
      </c>
      <c r="Q445" s="451"/>
      <c r="R445" s="444"/>
      <c r="S445" s="451">
        <f>SUM(S437:S444)</f>
        <v>1365.6000000000001</v>
      </c>
      <c r="T445" s="444"/>
      <c r="U445" s="444"/>
      <c r="V445" s="444"/>
      <c r="W445" s="444">
        <f t="shared" ref="W445:AD445" si="184">SUM(W437:W444)</f>
        <v>12344</v>
      </c>
      <c r="X445" s="444">
        <f t="shared" si="184"/>
        <v>27365.599999999999</v>
      </c>
      <c r="Y445" s="444">
        <f t="shared" si="184"/>
        <v>0</v>
      </c>
      <c r="Z445" s="444">
        <f t="shared" si="184"/>
        <v>27365.599999999999</v>
      </c>
      <c r="AA445" s="499">
        <f t="shared" si="184"/>
        <v>27365.599999999999</v>
      </c>
      <c r="AB445" s="499">
        <f t="shared" si="184"/>
        <v>0</v>
      </c>
      <c r="AC445" s="444">
        <f t="shared" si="184"/>
        <v>26000</v>
      </c>
      <c r="AD445" s="444">
        <f t="shared" si="184"/>
        <v>12344</v>
      </c>
      <c r="AE445" s="436"/>
      <c r="AF445" s="436"/>
      <c r="AG445" s="436"/>
      <c r="AH445" s="436"/>
      <c r="AI445" s="436"/>
      <c r="AJ445" s="436"/>
      <c r="AK445" s="437"/>
      <c r="AL445" s="437"/>
      <c r="AM445" s="437"/>
      <c r="AN445" s="437"/>
      <c r="AO445" s="437"/>
      <c r="AP445" s="437">
        <f t="shared" si="160"/>
        <v>0</v>
      </c>
      <c r="AQ445" s="437">
        <f t="shared" si="160"/>
        <v>0</v>
      </c>
      <c r="AR445" s="436"/>
      <c r="AS445" s="437">
        <f t="shared" si="166"/>
        <v>0</v>
      </c>
    </row>
    <row r="446" spans="1:45" s="456" customFormat="1" ht="24.95" customHeight="1">
      <c r="A446" s="455"/>
      <c r="B446" s="455"/>
      <c r="C446" s="1136" t="s">
        <v>1018</v>
      </c>
      <c r="D446" s="1136"/>
      <c r="E446" s="455"/>
      <c r="F446" s="455"/>
      <c r="G446" s="455"/>
      <c r="H446" s="455"/>
      <c r="I446" s="455"/>
      <c r="J446" s="455"/>
      <c r="K446" s="455"/>
      <c r="L446" s="455"/>
      <c r="M446" s="455"/>
      <c r="N446" s="455"/>
      <c r="O446" s="455"/>
      <c r="P446" s="455"/>
      <c r="Q446" s="455"/>
      <c r="R446" s="455"/>
      <c r="S446" s="455"/>
      <c r="T446" s="455"/>
      <c r="U446" s="455"/>
      <c r="V446" s="455"/>
      <c r="W446" s="455"/>
      <c r="X446" s="455"/>
      <c r="Y446" s="455"/>
      <c r="Z446" s="455"/>
      <c r="AA446" s="504"/>
      <c r="AB446" s="504"/>
      <c r="AC446" s="455"/>
      <c r="AD446" s="455"/>
      <c r="AE446" s="436">
        <f t="shared" ref="AE446:AE522" si="185">G446*O446</f>
        <v>0</v>
      </c>
      <c r="AF446" s="436">
        <f t="shared" ref="AF446:AF522" si="186">G446*P446</f>
        <v>0</v>
      </c>
      <c r="AG446" s="436">
        <f t="shared" ref="AG446:AG522" si="187">N446*O446</f>
        <v>0</v>
      </c>
      <c r="AH446" s="436">
        <f t="shared" ref="AH446:AH522" si="188">N446*P446</f>
        <v>0</v>
      </c>
      <c r="AI446" s="436">
        <f t="shared" ref="AI446:AJ522" si="189">AG446-AE446</f>
        <v>0</v>
      </c>
      <c r="AJ446" s="436">
        <f t="shared" si="189"/>
        <v>0</v>
      </c>
      <c r="AK446" s="437">
        <f t="shared" ref="AK446:AK522" si="190">V446*O446</f>
        <v>0</v>
      </c>
      <c r="AL446" s="437">
        <f t="shared" ref="AL446:AL522" si="191">V446*P446</f>
        <v>0</v>
      </c>
      <c r="AM446" s="437">
        <f t="shared" ref="AM446:AM522" si="192">W446</f>
        <v>0</v>
      </c>
      <c r="AN446" s="437">
        <f t="shared" si="163"/>
        <v>0</v>
      </c>
      <c r="AO446" s="437">
        <f t="shared" si="164"/>
        <v>0</v>
      </c>
      <c r="AP446" s="437">
        <f t="shared" si="160"/>
        <v>0</v>
      </c>
      <c r="AQ446" s="437">
        <f t="shared" si="160"/>
        <v>0</v>
      </c>
      <c r="AR446" s="436"/>
      <c r="AS446" s="437">
        <f t="shared" si="166"/>
        <v>0</v>
      </c>
    </row>
    <row r="447" spans="1:45" s="438" customFormat="1" ht="24.95" customHeight="1">
      <c r="A447" s="1134"/>
      <c r="B447" s="1134"/>
      <c r="C447" s="1139" t="s">
        <v>735</v>
      </c>
      <c r="D447" s="1134"/>
      <c r="E447" s="1134" t="s">
        <v>741</v>
      </c>
      <c r="F447" s="1134">
        <v>3</v>
      </c>
      <c r="G447" s="1112">
        <v>3414</v>
      </c>
      <c r="H447" s="1112"/>
      <c r="I447" s="1112"/>
      <c r="J447" s="1112"/>
      <c r="K447" s="1112"/>
      <c r="L447" s="435">
        <v>0.15</v>
      </c>
      <c r="M447" s="1140"/>
      <c r="N447" s="1112">
        <f>G447+H448+L448</f>
        <v>3926.1</v>
      </c>
      <c r="O447" s="1112">
        <v>1</v>
      </c>
      <c r="P447" s="1112"/>
      <c r="Q447" s="1112"/>
      <c r="R447" s="1138">
        <v>0.1</v>
      </c>
      <c r="S447" s="1112">
        <f>N447*R447</f>
        <v>392.61</v>
      </c>
      <c r="T447" s="1134"/>
      <c r="U447" s="1138"/>
      <c r="V447" s="1112"/>
      <c r="W447" s="1112">
        <f>AD447</f>
        <v>2573.9</v>
      </c>
      <c r="X447" s="1112">
        <f>(N447+V447+Q448+S447)*O447+W447</f>
        <v>6892.6100000000006</v>
      </c>
      <c r="Y447" s="1112"/>
      <c r="Z447" s="1112">
        <f>X447+Y447</f>
        <v>6892.6100000000006</v>
      </c>
      <c r="AA447" s="1109">
        <f t="shared" ref="AA447:AA467" si="193">Z447</f>
        <v>6892.6100000000006</v>
      </c>
      <c r="AB447" s="1109">
        <f>AA447-X447</f>
        <v>0</v>
      </c>
      <c r="AC447" s="1112">
        <f>6500*O447</f>
        <v>6500</v>
      </c>
      <c r="AD447" s="1112">
        <f>AC447-(N447*O447)</f>
        <v>2573.9</v>
      </c>
      <c r="AE447" s="436">
        <f t="shared" si="185"/>
        <v>3414</v>
      </c>
      <c r="AF447" s="436">
        <f t="shared" si="186"/>
        <v>0</v>
      </c>
      <c r="AG447" s="436">
        <f t="shared" si="187"/>
        <v>3926.1</v>
      </c>
      <c r="AH447" s="436">
        <f t="shared" si="188"/>
        <v>0</v>
      </c>
      <c r="AI447" s="436">
        <f t="shared" si="189"/>
        <v>512.09999999999991</v>
      </c>
      <c r="AJ447" s="436">
        <f t="shared" si="189"/>
        <v>0</v>
      </c>
      <c r="AK447" s="437">
        <f t="shared" si="190"/>
        <v>0</v>
      </c>
      <c r="AL447" s="437">
        <f t="shared" si="191"/>
        <v>0</v>
      </c>
      <c r="AM447" s="437">
        <f t="shared" si="192"/>
        <v>2573.9</v>
      </c>
      <c r="AN447" s="437">
        <f t="shared" si="163"/>
        <v>392.61</v>
      </c>
      <c r="AO447" s="437">
        <f t="shared" si="164"/>
        <v>0</v>
      </c>
      <c r="AP447" s="437">
        <f t="shared" si="160"/>
        <v>3926.1</v>
      </c>
      <c r="AQ447" s="437">
        <f t="shared" si="160"/>
        <v>0</v>
      </c>
      <c r="AR447" s="436"/>
      <c r="AS447" s="437">
        <f t="shared" si="166"/>
        <v>3926.1</v>
      </c>
    </row>
    <row r="448" spans="1:45" s="438" customFormat="1" ht="24.95" customHeight="1">
      <c r="A448" s="1134"/>
      <c r="B448" s="1134"/>
      <c r="C448" s="1139"/>
      <c r="D448" s="1134"/>
      <c r="E448" s="1134"/>
      <c r="F448" s="1134"/>
      <c r="G448" s="1112"/>
      <c r="H448" s="1112"/>
      <c r="I448" s="1112"/>
      <c r="J448" s="1112"/>
      <c r="K448" s="1112"/>
      <c r="L448" s="449">
        <f>(G447+H448)*L447</f>
        <v>512.1</v>
      </c>
      <c r="M448" s="1140"/>
      <c r="N448" s="1112"/>
      <c r="O448" s="1112"/>
      <c r="P448" s="1112"/>
      <c r="Q448" s="1112"/>
      <c r="R448" s="1138"/>
      <c r="S448" s="1112"/>
      <c r="T448" s="1134"/>
      <c r="U448" s="1138"/>
      <c r="V448" s="1112"/>
      <c r="W448" s="1112"/>
      <c r="X448" s="1112"/>
      <c r="Y448" s="1112"/>
      <c r="Z448" s="1112"/>
      <c r="AA448" s="1109"/>
      <c r="AB448" s="1109"/>
      <c r="AC448" s="1112"/>
      <c r="AD448" s="1112"/>
      <c r="AE448" s="436">
        <f t="shared" si="185"/>
        <v>0</v>
      </c>
      <c r="AF448" s="436">
        <f t="shared" si="186"/>
        <v>0</v>
      </c>
      <c r="AG448" s="436">
        <f t="shared" si="187"/>
        <v>0</v>
      </c>
      <c r="AH448" s="436">
        <f t="shared" si="188"/>
        <v>0</v>
      </c>
      <c r="AI448" s="436">
        <f t="shared" si="189"/>
        <v>0</v>
      </c>
      <c r="AJ448" s="436">
        <f t="shared" si="189"/>
        <v>0</v>
      </c>
      <c r="AK448" s="437">
        <f t="shared" si="190"/>
        <v>0</v>
      </c>
      <c r="AL448" s="437">
        <f t="shared" si="191"/>
        <v>0</v>
      </c>
      <c r="AM448" s="437">
        <f t="shared" si="192"/>
        <v>0</v>
      </c>
      <c r="AN448" s="437">
        <f t="shared" si="163"/>
        <v>0</v>
      </c>
      <c r="AO448" s="437">
        <f t="shared" si="164"/>
        <v>0</v>
      </c>
      <c r="AP448" s="437">
        <f t="shared" si="160"/>
        <v>0</v>
      </c>
      <c r="AQ448" s="437">
        <f t="shared" si="160"/>
        <v>0</v>
      </c>
      <c r="AR448" s="436"/>
      <c r="AS448" s="437">
        <f t="shared" si="166"/>
        <v>0</v>
      </c>
    </row>
    <row r="449" spans="1:45" s="438" customFormat="1" ht="24.95" customHeight="1">
      <c r="A449" s="1134"/>
      <c r="B449" s="1134"/>
      <c r="C449" s="1139" t="s">
        <v>735</v>
      </c>
      <c r="D449" s="1134"/>
      <c r="E449" s="1134" t="s">
        <v>742</v>
      </c>
      <c r="F449" s="1134">
        <v>3</v>
      </c>
      <c r="G449" s="1112">
        <v>3414</v>
      </c>
      <c r="H449" s="1112"/>
      <c r="I449" s="1138"/>
      <c r="J449" s="1138"/>
      <c r="K449" s="1112"/>
      <c r="L449" s="435">
        <v>0.15</v>
      </c>
      <c r="M449" s="1140"/>
      <c r="N449" s="1112">
        <f>G449+H450+L450</f>
        <v>3926.1</v>
      </c>
      <c r="O449" s="1112">
        <v>1</v>
      </c>
      <c r="P449" s="1112"/>
      <c r="Q449" s="1112"/>
      <c r="R449" s="1138">
        <v>0.1</v>
      </c>
      <c r="S449" s="1112">
        <f>N449*R449</f>
        <v>392.61</v>
      </c>
      <c r="T449" s="1134"/>
      <c r="U449" s="1138"/>
      <c r="V449" s="1112"/>
      <c r="W449" s="1112">
        <f>AD449</f>
        <v>2573.9</v>
      </c>
      <c r="X449" s="1112">
        <f>(N449+V449+Q450+S449)*O449+W449</f>
        <v>6892.6100000000006</v>
      </c>
      <c r="Y449" s="1112"/>
      <c r="Z449" s="1112">
        <f>X449+Y449</f>
        <v>6892.6100000000006</v>
      </c>
      <c r="AA449" s="1109">
        <f t="shared" si="193"/>
        <v>6892.6100000000006</v>
      </c>
      <c r="AB449" s="1109">
        <f>AA449-X449</f>
        <v>0</v>
      </c>
      <c r="AC449" s="1112">
        <f>6500*O449</f>
        <v>6500</v>
      </c>
      <c r="AD449" s="1112">
        <f>AC449-(N449*O449)</f>
        <v>2573.9</v>
      </c>
      <c r="AE449" s="436">
        <f t="shared" si="185"/>
        <v>3414</v>
      </c>
      <c r="AF449" s="436">
        <f t="shared" si="186"/>
        <v>0</v>
      </c>
      <c r="AG449" s="436">
        <f t="shared" si="187"/>
        <v>3926.1</v>
      </c>
      <c r="AH449" s="436">
        <f t="shared" si="188"/>
        <v>0</v>
      </c>
      <c r="AI449" s="436">
        <f t="shared" si="189"/>
        <v>512.09999999999991</v>
      </c>
      <c r="AJ449" s="436">
        <f t="shared" si="189"/>
        <v>0</v>
      </c>
      <c r="AK449" s="437">
        <f t="shared" si="190"/>
        <v>0</v>
      </c>
      <c r="AL449" s="437">
        <f t="shared" si="191"/>
        <v>0</v>
      </c>
      <c r="AM449" s="437">
        <f t="shared" si="192"/>
        <v>2573.9</v>
      </c>
      <c r="AN449" s="437">
        <f t="shared" si="163"/>
        <v>392.61</v>
      </c>
      <c r="AO449" s="437">
        <f t="shared" si="164"/>
        <v>0</v>
      </c>
      <c r="AP449" s="437">
        <f t="shared" si="160"/>
        <v>3926.1</v>
      </c>
      <c r="AQ449" s="437">
        <f t="shared" si="160"/>
        <v>0</v>
      </c>
      <c r="AR449" s="436"/>
      <c r="AS449" s="437">
        <f t="shared" si="166"/>
        <v>3926.1</v>
      </c>
    </row>
    <row r="450" spans="1:45" s="438" customFormat="1" ht="24.95" customHeight="1">
      <c r="A450" s="1134"/>
      <c r="B450" s="1134"/>
      <c r="C450" s="1139"/>
      <c r="D450" s="1134"/>
      <c r="E450" s="1134"/>
      <c r="F450" s="1134"/>
      <c r="G450" s="1112"/>
      <c r="H450" s="1112"/>
      <c r="I450" s="1134"/>
      <c r="J450" s="1134"/>
      <c r="K450" s="1112"/>
      <c r="L450" s="449">
        <f>(G449+H450)*L449</f>
        <v>512.1</v>
      </c>
      <c r="M450" s="1140"/>
      <c r="N450" s="1112"/>
      <c r="O450" s="1112"/>
      <c r="P450" s="1112"/>
      <c r="Q450" s="1112"/>
      <c r="R450" s="1138"/>
      <c r="S450" s="1112"/>
      <c r="T450" s="1134"/>
      <c r="U450" s="1138"/>
      <c r="V450" s="1112"/>
      <c r="W450" s="1112"/>
      <c r="X450" s="1112"/>
      <c r="Y450" s="1112"/>
      <c r="Z450" s="1112"/>
      <c r="AA450" s="1109"/>
      <c r="AB450" s="1109"/>
      <c r="AC450" s="1112"/>
      <c r="AD450" s="1112"/>
      <c r="AE450" s="436">
        <f t="shared" si="185"/>
        <v>0</v>
      </c>
      <c r="AF450" s="436">
        <f t="shared" si="186"/>
        <v>0</v>
      </c>
      <c r="AG450" s="436">
        <f t="shared" si="187"/>
        <v>0</v>
      </c>
      <c r="AH450" s="436">
        <f t="shared" si="188"/>
        <v>0</v>
      </c>
      <c r="AI450" s="436">
        <f t="shared" si="189"/>
        <v>0</v>
      </c>
      <c r="AJ450" s="436">
        <f t="shared" si="189"/>
        <v>0</v>
      </c>
      <c r="AK450" s="437">
        <f t="shared" si="190"/>
        <v>0</v>
      </c>
      <c r="AL450" s="437">
        <f t="shared" si="191"/>
        <v>0</v>
      </c>
      <c r="AM450" s="437">
        <f t="shared" si="192"/>
        <v>0</v>
      </c>
      <c r="AN450" s="437">
        <f t="shared" si="163"/>
        <v>0</v>
      </c>
      <c r="AO450" s="437">
        <f t="shared" si="164"/>
        <v>0</v>
      </c>
      <c r="AP450" s="437">
        <f t="shared" si="160"/>
        <v>0</v>
      </c>
      <c r="AQ450" s="437">
        <f t="shared" si="160"/>
        <v>0</v>
      </c>
      <c r="AR450" s="436"/>
      <c r="AS450" s="437">
        <f t="shared" si="166"/>
        <v>0</v>
      </c>
    </row>
    <row r="451" spans="1:45" s="438" customFormat="1" ht="24.95" customHeight="1">
      <c r="A451" s="1134"/>
      <c r="B451" s="1134"/>
      <c r="C451" s="1139" t="s">
        <v>735</v>
      </c>
      <c r="D451" s="1134"/>
      <c r="E451" s="1171" t="s">
        <v>743</v>
      </c>
      <c r="F451" s="1134">
        <v>3</v>
      </c>
      <c r="G451" s="1112">
        <v>3414</v>
      </c>
      <c r="H451" s="1112"/>
      <c r="I451" s="1138"/>
      <c r="J451" s="1138"/>
      <c r="K451" s="1112"/>
      <c r="L451" s="435">
        <v>0.15</v>
      </c>
      <c r="M451" s="1140"/>
      <c r="N451" s="1112">
        <f>G451+H452+L452</f>
        <v>3926.1</v>
      </c>
      <c r="O451" s="1112">
        <v>1</v>
      </c>
      <c r="P451" s="1112"/>
      <c r="Q451" s="1112"/>
      <c r="R451" s="1138">
        <v>0.1</v>
      </c>
      <c r="S451" s="1112">
        <f>N451*R451</f>
        <v>392.61</v>
      </c>
      <c r="T451" s="1134"/>
      <c r="U451" s="1138"/>
      <c r="V451" s="1112"/>
      <c r="W451" s="1112">
        <f>AD451</f>
        <v>2573.9</v>
      </c>
      <c r="X451" s="1112">
        <f>(N451+V451+Q452+S451)*O451+W451</f>
        <v>6892.6100000000006</v>
      </c>
      <c r="Y451" s="1112"/>
      <c r="Z451" s="1112">
        <f>X451+Y451</f>
        <v>6892.6100000000006</v>
      </c>
      <c r="AA451" s="1109">
        <f t="shared" si="193"/>
        <v>6892.6100000000006</v>
      </c>
      <c r="AB451" s="1109">
        <f>AA451-X451</f>
        <v>0</v>
      </c>
      <c r="AC451" s="1112">
        <f>6500*O451</f>
        <v>6500</v>
      </c>
      <c r="AD451" s="1112">
        <f>AC451-(N451*O451)</f>
        <v>2573.9</v>
      </c>
      <c r="AE451" s="436">
        <f t="shared" si="185"/>
        <v>3414</v>
      </c>
      <c r="AF451" s="436">
        <f t="shared" si="186"/>
        <v>0</v>
      </c>
      <c r="AG451" s="436">
        <f t="shared" si="187"/>
        <v>3926.1</v>
      </c>
      <c r="AH451" s="436">
        <f t="shared" si="188"/>
        <v>0</v>
      </c>
      <c r="AI451" s="436">
        <f t="shared" si="189"/>
        <v>512.09999999999991</v>
      </c>
      <c r="AJ451" s="436">
        <f t="shared" si="189"/>
        <v>0</v>
      </c>
      <c r="AK451" s="437">
        <f t="shared" si="190"/>
        <v>0</v>
      </c>
      <c r="AL451" s="437">
        <f t="shared" si="191"/>
        <v>0</v>
      </c>
      <c r="AM451" s="437">
        <f t="shared" si="192"/>
        <v>2573.9</v>
      </c>
      <c r="AN451" s="437">
        <f t="shared" si="163"/>
        <v>392.61</v>
      </c>
      <c r="AO451" s="437">
        <f t="shared" si="164"/>
        <v>0</v>
      </c>
      <c r="AP451" s="437">
        <f t="shared" si="160"/>
        <v>3926.1</v>
      </c>
      <c r="AQ451" s="437">
        <f t="shared" si="160"/>
        <v>0</v>
      </c>
      <c r="AR451" s="436"/>
      <c r="AS451" s="437">
        <f t="shared" si="166"/>
        <v>3926.1</v>
      </c>
    </row>
    <row r="452" spans="1:45" s="438" customFormat="1" ht="24.95" customHeight="1">
      <c r="A452" s="1134"/>
      <c r="B452" s="1134"/>
      <c r="C452" s="1139"/>
      <c r="D452" s="1134"/>
      <c r="E452" s="1172"/>
      <c r="F452" s="1134"/>
      <c r="G452" s="1112"/>
      <c r="H452" s="1112"/>
      <c r="I452" s="1134"/>
      <c r="J452" s="1134"/>
      <c r="K452" s="1112"/>
      <c r="L452" s="449">
        <f>(G451+H452)*L451</f>
        <v>512.1</v>
      </c>
      <c r="M452" s="1140"/>
      <c r="N452" s="1112"/>
      <c r="O452" s="1112"/>
      <c r="P452" s="1112"/>
      <c r="Q452" s="1112"/>
      <c r="R452" s="1138"/>
      <c r="S452" s="1112"/>
      <c r="T452" s="1134"/>
      <c r="U452" s="1138"/>
      <c r="V452" s="1112"/>
      <c r="W452" s="1112"/>
      <c r="X452" s="1112"/>
      <c r="Y452" s="1112"/>
      <c r="Z452" s="1112"/>
      <c r="AA452" s="1109"/>
      <c r="AB452" s="1109"/>
      <c r="AC452" s="1112"/>
      <c r="AD452" s="1112"/>
      <c r="AE452" s="436">
        <f t="shared" si="185"/>
        <v>0</v>
      </c>
      <c r="AF452" s="436">
        <f t="shared" si="186"/>
        <v>0</v>
      </c>
      <c r="AG452" s="436">
        <f t="shared" si="187"/>
        <v>0</v>
      </c>
      <c r="AH452" s="436">
        <f t="shared" si="188"/>
        <v>0</v>
      </c>
      <c r="AI452" s="436">
        <f t="shared" si="189"/>
        <v>0</v>
      </c>
      <c r="AJ452" s="436">
        <f t="shared" si="189"/>
        <v>0</v>
      </c>
      <c r="AK452" s="437">
        <f t="shared" si="190"/>
        <v>0</v>
      </c>
      <c r="AL452" s="437">
        <f t="shared" si="191"/>
        <v>0</v>
      </c>
      <c r="AM452" s="437">
        <f t="shared" si="192"/>
        <v>0</v>
      </c>
      <c r="AN452" s="437">
        <f t="shared" si="163"/>
        <v>0</v>
      </c>
      <c r="AO452" s="437">
        <f t="shared" si="164"/>
        <v>0</v>
      </c>
      <c r="AP452" s="437">
        <f t="shared" si="160"/>
        <v>0</v>
      </c>
      <c r="AQ452" s="437">
        <f t="shared" si="160"/>
        <v>0</v>
      </c>
      <c r="AR452" s="436"/>
      <c r="AS452" s="437">
        <f t="shared" si="166"/>
        <v>0</v>
      </c>
    </row>
    <row r="453" spans="1:45" s="438" customFormat="1" ht="24.95" customHeight="1">
      <c r="A453" s="1134"/>
      <c r="B453" s="1134"/>
      <c r="C453" s="1139" t="s">
        <v>735</v>
      </c>
      <c r="D453" s="1134"/>
      <c r="E453" s="1134" t="s">
        <v>747</v>
      </c>
      <c r="F453" s="1134">
        <v>3</v>
      </c>
      <c r="G453" s="1112">
        <v>3414</v>
      </c>
      <c r="H453" s="1112"/>
      <c r="I453" s="1138"/>
      <c r="J453" s="1138"/>
      <c r="K453" s="1112"/>
      <c r="L453" s="435">
        <v>0.15</v>
      </c>
      <c r="M453" s="1140"/>
      <c r="N453" s="1112">
        <f>G453+H454+L454</f>
        <v>3926.1</v>
      </c>
      <c r="O453" s="1112">
        <v>1</v>
      </c>
      <c r="P453" s="1112"/>
      <c r="Q453" s="1112"/>
      <c r="R453" s="1138">
        <v>0.1</v>
      </c>
      <c r="S453" s="1112">
        <f>N453*R453</f>
        <v>392.61</v>
      </c>
      <c r="T453" s="1134"/>
      <c r="U453" s="1138"/>
      <c r="V453" s="1112"/>
      <c r="W453" s="1112">
        <f>AD453</f>
        <v>2573.9</v>
      </c>
      <c r="X453" s="1112">
        <f>(N453+V453+Q454+S453)*O453+W453</f>
        <v>6892.6100000000006</v>
      </c>
      <c r="Y453" s="1112"/>
      <c r="Z453" s="1112">
        <f>X453+Y453</f>
        <v>6892.6100000000006</v>
      </c>
      <c r="AA453" s="1109">
        <f t="shared" si="193"/>
        <v>6892.6100000000006</v>
      </c>
      <c r="AB453" s="1109">
        <f>AA453-X453</f>
        <v>0</v>
      </c>
      <c r="AC453" s="1112">
        <f>6500*O453</f>
        <v>6500</v>
      </c>
      <c r="AD453" s="1112">
        <f>AC453-(N453*O453)</f>
        <v>2573.9</v>
      </c>
      <c r="AE453" s="436">
        <f>G453*O453</f>
        <v>3414</v>
      </c>
      <c r="AF453" s="436">
        <f>G453*P453</f>
        <v>0</v>
      </c>
      <c r="AG453" s="436">
        <f>N453*O453</f>
        <v>3926.1</v>
      </c>
      <c r="AH453" s="436">
        <f>N453*P453</f>
        <v>0</v>
      </c>
      <c r="AI453" s="436">
        <f>AG453-AE453</f>
        <v>512.09999999999991</v>
      </c>
      <c r="AJ453" s="436">
        <f>AH453-AF453</f>
        <v>0</v>
      </c>
      <c r="AK453" s="437">
        <f>V453*O453</f>
        <v>0</v>
      </c>
      <c r="AL453" s="437">
        <f>V453*P453</f>
        <v>0</v>
      </c>
      <c r="AM453" s="437">
        <f>W453</f>
        <v>2573.9</v>
      </c>
      <c r="AN453" s="437">
        <f>S453*O453</f>
        <v>392.61</v>
      </c>
      <c r="AO453" s="437">
        <f>S453*P453</f>
        <v>0</v>
      </c>
      <c r="AP453" s="437">
        <f>AG453</f>
        <v>3926.1</v>
      </c>
      <c r="AQ453" s="437">
        <f>AH453</f>
        <v>0</v>
      </c>
      <c r="AR453" s="436"/>
      <c r="AS453" s="437">
        <f t="shared" si="166"/>
        <v>3926.1</v>
      </c>
    </row>
    <row r="454" spans="1:45" s="438" customFormat="1" ht="24.95" customHeight="1">
      <c r="A454" s="1134"/>
      <c r="B454" s="1134"/>
      <c r="C454" s="1139"/>
      <c r="D454" s="1134"/>
      <c r="E454" s="1134"/>
      <c r="F454" s="1134"/>
      <c r="G454" s="1112"/>
      <c r="H454" s="1112"/>
      <c r="I454" s="1134"/>
      <c r="J454" s="1134"/>
      <c r="K454" s="1112"/>
      <c r="L454" s="449">
        <f>(G453+H454)*L453</f>
        <v>512.1</v>
      </c>
      <c r="M454" s="1140"/>
      <c r="N454" s="1112"/>
      <c r="O454" s="1112"/>
      <c r="P454" s="1112"/>
      <c r="Q454" s="1112"/>
      <c r="R454" s="1138"/>
      <c r="S454" s="1112"/>
      <c r="T454" s="1134"/>
      <c r="U454" s="1138"/>
      <c r="V454" s="1112"/>
      <c r="W454" s="1112"/>
      <c r="X454" s="1112"/>
      <c r="Y454" s="1112"/>
      <c r="Z454" s="1112"/>
      <c r="AA454" s="1109"/>
      <c r="AB454" s="1109"/>
      <c r="AC454" s="1112"/>
      <c r="AD454" s="1112"/>
      <c r="AE454" s="436">
        <f>G454*O454</f>
        <v>0</v>
      </c>
      <c r="AF454" s="436">
        <f>G454*P454</f>
        <v>0</v>
      </c>
      <c r="AG454" s="436">
        <f>N454*O454</f>
        <v>0</v>
      </c>
      <c r="AH454" s="436">
        <f>N454*P454</f>
        <v>0</v>
      </c>
      <c r="AI454" s="436">
        <f>AG454-AE454</f>
        <v>0</v>
      </c>
      <c r="AJ454" s="436">
        <f>AH454-AF454</f>
        <v>0</v>
      </c>
      <c r="AK454" s="437">
        <f>V454*O454</f>
        <v>0</v>
      </c>
      <c r="AL454" s="437">
        <f>V454*P454</f>
        <v>0</v>
      </c>
      <c r="AM454" s="437">
        <f>W454</f>
        <v>0</v>
      </c>
      <c r="AN454" s="437">
        <f>S454*O454</f>
        <v>0</v>
      </c>
      <c r="AO454" s="437">
        <f>S454*P454</f>
        <v>0</v>
      </c>
      <c r="AP454" s="437">
        <f>AG454</f>
        <v>0</v>
      </c>
      <c r="AQ454" s="437">
        <f>AH454</f>
        <v>0</v>
      </c>
      <c r="AR454" s="436"/>
      <c r="AS454" s="437">
        <f t="shared" si="166"/>
        <v>0</v>
      </c>
    </row>
    <row r="455" spans="1:45" s="438" customFormat="1" ht="24.95" customHeight="1">
      <c r="A455" s="1134"/>
      <c r="B455" s="1134"/>
      <c r="C455" s="1139" t="s">
        <v>735</v>
      </c>
      <c r="D455" s="1134"/>
      <c r="E455" s="1171" t="s">
        <v>748</v>
      </c>
      <c r="F455" s="1134">
        <v>3</v>
      </c>
      <c r="G455" s="1112">
        <v>3414</v>
      </c>
      <c r="H455" s="1112"/>
      <c r="I455" s="1138"/>
      <c r="J455" s="1138"/>
      <c r="K455" s="1112"/>
      <c r="L455" s="435">
        <v>0.15</v>
      </c>
      <c r="M455" s="1140"/>
      <c r="N455" s="1112">
        <f>G455+H456+L456</f>
        <v>3926.1</v>
      </c>
      <c r="O455" s="1112">
        <v>1</v>
      </c>
      <c r="P455" s="1112"/>
      <c r="Q455" s="1112"/>
      <c r="R455" s="1138">
        <v>0.1</v>
      </c>
      <c r="S455" s="1112">
        <f>N455*R455</f>
        <v>392.61</v>
      </c>
      <c r="T455" s="1134"/>
      <c r="U455" s="1138"/>
      <c r="V455" s="1112"/>
      <c r="W455" s="1112">
        <f>AD455</f>
        <v>2573.9</v>
      </c>
      <c r="X455" s="1112">
        <f>(N455+V455+Q456+S455)*O455+W455</f>
        <v>6892.6100000000006</v>
      </c>
      <c r="Y455" s="1112"/>
      <c r="Z455" s="1112">
        <f>X455+Y455</f>
        <v>6892.6100000000006</v>
      </c>
      <c r="AA455" s="1109">
        <f t="shared" si="193"/>
        <v>6892.6100000000006</v>
      </c>
      <c r="AB455" s="1109">
        <f>AA455-X455</f>
        <v>0</v>
      </c>
      <c r="AC455" s="1112">
        <f>6500*O455</f>
        <v>6500</v>
      </c>
      <c r="AD455" s="1112">
        <f>AC455-(N455*O455)</f>
        <v>2573.9</v>
      </c>
      <c r="AE455" s="436">
        <f t="shared" si="185"/>
        <v>3414</v>
      </c>
      <c r="AF455" s="436">
        <f t="shared" si="186"/>
        <v>0</v>
      </c>
      <c r="AG455" s="436">
        <f t="shared" si="187"/>
        <v>3926.1</v>
      </c>
      <c r="AH455" s="436">
        <f t="shared" si="188"/>
        <v>0</v>
      </c>
      <c r="AI455" s="436">
        <f t="shared" si="189"/>
        <v>512.09999999999991</v>
      </c>
      <c r="AJ455" s="436">
        <f t="shared" si="189"/>
        <v>0</v>
      </c>
      <c r="AK455" s="437">
        <f t="shared" si="190"/>
        <v>0</v>
      </c>
      <c r="AL455" s="437">
        <f t="shared" si="191"/>
        <v>0</v>
      </c>
      <c r="AM455" s="437">
        <f t="shared" si="192"/>
        <v>2573.9</v>
      </c>
      <c r="AN455" s="437">
        <f t="shared" si="163"/>
        <v>392.61</v>
      </c>
      <c r="AO455" s="437">
        <f t="shared" si="164"/>
        <v>0</v>
      </c>
      <c r="AP455" s="437">
        <f t="shared" si="160"/>
        <v>3926.1</v>
      </c>
      <c r="AQ455" s="437">
        <f t="shared" si="160"/>
        <v>0</v>
      </c>
      <c r="AR455" s="436"/>
      <c r="AS455" s="437">
        <f t="shared" si="166"/>
        <v>3926.1</v>
      </c>
    </row>
    <row r="456" spans="1:45" s="438" customFormat="1" ht="24.95" customHeight="1">
      <c r="A456" s="1134"/>
      <c r="B456" s="1134"/>
      <c r="C456" s="1139"/>
      <c r="D456" s="1134"/>
      <c r="E456" s="1172"/>
      <c r="F456" s="1134"/>
      <c r="G456" s="1112"/>
      <c r="H456" s="1112"/>
      <c r="I456" s="1134"/>
      <c r="J456" s="1134"/>
      <c r="K456" s="1112"/>
      <c r="L456" s="449">
        <f>(G455+H456)*L455</f>
        <v>512.1</v>
      </c>
      <c r="M456" s="1140"/>
      <c r="N456" s="1112"/>
      <c r="O456" s="1112"/>
      <c r="P456" s="1112"/>
      <c r="Q456" s="1112"/>
      <c r="R456" s="1138"/>
      <c r="S456" s="1112"/>
      <c r="T456" s="1134"/>
      <c r="U456" s="1138"/>
      <c r="V456" s="1112"/>
      <c r="W456" s="1112"/>
      <c r="X456" s="1112"/>
      <c r="Y456" s="1112"/>
      <c r="Z456" s="1112"/>
      <c r="AA456" s="1109"/>
      <c r="AB456" s="1109"/>
      <c r="AC456" s="1112"/>
      <c r="AD456" s="1112"/>
      <c r="AE456" s="436">
        <f t="shared" si="185"/>
        <v>0</v>
      </c>
      <c r="AF456" s="436">
        <f t="shared" si="186"/>
        <v>0</v>
      </c>
      <c r="AG456" s="436">
        <f t="shared" si="187"/>
        <v>0</v>
      </c>
      <c r="AH456" s="436">
        <f t="shared" si="188"/>
        <v>0</v>
      </c>
      <c r="AI456" s="436">
        <f t="shared" si="189"/>
        <v>0</v>
      </c>
      <c r="AJ456" s="436">
        <f t="shared" si="189"/>
        <v>0</v>
      </c>
      <c r="AK456" s="437">
        <f t="shared" si="190"/>
        <v>0</v>
      </c>
      <c r="AL456" s="437">
        <f t="shared" si="191"/>
        <v>0</v>
      </c>
      <c r="AM456" s="437">
        <f t="shared" si="192"/>
        <v>0</v>
      </c>
      <c r="AN456" s="437">
        <f t="shared" si="163"/>
        <v>0</v>
      </c>
      <c r="AO456" s="437">
        <f t="shared" si="164"/>
        <v>0</v>
      </c>
      <c r="AP456" s="437">
        <f t="shared" si="160"/>
        <v>0</v>
      </c>
      <c r="AQ456" s="437">
        <f t="shared" si="160"/>
        <v>0</v>
      </c>
      <c r="AR456" s="436"/>
      <c r="AS456" s="437">
        <f t="shared" si="166"/>
        <v>0</v>
      </c>
    </row>
    <row r="457" spans="1:45" s="438" customFormat="1" ht="24.95" customHeight="1">
      <c r="A457" s="1134"/>
      <c r="B457" s="1134"/>
      <c r="C457" s="1139" t="s">
        <v>735</v>
      </c>
      <c r="D457" s="1134"/>
      <c r="E457" s="1134" t="s">
        <v>763</v>
      </c>
      <c r="F457" s="1134">
        <v>3</v>
      </c>
      <c r="G457" s="1112">
        <v>3414</v>
      </c>
      <c r="H457" s="1112"/>
      <c r="I457" s="1112"/>
      <c r="J457" s="1112"/>
      <c r="K457" s="1112"/>
      <c r="L457" s="435">
        <v>0.15</v>
      </c>
      <c r="M457" s="1112"/>
      <c r="N457" s="1112">
        <f>G457+H458+K458+L458</f>
        <v>3926.1</v>
      </c>
      <c r="O457" s="1112">
        <v>1</v>
      </c>
      <c r="P457" s="1140"/>
      <c r="Q457" s="1140"/>
      <c r="R457" s="1138">
        <v>0.1</v>
      </c>
      <c r="S457" s="1112">
        <f>N457*R457</f>
        <v>392.61</v>
      </c>
      <c r="T457" s="1134"/>
      <c r="U457" s="1138"/>
      <c r="V457" s="1112"/>
      <c r="W457" s="1112">
        <f>AD457</f>
        <v>2573.9</v>
      </c>
      <c r="X457" s="1112">
        <f>(N457+V457+Q458+S457)*O457+W457</f>
        <v>6892.6100000000006</v>
      </c>
      <c r="Y457" s="1112"/>
      <c r="Z457" s="1112">
        <f>X457+Y457</f>
        <v>6892.6100000000006</v>
      </c>
      <c r="AA457" s="1109">
        <f t="shared" si="193"/>
        <v>6892.6100000000006</v>
      </c>
      <c r="AB457" s="1109">
        <f>AA457-X457</f>
        <v>0</v>
      </c>
      <c r="AC457" s="1112">
        <f>6500*O457</f>
        <v>6500</v>
      </c>
      <c r="AD457" s="1112">
        <f>AC457-(N457*O457)</f>
        <v>2573.9</v>
      </c>
      <c r="AE457" s="436">
        <f t="shared" si="185"/>
        <v>3414</v>
      </c>
      <c r="AF457" s="436">
        <f t="shared" si="186"/>
        <v>0</v>
      </c>
      <c r="AG457" s="436">
        <f t="shared" si="187"/>
        <v>3926.1</v>
      </c>
      <c r="AH457" s="436">
        <f t="shared" si="188"/>
        <v>0</v>
      </c>
      <c r="AI457" s="436">
        <f t="shared" si="189"/>
        <v>512.09999999999991</v>
      </c>
      <c r="AJ457" s="436">
        <f t="shared" si="189"/>
        <v>0</v>
      </c>
      <c r="AK457" s="437">
        <f t="shared" si="190"/>
        <v>0</v>
      </c>
      <c r="AL457" s="437">
        <f t="shared" si="191"/>
        <v>0</v>
      </c>
      <c r="AM457" s="437">
        <f t="shared" si="192"/>
        <v>2573.9</v>
      </c>
      <c r="AN457" s="437">
        <f t="shared" si="163"/>
        <v>392.61</v>
      </c>
      <c r="AO457" s="437">
        <f t="shared" si="164"/>
        <v>0</v>
      </c>
      <c r="AP457" s="437">
        <f t="shared" si="160"/>
        <v>3926.1</v>
      </c>
      <c r="AQ457" s="437">
        <f t="shared" si="160"/>
        <v>0</v>
      </c>
      <c r="AR457" s="436"/>
      <c r="AS457" s="437">
        <f t="shared" si="166"/>
        <v>3926.1</v>
      </c>
    </row>
    <row r="458" spans="1:45" s="438" customFormat="1" ht="24.95" customHeight="1">
      <c r="A458" s="1134"/>
      <c r="B458" s="1134"/>
      <c r="C458" s="1139"/>
      <c r="D458" s="1134"/>
      <c r="E458" s="1134"/>
      <c r="F458" s="1134"/>
      <c r="G458" s="1112"/>
      <c r="H458" s="1112"/>
      <c r="I458" s="1112"/>
      <c r="J458" s="1112"/>
      <c r="K458" s="1112"/>
      <c r="L458" s="439">
        <f>G457*L457</f>
        <v>512.1</v>
      </c>
      <c r="M458" s="1112"/>
      <c r="N458" s="1112"/>
      <c r="O458" s="1112"/>
      <c r="P458" s="1140"/>
      <c r="Q458" s="1140"/>
      <c r="R458" s="1138"/>
      <c r="S458" s="1112"/>
      <c r="T458" s="1134"/>
      <c r="U458" s="1138"/>
      <c r="V458" s="1112"/>
      <c r="W458" s="1112"/>
      <c r="X458" s="1112"/>
      <c r="Y458" s="1112"/>
      <c r="Z458" s="1112"/>
      <c r="AA458" s="1109"/>
      <c r="AB458" s="1109"/>
      <c r="AC458" s="1112"/>
      <c r="AD458" s="1112"/>
      <c r="AE458" s="436">
        <f t="shared" si="185"/>
        <v>0</v>
      </c>
      <c r="AF458" s="436">
        <f t="shared" si="186"/>
        <v>0</v>
      </c>
      <c r="AG458" s="436">
        <f t="shared" si="187"/>
        <v>0</v>
      </c>
      <c r="AH458" s="436">
        <f t="shared" si="188"/>
        <v>0</v>
      </c>
      <c r="AI458" s="436">
        <f t="shared" si="189"/>
        <v>0</v>
      </c>
      <c r="AJ458" s="436">
        <f t="shared" si="189"/>
        <v>0</v>
      </c>
      <c r="AK458" s="437">
        <f t="shared" si="190"/>
        <v>0</v>
      </c>
      <c r="AL458" s="437">
        <f t="shared" si="191"/>
        <v>0</v>
      </c>
      <c r="AM458" s="437">
        <f t="shared" si="192"/>
        <v>0</v>
      </c>
      <c r="AN458" s="437">
        <f t="shared" si="163"/>
        <v>0</v>
      </c>
      <c r="AO458" s="437">
        <f t="shared" si="164"/>
        <v>0</v>
      </c>
      <c r="AP458" s="437">
        <f t="shared" si="160"/>
        <v>0</v>
      </c>
      <c r="AQ458" s="437">
        <f t="shared" si="160"/>
        <v>0</v>
      </c>
      <c r="AR458" s="436"/>
      <c r="AS458" s="437">
        <f t="shared" si="166"/>
        <v>0</v>
      </c>
    </row>
    <row r="459" spans="1:45" s="438" customFormat="1" ht="24.95" customHeight="1">
      <c r="A459" s="1134"/>
      <c r="B459" s="1134"/>
      <c r="C459" s="1139" t="s">
        <v>735</v>
      </c>
      <c r="D459" s="1134"/>
      <c r="E459" s="1134" t="s">
        <v>764</v>
      </c>
      <c r="F459" s="1134">
        <v>3</v>
      </c>
      <c r="G459" s="1112">
        <v>3414</v>
      </c>
      <c r="H459" s="1112"/>
      <c r="I459" s="1112"/>
      <c r="J459" s="1112"/>
      <c r="K459" s="1112"/>
      <c r="L459" s="435">
        <v>0.15</v>
      </c>
      <c r="M459" s="1112"/>
      <c r="N459" s="1112">
        <f>G459+H460+K460+L460</f>
        <v>3926.1</v>
      </c>
      <c r="O459" s="1112">
        <v>1</v>
      </c>
      <c r="P459" s="1112"/>
      <c r="Q459" s="1112"/>
      <c r="R459" s="1138">
        <v>0.1</v>
      </c>
      <c r="S459" s="1112">
        <f>N459*R459</f>
        <v>392.61</v>
      </c>
      <c r="T459" s="1134"/>
      <c r="U459" s="1138"/>
      <c r="V459" s="1112"/>
      <c r="W459" s="1112">
        <f>AD459</f>
        <v>2573.9</v>
      </c>
      <c r="X459" s="1112">
        <f>(N459+V459+Q460+S459)*O459+W459</f>
        <v>6892.6100000000006</v>
      </c>
      <c r="Y459" s="1112"/>
      <c r="Z459" s="1112">
        <f>X459+Y459</f>
        <v>6892.6100000000006</v>
      </c>
      <c r="AA459" s="1109">
        <f t="shared" si="193"/>
        <v>6892.6100000000006</v>
      </c>
      <c r="AB459" s="1109">
        <f>AA459-X459</f>
        <v>0</v>
      </c>
      <c r="AC459" s="1112">
        <f>6500*O459</f>
        <v>6500</v>
      </c>
      <c r="AD459" s="1112">
        <f>AC459-(N459*O459)</f>
        <v>2573.9</v>
      </c>
      <c r="AE459" s="436">
        <f t="shared" si="185"/>
        <v>3414</v>
      </c>
      <c r="AF459" s="436">
        <f t="shared" si="186"/>
        <v>0</v>
      </c>
      <c r="AG459" s="436">
        <f t="shared" si="187"/>
        <v>3926.1</v>
      </c>
      <c r="AH459" s="436">
        <f t="shared" si="188"/>
        <v>0</v>
      </c>
      <c r="AI459" s="436">
        <f t="shared" si="189"/>
        <v>512.09999999999991</v>
      </c>
      <c r="AJ459" s="436">
        <f t="shared" si="189"/>
        <v>0</v>
      </c>
      <c r="AK459" s="437">
        <f t="shared" si="190"/>
        <v>0</v>
      </c>
      <c r="AL459" s="437">
        <f t="shared" si="191"/>
        <v>0</v>
      </c>
      <c r="AM459" s="437">
        <f t="shared" si="192"/>
        <v>2573.9</v>
      </c>
      <c r="AN459" s="437">
        <f t="shared" si="163"/>
        <v>392.61</v>
      </c>
      <c r="AO459" s="437">
        <f t="shared" si="164"/>
        <v>0</v>
      </c>
      <c r="AP459" s="437">
        <f t="shared" si="160"/>
        <v>3926.1</v>
      </c>
      <c r="AQ459" s="437">
        <f t="shared" si="160"/>
        <v>0</v>
      </c>
      <c r="AR459" s="436"/>
      <c r="AS459" s="437">
        <f t="shared" si="166"/>
        <v>3926.1</v>
      </c>
    </row>
    <row r="460" spans="1:45" s="438" customFormat="1" ht="24.95" customHeight="1">
      <c r="A460" s="1134"/>
      <c r="B460" s="1134"/>
      <c r="C460" s="1139"/>
      <c r="D460" s="1134"/>
      <c r="E460" s="1134"/>
      <c r="F460" s="1134"/>
      <c r="G460" s="1112"/>
      <c r="H460" s="1112"/>
      <c r="I460" s="1112"/>
      <c r="J460" s="1112"/>
      <c r="K460" s="1112"/>
      <c r="L460" s="439">
        <f>G459*L459</f>
        <v>512.1</v>
      </c>
      <c r="M460" s="1112"/>
      <c r="N460" s="1112"/>
      <c r="O460" s="1112"/>
      <c r="P460" s="1112"/>
      <c r="Q460" s="1112"/>
      <c r="R460" s="1138"/>
      <c r="S460" s="1112"/>
      <c r="T460" s="1134"/>
      <c r="U460" s="1138"/>
      <c r="V460" s="1112"/>
      <c r="W460" s="1112"/>
      <c r="X460" s="1112"/>
      <c r="Y460" s="1112"/>
      <c r="Z460" s="1112"/>
      <c r="AA460" s="1109"/>
      <c r="AB460" s="1109"/>
      <c r="AC460" s="1112"/>
      <c r="AD460" s="1112"/>
      <c r="AE460" s="436">
        <f t="shared" si="185"/>
        <v>0</v>
      </c>
      <c r="AF460" s="436">
        <f t="shared" si="186"/>
        <v>0</v>
      </c>
      <c r="AG460" s="436">
        <f t="shared" si="187"/>
        <v>0</v>
      </c>
      <c r="AH460" s="436">
        <f t="shared" si="188"/>
        <v>0</v>
      </c>
      <c r="AI460" s="436">
        <f t="shared" si="189"/>
        <v>0</v>
      </c>
      <c r="AJ460" s="436">
        <f t="shared" si="189"/>
        <v>0</v>
      </c>
      <c r="AK460" s="437">
        <f t="shared" si="190"/>
        <v>0</v>
      </c>
      <c r="AL460" s="437">
        <f t="shared" si="191"/>
        <v>0</v>
      </c>
      <c r="AM460" s="437">
        <f t="shared" si="192"/>
        <v>0</v>
      </c>
      <c r="AN460" s="437">
        <f t="shared" si="163"/>
        <v>0</v>
      </c>
      <c r="AO460" s="437">
        <f t="shared" si="164"/>
        <v>0</v>
      </c>
      <c r="AP460" s="437">
        <f t="shared" si="160"/>
        <v>0</v>
      </c>
      <c r="AQ460" s="437">
        <f t="shared" si="160"/>
        <v>0</v>
      </c>
      <c r="AR460" s="436"/>
      <c r="AS460" s="437">
        <f t="shared" si="166"/>
        <v>0</v>
      </c>
    </row>
    <row r="461" spans="1:45" s="438" customFormat="1" ht="24.95" customHeight="1">
      <c r="A461" s="1134"/>
      <c r="B461" s="1134"/>
      <c r="C461" s="1139" t="s">
        <v>735</v>
      </c>
      <c r="D461" s="1134"/>
      <c r="E461" s="1134" t="s">
        <v>765</v>
      </c>
      <c r="F461" s="1134">
        <v>3</v>
      </c>
      <c r="G461" s="1112">
        <v>3414</v>
      </c>
      <c r="H461" s="1112"/>
      <c r="I461" s="1112"/>
      <c r="J461" s="1112"/>
      <c r="K461" s="1112"/>
      <c r="L461" s="435">
        <v>0.15</v>
      </c>
      <c r="M461" s="1112"/>
      <c r="N461" s="1112">
        <f>G461+H462+K462+L462</f>
        <v>3926.1</v>
      </c>
      <c r="O461" s="1112">
        <v>1</v>
      </c>
      <c r="P461" s="1112"/>
      <c r="Q461" s="1112"/>
      <c r="R461" s="1138">
        <v>0.1</v>
      </c>
      <c r="S461" s="1112">
        <f>N461*R461</f>
        <v>392.61</v>
      </c>
      <c r="T461" s="1134"/>
      <c r="U461" s="1138"/>
      <c r="V461" s="1112"/>
      <c r="W461" s="1112">
        <f>AD461</f>
        <v>2573.9</v>
      </c>
      <c r="X461" s="1112">
        <f>(N461+V461+Q462+S461)*O461+W461</f>
        <v>6892.6100000000006</v>
      </c>
      <c r="Y461" s="1112"/>
      <c r="Z461" s="1112">
        <f>X461+Y461</f>
        <v>6892.6100000000006</v>
      </c>
      <c r="AA461" s="1109">
        <f t="shared" si="193"/>
        <v>6892.6100000000006</v>
      </c>
      <c r="AB461" s="1109">
        <f>AA461-X461</f>
        <v>0</v>
      </c>
      <c r="AC461" s="1112">
        <f>6500*O461</f>
        <v>6500</v>
      </c>
      <c r="AD461" s="1112">
        <f>AC461-(N461*O461)</f>
        <v>2573.9</v>
      </c>
      <c r="AE461" s="436">
        <f t="shared" si="185"/>
        <v>3414</v>
      </c>
      <c r="AF461" s="436">
        <f t="shared" si="186"/>
        <v>0</v>
      </c>
      <c r="AG461" s="436">
        <f t="shared" si="187"/>
        <v>3926.1</v>
      </c>
      <c r="AH461" s="436">
        <f t="shared" si="188"/>
        <v>0</v>
      </c>
      <c r="AI461" s="436">
        <f t="shared" si="189"/>
        <v>512.09999999999991</v>
      </c>
      <c r="AJ461" s="436">
        <f t="shared" si="189"/>
        <v>0</v>
      </c>
      <c r="AK461" s="437">
        <f t="shared" si="190"/>
        <v>0</v>
      </c>
      <c r="AL461" s="437">
        <f t="shared" si="191"/>
        <v>0</v>
      </c>
      <c r="AM461" s="437">
        <f t="shared" si="192"/>
        <v>2573.9</v>
      </c>
      <c r="AN461" s="437">
        <f t="shared" si="163"/>
        <v>392.61</v>
      </c>
      <c r="AO461" s="437">
        <f t="shared" si="164"/>
        <v>0</v>
      </c>
      <c r="AP461" s="437">
        <f t="shared" si="160"/>
        <v>3926.1</v>
      </c>
      <c r="AQ461" s="437">
        <f t="shared" si="160"/>
        <v>0</v>
      </c>
      <c r="AR461" s="436"/>
      <c r="AS461" s="437">
        <f t="shared" si="166"/>
        <v>3926.1</v>
      </c>
    </row>
    <row r="462" spans="1:45" s="438" customFormat="1" ht="24.95" customHeight="1">
      <c r="A462" s="1134"/>
      <c r="B462" s="1134"/>
      <c r="C462" s="1139"/>
      <c r="D462" s="1134"/>
      <c r="E462" s="1134"/>
      <c r="F462" s="1134"/>
      <c r="G462" s="1112"/>
      <c r="H462" s="1112"/>
      <c r="I462" s="1112"/>
      <c r="J462" s="1112"/>
      <c r="K462" s="1112"/>
      <c r="L462" s="439">
        <f>G461*L461</f>
        <v>512.1</v>
      </c>
      <c r="M462" s="1112"/>
      <c r="N462" s="1112"/>
      <c r="O462" s="1112"/>
      <c r="P462" s="1112"/>
      <c r="Q462" s="1112"/>
      <c r="R462" s="1138"/>
      <c r="S462" s="1112"/>
      <c r="T462" s="1134"/>
      <c r="U462" s="1138"/>
      <c r="V462" s="1112"/>
      <c r="W462" s="1112"/>
      <c r="X462" s="1112"/>
      <c r="Y462" s="1112"/>
      <c r="Z462" s="1112"/>
      <c r="AA462" s="1109"/>
      <c r="AB462" s="1109"/>
      <c r="AC462" s="1112"/>
      <c r="AD462" s="1112"/>
      <c r="AE462" s="436">
        <f t="shared" si="185"/>
        <v>0</v>
      </c>
      <c r="AF462" s="436">
        <f t="shared" si="186"/>
        <v>0</v>
      </c>
      <c r="AG462" s="436">
        <f t="shared" si="187"/>
        <v>0</v>
      </c>
      <c r="AH462" s="436">
        <f t="shared" si="188"/>
        <v>0</v>
      </c>
      <c r="AI462" s="436">
        <f t="shared" si="189"/>
        <v>0</v>
      </c>
      <c r="AJ462" s="436">
        <f t="shared" si="189"/>
        <v>0</v>
      </c>
      <c r="AK462" s="437">
        <f t="shared" si="190"/>
        <v>0</v>
      </c>
      <c r="AL462" s="437">
        <f t="shared" si="191"/>
        <v>0</v>
      </c>
      <c r="AM462" s="437">
        <f t="shared" si="192"/>
        <v>0</v>
      </c>
      <c r="AN462" s="437">
        <f t="shared" si="163"/>
        <v>0</v>
      </c>
      <c r="AO462" s="437">
        <f t="shared" si="164"/>
        <v>0</v>
      </c>
      <c r="AP462" s="437">
        <f t="shared" si="160"/>
        <v>0</v>
      </c>
      <c r="AQ462" s="437">
        <f t="shared" si="160"/>
        <v>0</v>
      </c>
      <c r="AR462" s="436"/>
      <c r="AS462" s="437">
        <f t="shared" si="166"/>
        <v>0</v>
      </c>
    </row>
    <row r="463" spans="1:45" s="438" customFormat="1" ht="24.95" customHeight="1">
      <c r="A463" s="1134"/>
      <c r="B463" s="1134"/>
      <c r="C463" s="1139" t="s">
        <v>735</v>
      </c>
      <c r="D463" s="1134"/>
      <c r="E463" s="1134" t="s">
        <v>766</v>
      </c>
      <c r="F463" s="1134">
        <v>3</v>
      </c>
      <c r="G463" s="1112">
        <v>3414</v>
      </c>
      <c r="H463" s="1112"/>
      <c r="I463" s="1112"/>
      <c r="J463" s="1112"/>
      <c r="K463" s="1112"/>
      <c r="L463" s="435">
        <v>0.15</v>
      </c>
      <c r="M463" s="1112"/>
      <c r="N463" s="1112">
        <f>G463+H464+K464+L464</f>
        <v>3926.1</v>
      </c>
      <c r="O463" s="1112">
        <v>1</v>
      </c>
      <c r="P463" s="1112"/>
      <c r="Q463" s="1112"/>
      <c r="R463" s="1138">
        <v>0.1</v>
      </c>
      <c r="S463" s="1112">
        <f>N463*R463</f>
        <v>392.61</v>
      </c>
      <c r="T463" s="1134"/>
      <c r="U463" s="1138"/>
      <c r="V463" s="1112"/>
      <c r="W463" s="1112">
        <f>AD463</f>
        <v>2573.9</v>
      </c>
      <c r="X463" s="1112">
        <f>(N463+V463+Q464+S463)*O463+W463</f>
        <v>6892.6100000000006</v>
      </c>
      <c r="Y463" s="1112"/>
      <c r="Z463" s="1112">
        <f>X463+Y463</f>
        <v>6892.6100000000006</v>
      </c>
      <c r="AA463" s="1109">
        <f t="shared" si="193"/>
        <v>6892.6100000000006</v>
      </c>
      <c r="AB463" s="1109">
        <f>AA463-X463</f>
        <v>0</v>
      </c>
      <c r="AC463" s="1112">
        <f>6500*O463</f>
        <v>6500</v>
      </c>
      <c r="AD463" s="1112">
        <f>AC463-(N463*O463)</f>
        <v>2573.9</v>
      </c>
      <c r="AE463" s="436">
        <f t="shared" si="185"/>
        <v>3414</v>
      </c>
      <c r="AF463" s="436">
        <f t="shared" si="186"/>
        <v>0</v>
      </c>
      <c r="AG463" s="436">
        <f t="shared" si="187"/>
        <v>3926.1</v>
      </c>
      <c r="AH463" s="436">
        <f t="shared" si="188"/>
        <v>0</v>
      </c>
      <c r="AI463" s="436">
        <f t="shared" si="189"/>
        <v>512.09999999999991</v>
      </c>
      <c r="AJ463" s="436">
        <f t="shared" si="189"/>
        <v>0</v>
      </c>
      <c r="AK463" s="437">
        <f t="shared" si="190"/>
        <v>0</v>
      </c>
      <c r="AL463" s="437">
        <f t="shared" si="191"/>
        <v>0</v>
      </c>
      <c r="AM463" s="437">
        <f t="shared" si="192"/>
        <v>2573.9</v>
      </c>
      <c r="AN463" s="437">
        <f t="shared" si="163"/>
        <v>392.61</v>
      </c>
      <c r="AO463" s="437">
        <f t="shared" si="164"/>
        <v>0</v>
      </c>
      <c r="AP463" s="437">
        <f t="shared" si="160"/>
        <v>3926.1</v>
      </c>
      <c r="AQ463" s="437">
        <f t="shared" si="160"/>
        <v>0</v>
      </c>
      <c r="AR463" s="436"/>
      <c r="AS463" s="437">
        <f t="shared" si="166"/>
        <v>3926.1</v>
      </c>
    </row>
    <row r="464" spans="1:45" s="438" customFormat="1" ht="24.95" customHeight="1">
      <c r="A464" s="1134"/>
      <c r="B464" s="1134"/>
      <c r="C464" s="1139"/>
      <c r="D464" s="1134"/>
      <c r="E464" s="1134"/>
      <c r="F464" s="1134"/>
      <c r="G464" s="1112"/>
      <c r="H464" s="1112"/>
      <c r="I464" s="1112"/>
      <c r="J464" s="1112"/>
      <c r="K464" s="1112"/>
      <c r="L464" s="439">
        <f>G463*L463</f>
        <v>512.1</v>
      </c>
      <c r="M464" s="1112"/>
      <c r="N464" s="1112"/>
      <c r="O464" s="1112"/>
      <c r="P464" s="1112"/>
      <c r="Q464" s="1112"/>
      <c r="R464" s="1138"/>
      <c r="S464" s="1112"/>
      <c r="T464" s="1134"/>
      <c r="U464" s="1138"/>
      <c r="V464" s="1112"/>
      <c r="W464" s="1112"/>
      <c r="X464" s="1112"/>
      <c r="Y464" s="1112"/>
      <c r="Z464" s="1112"/>
      <c r="AA464" s="1109"/>
      <c r="AB464" s="1109"/>
      <c r="AC464" s="1112"/>
      <c r="AD464" s="1112"/>
      <c r="AE464" s="436">
        <f t="shared" si="185"/>
        <v>0</v>
      </c>
      <c r="AF464" s="436">
        <f t="shared" si="186"/>
        <v>0</v>
      </c>
      <c r="AG464" s="436">
        <f t="shared" si="187"/>
        <v>0</v>
      </c>
      <c r="AH464" s="436">
        <f t="shared" si="188"/>
        <v>0</v>
      </c>
      <c r="AI464" s="436">
        <f t="shared" si="189"/>
        <v>0</v>
      </c>
      <c r="AJ464" s="436">
        <f t="shared" si="189"/>
        <v>0</v>
      </c>
      <c r="AK464" s="437">
        <f t="shared" si="190"/>
        <v>0</v>
      </c>
      <c r="AL464" s="437">
        <f t="shared" si="191"/>
        <v>0</v>
      </c>
      <c r="AM464" s="437">
        <f t="shared" si="192"/>
        <v>0</v>
      </c>
      <c r="AN464" s="437">
        <f t="shared" si="163"/>
        <v>0</v>
      </c>
      <c r="AO464" s="437">
        <f t="shared" si="164"/>
        <v>0</v>
      </c>
      <c r="AP464" s="437">
        <f t="shared" si="160"/>
        <v>0</v>
      </c>
      <c r="AQ464" s="437">
        <f t="shared" si="160"/>
        <v>0</v>
      </c>
      <c r="AR464" s="436"/>
      <c r="AS464" s="437">
        <f t="shared" si="166"/>
        <v>0</v>
      </c>
    </row>
    <row r="465" spans="1:46" s="438" customFormat="1" ht="24.95" customHeight="1">
      <c r="A465" s="1134"/>
      <c r="B465" s="1134"/>
      <c r="C465" s="1139" t="s">
        <v>735</v>
      </c>
      <c r="D465" s="1134"/>
      <c r="E465" s="1134" t="s">
        <v>762</v>
      </c>
      <c r="F465" s="1134">
        <v>3</v>
      </c>
      <c r="G465" s="1112">
        <v>3414</v>
      </c>
      <c r="H465" s="1112"/>
      <c r="I465" s="1140"/>
      <c r="J465" s="1140"/>
      <c r="K465" s="1140"/>
      <c r="L465" s="435">
        <v>0.15</v>
      </c>
      <c r="M465" s="1140"/>
      <c r="N465" s="1112">
        <f>G465+H466+K466+L466</f>
        <v>3926.1</v>
      </c>
      <c r="O465" s="1112">
        <v>1</v>
      </c>
      <c r="P465" s="1140"/>
      <c r="Q465" s="1140"/>
      <c r="R465" s="1138">
        <v>0.1</v>
      </c>
      <c r="S465" s="1112">
        <f>N465*R465</f>
        <v>392.61</v>
      </c>
      <c r="T465" s="1134"/>
      <c r="U465" s="1138"/>
      <c r="V465" s="1112"/>
      <c r="W465" s="1112">
        <f>AD465</f>
        <v>2573.9</v>
      </c>
      <c r="X465" s="1112">
        <f>(N465+V465+Q466+S465)*O465+W465</f>
        <v>6892.6100000000006</v>
      </c>
      <c r="Y465" s="1112"/>
      <c r="Z465" s="1112">
        <f>X465+Y465</f>
        <v>6892.6100000000006</v>
      </c>
      <c r="AA465" s="1109">
        <f t="shared" si="193"/>
        <v>6892.6100000000006</v>
      </c>
      <c r="AB465" s="1109">
        <f>AA465-X465</f>
        <v>0</v>
      </c>
      <c r="AC465" s="1112">
        <f>6500*O465</f>
        <v>6500</v>
      </c>
      <c r="AD465" s="1112">
        <f>AC465-(N465*O465)</f>
        <v>2573.9</v>
      </c>
      <c r="AE465" s="436">
        <f t="shared" si="185"/>
        <v>3414</v>
      </c>
      <c r="AF465" s="436">
        <f t="shared" si="186"/>
        <v>0</v>
      </c>
      <c r="AG465" s="436">
        <f t="shared" si="187"/>
        <v>3926.1</v>
      </c>
      <c r="AH465" s="436">
        <f t="shared" si="188"/>
        <v>0</v>
      </c>
      <c r="AI465" s="436">
        <f t="shared" si="189"/>
        <v>512.09999999999991</v>
      </c>
      <c r="AJ465" s="436">
        <f t="shared" si="189"/>
        <v>0</v>
      </c>
      <c r="AK465" s="437">
        <f t="shared" si="190"/>
        <v>0</v>
      </c>
      <c r="AL465" s="437">
        <f t="shared" si="191"/>
        <v>0</v>
      </c>
      <c r="AM465" s="437">
        <f t="shared" si="192"/>
        <v>2573.9</v>
      </c>
      <c r="AN465" s="437">
        <f>S465*O465</f>
        <v>392.61</v>
      </c>
      <c r="AO465" s="437">
        <f>S465*P465</f>
        <v>0</v>
      </c>
      <c r="AP465" s="437">
        <f>AG465</f>
        <v>3926.1</v>
      </c>
      <c r="AQ465" s="437">
        <f>AH465</f>
        <v>0</v>
      </c>
      <c r="AR465" s="436"/>
      <c r="AS465" s="437">
        <f t="shared" si="166"/>
        <v>3926.1</v>
      </c>
    </row>
    <row r="466" spans="1:46" s="438" customFormat="1" ht="24.95" customHeight="1">
      <c r="A466" s="1134"/>
      <c r="B466" s="1134"/>
      <c r="C466" s="1139"/>
      <c r="D466" s="1134"/>
      <c r="E466" s="1134"/>
      <c r="F466" s="1134"/>
      <c r="G466" s="1112"/>
      <c r="H466" s="1112"/>
      <c r="I466" s="1140"/>
      <c r="J466" s="1140"/>
      <c r="K466" s="1140"/>
      <c r="L466" s="439">
        <f>(G465+H466)*L465</f>
        <v>512.1</v>
      </c>
      <c r="M466" s="1140"/>
      <c r="N466" s="1112"/>
      <c r="O466" s="1112"/>
      <c r="P466" s="1140"/>
      <c r="Q466" s="1140"/>
      <c r="R466" s="1138"/>
      <c r="S466" s="1112"/>
      <c r="T466" s="1134"/>
      <c r="U466" s="1138"/>
      <c r="V466" s="1112"/>
      <c r="W466" s="1112"/>
      <c r="X466" s="1112"/>
      <c r="Y466" s="1112"/>
      <c r="Z466" s="1112"/>
      <c r="AA466" s="1109"/>
      <c r="AB466" s="1109"/>
      <c r="AC466" s="1112"/>
      <c r="AD466" s="1112"/>
      <c r="AE466" s="436">
        <f t="shared" si="185"/>
        <v>0</v>
      </c>
      <c r="AF466" s="436">
        <f t="shared" si="186"/>
        <v>0</v>
      </c>
      <c r="AG466" s="436">
        <f t="shared" si="187"/>
        <v>0</v>
      </c>
      <c r="AH466" s="436">
        <f t="shared" si="188"/>
        <v>0</v>
      </c>
      <c r="AI466" s="436">
        <f t="shared" si="189"/>
        <v>0</v>
      </c>
      <c r="AJ466" s="436">
        <f t="shared" si="189"/>
        <v>0</v>
      </c>
      <c r="AK466" s="437">
        <f t="shared" si="190"/>
        <v>0</v>
      </c>
      <c r="AL466" s="437">
        <f t="shared" si="191"/>
        <v>0</v>
      </c>
      <c r="AM466" s="437">
        <f t="shared" si="192"/>
        <v>0</v>
      </c>
      <c r="AN466" s="437">
        <f>S466*O466</f>
        <v>0</v>
      </c>
      <c r="AO466" s="437">
        <f>S466*P466</f>
        <v>0</v>
      </c>
      <c r="AP466" s="437">
        <f>AG466</f>
        <v>0</v>
      </c>
      <c r="AQ466" s="437">
        <f>AH466</f>
        <v>0</v>
      </c>
      <c r="AR466" s="436"/>
      <c r="AS466" s="437">
        <f t="shared" si="166"/>
        <v>0</v>
      </c>
    </row>
    <row r="467" spans="1:46" s="438" customFormat="1" ht="24.95" customHeight="1">
      <c r="A467" s="1134"/>
      <c r="B467" s="1134"/>
      <c r="C467" s="1139" t="s">
        <v>735</v>
      </c>
      <c r="D467" s="1134"/>
      <c r="E467" s="1134" t="s">
        <v>759</v>
      </c>
      <c r="F467" s="1134">
        <v>3</v>
      </c>
      <c r="G467" s="1112">
        <v>3414</v>
      </c>
      <c r="H467" s="1112"/>
      <c r="I467" s="1140"/>
      <c r="J467" s="1140"/>
      <c r="K467" s="1140"/>
      <c r="L467" s="435">
        <v>0.15</v>
      </c>
      <c r="M467" s="1140"/>
      <c r="N467" s="1112">
        <f>G467+H468+K468+L468</f>
        <v>3926.1</v>
      </c>
      <c r="O467" s="1112">
        <v>1</v>
      </c>
      <c r="P467" s="1140"/>
      <c r="Q467" s="1140"/>
      <c r="R467" s="1138">
        <v>0.1</v>
      </c>
      <c r="S467" s="1112">
        <f>N467*R467</f>
        <v>392.61</v>
      </c>
      <c r="T467" s="1134"/>
      <c r="U467" s="1138"/>
      <c r="V467" s="1112"/>
      <c r="W467" s="1112">
        <f>AD467</f>
        <v>2573.9</v>
      </c>
      <c r="X467" s="1112">
        <f>(N467+V467+Q468+S467)*O467+W467</f>
        <v>6892.6100000000006</v>
      </c>
      <c r="Y467" s="1112"/>
      <c r="Z467" s="1112">
        <f>X467+Y467</f>
        <v>6892.6100000000006</v>
      </c>
      <c r="AA467" s="1109">
        <f t="shared" si="193"/>
        <v>6892.6100000000006</v>
      </c>
      <c r="AB467" s="1109">
        <f>AA467-X467</f>
        <v>0</v>
      </c>
      <c r="AC467" s="1112">
        <f>6500*O467</f>
        <v>6500</v>
      </c>
      <c r="AD467" s="1112">
        <f>AC467-(N467*O467)</f>
        <v>2573.9</v>
      </c>
      <c r="AE467" s="436">
        <f>G467*O467</f>
        <v>3414</v>
      </c>
      <c r="AF467" s="436">
        <f>G467*P467</f>
        <v>0</v>
      </c>
      <c r="AG467" s="436">
        <f>N467*O467</f>
        <v>3926.1</v>
      </c>
      <c r="AH467" s="436">
        <f>N467*P467</f>
        <v>0</v>
      </c>
      <c r="AI467" s="436">
        <f>AG467-AE467</f>
        <v>512.09999999999991</v>
      </c>
      <c r="AJ467" s="436">
        <f>AH467-AF467</f>
        <v>0</v>
      </c>
      <c r="AK467" s="437">
        <f>V467*O467</f>
        <v>0</v>
      </c>
      <c r="AL467" s="437">
        <f>V467*P467</f>
        <v>0</v>
      </c>
      <c r="AM467" s="437">
        <f>W467</f>
        <v>2573.9</v>
      </c>
      <c r="AN467" s="437">
        <f t="shared" si="163"/>
        <v>392.61</v>
      </c>
      <c r="AO467" s="437">
        <f t="shared" si="164"/>
        <v>0</v>
      </c>
      <c r="AP467" s="437">
        <f t="shared" si="160"/>
        <v>3926.1</v>
      </c>
      <c r="AQ467" s="437">
        <f t="shared" si="160"/>
        <v>0</v>
      </c>
      <c r="AR467" s="436"/>
      <c r="AS467" s="437">
        <f t="shared" si="166"/>
        <v>3926.1</v>
      </c>
    </row>
    <row r="468" spans="1:46" s="438" customFormat="1" ht="24.95" customHeight="1">
      <c r="A468" s="1134"/>
      <c r="B468" s="1134"/>
      <c r="C468" s="1139"/>
      <c r="D468" s="1134"/>
      <c r="E468" s="1134"/>
      <c r="F468" s="1134"/>
      <c r="G468" s="1112"/>
      <c r="H468" s="1112"/>
      <c r="I468" s="1140"/>
      <c r="J468" s="1140"/>
      <c r="K468" s="1140"/>
      <c r="L468" s="439">
        <f>(G467+H468)*L467</f>
        <v>512.1</v>
      </c>
      <c r="M468" s="1140"/>
      <c r="N468" s="1112"/>
      <c r="O468" s="1112"/>
      <c r="P468" s="1140"/>
      <c r="Q468" s="1140"/>
      <c r="R468" s="1138"/>
      <c r="S468" s="1112"/>
      <c r="T468" s="1134"/>
      <c r="U468" s="1138"/>
      <c r="V468" s="1112"/>
      <c r="W468" s="1112"/>
      <c r="X468" s="1112"/>
      <c r="Y468" s="1112"/>
      <c r="Z468" s="1112"/>
      <c r="AA468" s="1109"/>
      <c r="AB468" s="1109"/>
      <c r="AC468" s="1112"/>
      <c r="AD468" s="1112"/>
      <c r="AE468" s="436">
        <f>G468*O468</f>
        <v>0</v>
      </c>
      <c r="AF468" s="436">
        <f>G468*P468</f>
        <v>0</v>
      </c>
      <c r="AG468" s="436">
        <f>N468*O468</f>
        <v>0</v>
      </c>
      <c r="AH468" s="436">
        <f>N468*P468</f>
        <v>0</v>
      </c>
      <c r="AI468" s="436">
        <f>AG468-AE468</f>
        <v>0</v>
      </c>
      <c r="AJ468" s="436">
        <f>AH468-AF468</f>
        <v>0</v>
      </c>
      <c r="AK468" s="437">
        <f>V468*O468</f>
        <v>0</v>
      </c>
      <c r="AL468" s="437">
        <f>V468*P468</f>
        <v>0</v>
      </c>
      <c r="AM468" s="437">
        <f>W468</f>
        <v>0</v>
      </c>
      <c r="AN468" s="437">
        <f t="shared" si="163"/>
        <v>0</v>
      </c>
      <c r="AO468" s="437">
        <f t="shared" si="164"/>
        <v>0</v>
      </c>
      <c r="AP468" s="437">
        <f t="shared" si="160"/>
        <v>0</v>
      </c>
      <c r="AQ468" s="437">
        <f t="shared" si="160"/>
        <v>0</v>
      </c>
      <c r="AR468" s="436"/>
      <c r="AS468" s="437">
        <f t="shared" si="166"/>
        <v>0</v>
      </c>
    </row>
    <row r="469" spans="1:46" s="446" customFormat="1" ht="24.95" customHeight="1">
      <c r="A469" s="441"/>
      <c r="B469" s="441"/>
      <c r="C469" s="442" t="s">
        <v>318</v>
      </c>
      <c r="D469" s="443"/>
      <c r="E469" s="441"/>
      <c r="F469" s="441"/>
      <c r="G469" s="444">
        <f>SUM(G447:G468)</f>
        <v>37554</v>
      </c>
      <c r="H469" s="441"/>
      <c r="I469" s="441"/>
      <c r="J469" s="441"/>
      <c r="K469" s="441"/>
      <c r="L469" s="444">
        <f>L448+L450+L452+L454+L456+L458+L460+L462+L464+L466+L468</f>
        <v>5633.1000000000013</v>
      </c>
      <c r="M469" s="441"/>
      <c r="N469" s="444">
        <f>SUM(N447:N468)</f>
        <v>43187.099999999991</v>
      </c>
      <c r="O469" s="444">
        <f t="shared" ref="O469:AN469" si="194">SUM(O447:O468)</f>
        <v>11</v>
      </c>
      <c r="P469" s="444">
        <f t="shared" si="194"/>
        <v>0</v>
      </c>
      <c r="Q469" s="444">
        <f t="shared" si="194"/>
        <v>0</v>
      </c>
      <c r="R469" s="444">
        <f t="shared" si="194"/>
        <v>1.0999999999999999</v>
      </c>
      <c r="S469" s="444">
        <f t="shared" si="194"/>
        <v>4318.7100000000009</v>
      </c>
      <c r="T469" s="444"/>
      <c r="U469" s="444"/>
      <c r="V469" s="444">
        <f t="shared" si="194"/>
        <v>0</v>
      </c>
      <c r="W469" s="444">
        <f t="shared" si="194"/>
        <v>28312.900000000005</v>
      </c>
      <c r="X469" s="444">
        <f t="shared" si="194"/>
        <v>75818.710000000006</v>
      </c>
      <c r="Y469" s="444">
        <f>SUM(Y447:Y468)</f>
        <v>0</v>
      </c>
      <c r="Z469" s="444">
        <f>SUM(Z447:Z468)</f>
        <v>75818.710000000006</v>
      </c>
      <c r="AA469" s="499">
        <f>SUM(AA447:AA468)</f>
        <v>75818.710000000006</v>
      </c>
      <c r="AB469" s="499">
        <f>SUM(AB447:AB468)</f>
        <v>0</v>
      </c>
      <c r="AC469" s="444">
        <f t="shared" si="194"/>
        <v>71500</v>
      </c>
      <c r="AD469" s="444">
        <f t="shared" si="194"/>
        <v>28312.900000000005</v>
      </c>
      <c r="AE469" s="444">
        <f t="shared" si="194"/>
        <v>37554</v>
      </c>
      <c r="AF469" s="444">
        <f t="shared" si="194"/>
        <v>0</v>
      </c>
      <c r="AG469" s="444">
        <f t="shared" si="194"/>
        <v>43187.099999999991</v>
      </c>
      <c r="AH469" s="444">
        <f t="shared" si="194"/>
        <v>0</v>
      </c>
      <c r="AI469" s="444">
        <f t="shared" si="194"/>
        <v>5633.1</v>
      </c>
      <c r="AJ469" s="444">
        <f t="shared" si="194"/>
        <v>0</v>
      </c>
      <c r="AK469" s="444">
        <f t="shared" si="194"/>
        <v>0</v>
      </c>
      <c r="AL469" s="444">
        <f t="shared" si="194"/>
        <v>0</v>
      </c>
      <c r="AM469" s="444">
        <f t="shared" si="194"/>
        <v>28312.900000000005</v>
      </c>
      <c r="AN469" s="444">
        <f t="shared" si="194"/>
        <v>4318.7100000000009</v>
      </c>
      <c r="AO469" s="444"/>
      <c r="AP469" s="444"/>
      <c r="AQ469" s="444"/>
      <c r="AR469" s="444"/>
      <c r="AS469" s="444"/>
      <c r="AT469" s="463"/>
    </row>
    <row r="470" spans="1:46" s="456" customFormat="1" ht="24.95" customHeight="1">
      <c r="A470" s="455"/>
      <c r="B470" s="455"/>
      <c r="C470" s="1136" t="s">
        <v>1028</v>
      </c>
      <c r="D470" s="1136"/>
      <c r="E470" s="455"/>
      <c r="F470" s="455"/>
      <c r="G470" s="455"/>
      <c r="H470" s="455"/>
      <c r="I470" s="455"/>
      <c r="J470" s="455"/>
      <c r="K470" s="455"/>
      <c r="L470" s="455"/>
      <c r="M470" s="455"/>
      <c r="N470" s="455"/>
      <c r="O470" s="455"/>
      <c r="P470" s="455"/>
      <c r="Q470" s="455"/>
      <c r="R470" s="455"/>
      <c r="S470" s="455"/>
      <c r="T470" s="455"/>
      <c r="U470" s="455"/>
      <c r="V470" s="455"/>
      <c r="W470" s="455"/>
      <c r="X470" s="455"/>
      <c r="Y470" s="455"/>
      <c r="Z470" s="455"/>
      <c r="AA470" s="504"/>
      <c r="AB470" s="504"/>
      <c r="AC470" s="455"/>
      <c r="AD470" s="455"/>
      <c r="AE470" s="436">
        <f t="shared" si="185"/>
        <v>0</v>
      </c>
      <c r="AF470" s="436">
        <f t="shared" si="186"/>
        <v>0</v>
      </c>
      <c r="AG470" s="436">
        <f t="shared" si="187"/>
        <v>0</v>
      </c>
      <c r="AH470" s="436">
        <f t="shared" si="188"/>
        <v>0</v>
      </c>
      <c r="AI470" s="436">
        <f t="shared" si="189"/>
        <v>0</v>
      </c>
      <c r="AJ470" s="436">
        <f t="shared" si="189"/>
        <v>0</v>
      </c>
      <c r="AK470" s="437">
        <f t="shared" si="190"/>
        <v>0</v>
      </c>
      <c r="AL470" s="437">
        <f t="shared" si="191"/>
        <v>0</v>
      </c>
      <c r="AM470" s="437">
        <f t="shared" si="192"/>
        <v>0</v>
      </c>
      <c r="AN470" s="437">
        <f t="shared" si="163"/>
        <v>0</v>
      </c>
      <c r="AO470" s="437">
        <f t="shared" si="164"/>
        <v>0</v>
      </c>
      <c r="AP470" s="437">
        <f t="shared" ref="AP470:AQ526" si="195">AG470</f>
        <v>0</v>
      </c>
      <c r="AQ470" s="437">
        <f t="shared" si="195"/>
        <v>0</v>
      </c>
      <c r="AR470" s="436"/>
      <c r="AS470" s="437">
        <f t="shared" ref="AS470:AS533" si="196">AP470+AQ470-AR470</f>
        <v>0</v>
      </c>
      <c r="AT470" s="463"/>
    </row>
    <row r="471" spans="1:46" s="438" customFormat="1" ht="24.95" customHeight="1">
      <c r="A471" s="1134"/>
      <c r="B471" s="1134"/>
      <c r="C471" s="1139"/>
      <c r="D471" s="1134"/>
      <c r="E471" s="1134"/>
      <c r="F471" s="1134"/>
      <c r="G471" s="1112"/>
      <c r="H471" s="1112"/>
      <c r="I471" s="1140"/>
      <c r="J471" s="1140"/>
      <c r="K471" s="1140"/>
      <c r="L471" s="1140"/>
      <c r="M471" s="1140"/>
      <c r="N471" s="1112">
        <f>G471+H472+K472</f>
        <v>0</v>
      </c>
      <c r="O471" s="1112"/>
      <c r="P471" s="1140"/>
      <c r="Q471" s="1140"/>
      <c r="R471" s="1138">
        <v>0.1</v>
      </c>
      <c r="S471" s="1112">
        <f>N471*R471</f>
        <v>0</v>
      </c>
      <c r="T471" s="1134"/>
      <c r="U471" s="1138"/>
      <c r="V471" s="1112"/>
      <c r="W471" s="1112">
        <f>AD471</f>
        <v>0</v>
      </c>
      <c r="X471" s="1112">
        <f>(N471+V471+Q472+S471)*O471+W471</f>
        <v>0</v>
      </c>
      <c r="Y471" s="1112"/>
      <c r="Z471" s="1112">
        <f>X471+Y471</f>
        <v>0</v>
      </c>
      <c r="AA471" s="1109">
        <f t="shared" ref="AA471:AA479" si="197">Z471</f>
        <v>0</v>
      </c>
      <c r="AB471" s="1109">
        <f>AA471-X471</f>
        <v>0</v>
      </c>
      <c r="AC471" s="1112">
        <f>6500*O471</f>
        <v>0</v>
      </c>
      <c r="AD471" s="1112">
        <f>AC471-(N471*O471)</f>
        <v>0</v>
      </c>
      <c r="AE471" s="436">
        <f t="shared" si="185"/>
        <v>0</v>
      </c>
      <c r="AF471" s="436">
        <f t="shared" si="186"/>
        <v>0</v>
      </c>
      <c r="AG471" s="436">
        <f t="shared" si="187"/>
        <v>0</v>
      </c>
      <c r="AH471" s="436">
        <f t="shared" si="188"/>
        <v>0</v>
      </c>
      <c r="AI471" s="436">
        <f t="shared" si="189"/>
        <v>0</v>
      </c>
      <c r="AJ471" s="436">
        <f t="shared" si="189"/>
        <v>0</v>
      </c>
      <c r="AK471" s="437">
        <f t="shared" si="190"/>
        <v>0</v>
      </c>
      <c r="AL471" s="437">
        <f t="shared" si="191"/>
        <v>0</v>
      </c>
      <c r="AM471" s="437">
        <f t="shared" si="192"/>
        <v>0</v>
      </c>
      <c r="AN471" s="437">
        <f t="shared" si="163"/>
        <v>0</v>
      </c>
      <c r="AO471" s="437">
        <f t="shared" si="164"/>
        <v>0</v>
      </c>
      <c r="AP471" s="437">
        <f t="shared" si="195"/>
        <v>0</v>
      </c>
      <c r="AQ471" s="437">
        <f t="shared" si="195"/>
        <v>0</v>
      </c>
      <c r="AR471" s="436"/>
      <c r="AS471" s="437">
        <f t="shared" si="196"/>
        <v>0</v>
      </c>
    </row>
    <row r="472" spans="1:46" s="438" customFormat="1" ht="24.95" customHeight="1">
      <c r="A472" s="1134"/>
      <c r="B472" s="1134"/>
      <c r="C472" s="1139"/>
      <c r="D472" s="1134"/>
      <c r="E472" s="1134"/>
      <c r="F472" s="1134"/>
      <c r="G472" s="1112"/>
      <c r="H472" s="1112"/>
      <c r="I472" s="1140"/>
      <c r="J472" s="1140"/>
      <c r="K472" s="1140"/>
      <c r="L472" s="1140"/>
      <c r="M472" s="1140"/>
      <c r="N472" s="1112"/>
      <c r="O472" s="1112"/>
      <c r="P472" s="1140"/>
      <c r="Q472" s="1140"/>
      <c r="R472" s="1138"/>
      <c r="S472" s="1112"/>
      <c r="T472" s="1134"/>
      <c r="U472" s="1138"/>
      <c r="V472" s="1112"/>
      <c r="W472" s="1112"/>
      <c r="X472" s="1112"/>
      <c r="Y472" s="1112"/>
      <c r="Z472" s="1112"/>
      <c r="AA472" s="1109"/>
      <c r="AB472" s="1109"/>
      <c r="AC472" s="1112"/>
      <c r="AD472" s="1112"/>
      <c r="AE472" s="436">
        <f t="shared" si="185"/>
        <v>0</v>
      </c>
      <c r="AF472" s="436">
        <f t="shared" si="186"/>
        <v>0</v>
      </c>
      <c r="AG472" s="436">
        <f t="shared" si="187"/>
        <v>0</v>
      </c>
      <c r="AH472" s="436">
        <f t="shared" si="188"/>
        <v>0</v>
      </c>
      <c r="AI472" s="436">
        <f t="shared" si="189"/>
        <v>0</v>
      </c>
      <c r="AJ472" s="436">
        <f t="shared" si="189"/>
        <v>0</v>
      </c>
      <c r="AK472" s="437">
        <f t="shared" si="190"/>
        <v>0</v>
      </c>
      <c r="AL472" s="437">
        <f t="shared" si="191"/>
        <v>0</v>
      </c>
      <c r="AM472" s="437">
        <f t="shared" si="192"/>
        <v>0</v>
      </c>
      <c r="AN472" s="437">
        <f t="shared" si="163"/>
        <v>0</v>
      </c>
      <c r="AO472" s="437">
        <f t="shared" si="164"/>
        <v>0</v>
      </c>
      <c r="AP472" s="437">
        <f t="shared" si="195"/>
        <v>0</v>
      </c>
      <c r="AQ472" s="437">
        <f t="shared" si="195"/>
        <v>0</v>
      </c>
      <c r="AR472" s="436"/>
      <c r="AS472" s="437">
        <f t="shared" si="196"/>
        <v>0</v>
      </c>
    </row>
    <row r="473" spans="1:46" s="438" customFormat="1" ht="24.95" customHeight="1">
      <c r="A473" s="1134"/>
      <c r="B473" s="1134"/>
      <c r="C473" s="1139" t="s">
        <v>735</v>
      </c>
      <c r="D473" s="1134"/>
      <c r="E473" s="1134" t="s">
        <v>750</v>
      </c>
      <c r="F473" s="1134">
        <v>3</v>
      </c>
      <c r="G473" s="1112">
        <v>3414</v>
      </c>
      <c r="H473" s="1112"/>
      <c r="I473" s="1112"/>
      <c r="J473" s="1112"/>
      <c r="K473" s="1112"/>
      <c r="L473" s="1112"/>
      <c r="M473" s="1112"/>
      <c r="N473" s="1112">
        <f>G473+H474</f>
        <v>3414</v>
      </c>
      <c r="O473" s="1112">
        <v>1</v>
      </c>
      <c r="P473" s="1140"/>
      <c r="Q473" s="1140"/>
      <c r="R473" s="1138">
        <v>0.1</v>
      </c>
      <c r="S473" s="1112">
        <f>N473*R473</f>
        <v>341.40000000000003</v>
      </c>
      <c r="T473" s="1134"/>
      <c r="U473" s="1138"/>
      <c r="V473" s="1112"/>
      <c r="W473" s="1112">
        <f>AD473</f>
        <v>3086</v>
      </c>
      <c r="X473" s="1112">
        <f>(N473+V473+Q474+S473)*O473+W473</f>
        <v>6841.4</v>
      </c>
      <c r="Y473" s="1112"/>
      <c r="Z473" s="1112">
        <f>X473+Y473</f>
        <v>6841.4</v>
      </c>
      <c r="AA473" s="1109">
        <f t="shared" si="197"/>
        <v>6841.4</v>
      </c>
      <c r="AB473" s="1109">
        <f>AA473-X473</f>
        <v>0</v>
      </c>
      <c r="AC473" s="1112">
        <f>6500*O473</f>
        <v>6500</v>
      </c>
      <c r="AD473" s="1112">
        <f>AC473-(N473*O473)</f>
        <v>3086</v>
      </c>
      <c r="AE473" s="436">
        <f t="shared" si="185"/>
        <v>3414</v>
      </c>
      <c r="AF473" s="436">
        <f t="shared" si="186"/>
        <v>0</v>
      </c>
      <c r="AG473" s="436">
        <f t="shared" si="187"/>
        <v>3414</v>
      </c>
      <c r="AH473" s="436">
        <f t="shared" si="188"/>
        <v>0</v>
      </c>
      <c r="AI473" s="436">
        <f t="shared" si="189"/>
        <v>0</v>
      </c>
      <c r="AJ473" s="436">
        <f t="shared" si="189"/>
        <v>0</v>
      </c>
      <c r="AK473" s="437">
        <f t="shared" si="190"/>
        <v>0</v>
      </c>
      <c r="AL473" s="437">
        <f t="shared" si="191"/>
        <v>0</v>
      </c>
      <c r="AM473" s="437">
        <f t="shared" si="192"/>
        <v>3086</v>
      </c>
      <c r="AN473" s="437">
        <f t="shared" si="163"/>
        <v>341.40000000000003</v>
      </c>
      <c r="AO473" s="437">
        <f t="shared" si="164"/>
        <v>0</v>
      </c>
      <c r="AP473" s="437">
        <f t="shared" si="195"/>
        <v>3414</v>
      </c>
      <c r="AQ473" s="437">
        <f t="shared" si="195"/>
        <v>0</v>
      </c>
      <c r="AR473" s="436"/>
      <c r="AS473" s="437">
        <f t="shared" si="196"/>
        <v>3414</v>
      </c>
    </row>
    <row r="474" spans="1:46" s="438" customFormat="1" ht="24.95" customHeight="1">
      <c r="A474" s="1134"/>
      <c r="B474" s="1134"/>
      <c r="C474" s="1139"/>
      <c r="D474" s="1134"/>
      <c r="E474" s="1134"/>
      <c r="F474" s="1134"/>
      <c r="G474" s="1112"/>
      <c r="H474" s="1112"/>
      <c r="I474" s="1112"/>
      <c r="J474" s="1112"/>
      <c r="K474" s="1112"/>
      <c r="L474" s="1112"/>
      <c r="M474" s="1112"/>
      <c r="N474" s="1112"/>
      <c r="O474" s="1112"/>
      <c r="P474" s="1140"/>
      <c r="Q474" s="1140"/>
      <c r="R474" s="1138"/>
      <c r="S474" s="1112"/>
      <c r="T474" s="1134"/>
      <c r="U474" s="1138"/>
      <c r="V474" s="1112"/>
      <c r="W474" s="1112"/>
      <c r="X474" s="1112"/>
      <c r="Y474" s="1112"/>
      <c r="Z474" s="1112"/>
      <c r="AA474" s="1109"/>
      <c r="AB474" s="1109"/>
      <c r="AC474" s="1112"/>
      <c r="AD474" s="1112"/>
      <c r="AE474" s="436">
        <f t="shared" si="185"/>
        <v>0</v>
      </c>
      <c r="AF474" s="436">
        <f t="shared" si="186"/>
        <v>0</v>
      </c>
      <c r="AG474" s="436">
        <f t="shared" si="187"/>
        <v>0</v>
      </c>
      <c r="AH474" s="436">
        <f t="shared" si="188"/>
        <v>0</v>
      </c>
      <c r="AI474" s="436">
        <f t="shared" si="189"/>
        <v>0</v>
      </c>
      <c r="AJ474" s="436">
        <f t="shared" si="189"/>
        <v>0</v>
      </c>
      <c r="AK474" s="437">
        <f t="shared" si="190"/>
        <v>0</v>
      </c>
      <c r="AL474" s="437">
        <f t="shared" si="191"/>
        <v>0</v>
      </c>
      <c r="AM474" s="437">
        <f t="shared" si="192"/>
        <v>0</v>
      </c>
      <c r="AN474" s="437">
        <f t="shared" si="163"/>
        <v>0</v>
      </c>
      <c r="AO474" s="437">
        <f t="shared" si="164"/>
        <v>0</v>
      </c>
      <c r="AP474" s="437">
        <f t="shared" si="195"/>
        <v>0</v>
      </c>
      <c r="AQ474" s="437">
        <f t="shared" si="195"/>
        <v>0</v>
      </c>
      <c r="AR474" s="436"/>
      <c r="AS474" s="437">
        <f t="shared" si="196"/>
        <v>0</v>
      </c>
    </row>
    <row r="475" spans="1:46" s="438" customFormat="1" ht="24.95" customHeight="1">
      <c r="A475" s="1134"/>
      <c r="B475" s="1134"/>
      <c r="C475" s="1139" t="s">
        <v>735</v>
      </c>
      <c r="D475" s="1134"/>
      <c r="E475" s="1134" t="s">
        <v>751</v>
      </c>
      <c r="F475" s="1134">
        <v>3</v>
      </c>
      <c r="G475" s="1112">
        <v>3414</v>
      </c>
      <c r="H475" s="1112"/>
      <c r="I475" s="1112"/>
      <c r="J475" s="1112"/>
      <c r="K475" s="1112"/>
      <c r="L475" s="1112"/>
      <c r="M475" s="1112"/>
      <c r="N475" s="1112">
        <f>G475+H476</f>
        <v>3414</v>
      </c>
      <c r="O475" s="1112">
        <v>1</v>
      </c>
      <c r="P475" s="1112"/>
      <c r="Q475" s="1112"/>
      <c r="R475" s="1138">
        <v>0.1</v>
      </c>
      <c r="S475" s="1112">
        <f>N475*R475</f>
        <v>341.40000000000003</v>
      </c>
      <c r="T475" s="1134"/>
      <c r="U475" s="1138"/>
      <c r="V475" s="1112"/>
      <c r="W475" s="1112">
        <f>AD475</f>
        <v>3086</v>
      </c>
      <c r="X475" s="1112">
        <f>(N475+V475+Q476+S475)*O475+W475</f>
        <v>6841.4</v>
      </c>
      <c r="Y475" s="1112"/>
      <c r="Z475" s="1112">
        <f>X475+Y475</f>
        <v>6841.4</v>
      </c>
      <c r="AA475" s="1109">
        <f t="shared" si="197"/>
        <v>6841.4</v>
      </c>
      <c r="AB475" s="1109">
        <f>AA475-X475</f>
        <v>0</v>
      </c>
      <c r="AC475" s="1112">
        <f>6500*O475</f>
        <v>6500</v>
      </c>
      <c r="AD475" s="1112">
        <f>AC475-(N475*O475)</f>
        <v>3086</v>
      </c>
      <c r="AE475" s="436">
        <f t="shared" si="185"/>
        <v>3414</v>
      </c>
      <c r="AF475" s="436">
        <f t="shared" si="186"/>
        <v>0</v>
      </c>
      <c r="AG475" s="436">
        <f t="shared" si="187"/>
        <v>3414</v>
      </c>
      <c r="AH475" s="436">
        <f t="shared" si="188"/>
        <v>0</v>
      </c>
      <c r="AI475" s="436">
        <f t="shared" si="189"/>
        <v>0</v>
      </c>
      <c r="AJ475" s="436">
        <f t="shared" si="189"/>
        <v>0</v>
      </c>
      <c r="AK475" s="437">
        <f t="shared" si="190"/>
        <v>0</v>
      </c>
      <c r="AL475" s="437">
        <f t="shared" si="191"/>
        <v>0</v>
      </c>
      <c r="AM475" s="437">
        <f t="shared" si="192"/>
        <v>3086</v>
      </c>
      <c r="AN475" s="437">
        <f t="shared" si="163"/>
        <v>341.40000000000003</v>
      </c>
      <c r="AO475" s="437">
        <f t="shared" si="164"/>
        <v>0</v>
      </c>
      <c r="AP475" s="437">
        <f t="shared" si="195"/>
        <v>3414</v>
      </c>
      <c r="AQ475" s="437">
        <f t="shared" si="195"/>
        <v>0</v>
      </c>
      <c r="AR475" s="436"/>
      <c r="AS475" s="437">
        <f t="shared" si="196"/>
        <v>3414</v>
      </c>
    </row>
    <row r="476" spans="1:46" s="438" customFormat="1" ht="24.95" customHeight="1">
      <c r="A476" s="1134"/>
      <c r="B476" s="1134"/>
      <c r="C476" s="1139"/>
      <c r="D476" s="1134"/>
      <c r="E476" s="1134"/>
      <c r="F476" s="1134"/>
      <c r="G476" s="1112"/>
      <c r="H476" s="1112"/>
      <c r="I476" s="1112"/>
      <c r="J476" s="1112"/>
      <c r="K476" s="1112"/>
      <c r="L476" s="1112"/>
      <c r="M476" s="1112"/>
      <c r="N476" s="1112"/>
      <c r="O476" s="1112"/>
      <c r="P476" s="1112"/>
      <c r="Q476" s="1112"/>
      <c r="R476" s="1138"/>
      <c r="S476" s="1112"/>
      <c r="T476" s="1134"/>
      <c r="U476" s="1138"/>
      <c r="V476" s="1112"/>
      <c r="W476" s="1112"/>
      <c r="X476" s="1112"/>
      <c r="Y476" s="1112"/>
      <c r="Z476" s="1112"/>
      <c r="AA476" s="1109"/>
      <c r="AB476" s="1109"/>
      <c r="AC476" s="1112"/>
      <c r="AD476" s="1112"/>
      <c r="AE476" s="436">
        <f t="shared" si="185"/>
        <v>0</v>
      </c>
      <c r="AF476" s="436">
        <f t="shared" si="186"/>
        <v>0</v>
      </c>
      <c r="AG476" s="436">
        <f t="shared" si="187"/>
        <v>0</v>
      </c>
      <c r="AH476" s="436">
        <f t="shared" si="188"/>
        <v>0</v>
      </c>
      <c r="AI476" s="436">
        <f t="shared" si="189"/>
        <v>0</v>
      </c>
      <c r="AJ476" s="436">
        <f t="shared" si="189"/>
        <v>0</v>
      </c>
      <c r="AK476" s="437">
        <f t="shared" si="190"/>
        <v>0</v>
      </c>
      <c r="AL476" s="437">
        <f t="shared" si="191"/>
        <v>0</v>
      </c>
      <c r="AM476" s="437">
        <f t="shared" si="192"/>
        <v>0</v>
      </c>
      <c r="AN476" s="437">
        <f t="shared" si="163"/>
        <v>0</v>
      </c>
      <c r="AO476" s="437">
        <f t="shared" si="164"/>
        <v>0</v>
      </c>
      <c r="AP476" s="437">
        <f t="shared" si="195"/>
        <v>0</v>
      </c>
      <c r="AQ476" s="437">
        <f t="shared" si="195"/>
        <v>0</v>
      </c>
      <c r="AR476" s="436"/>
      <c r="AS476" s="437">
        <f t="shared" si="196"/>
        <v>0</v>
      </c>
    </row>
    <row r="477" spans="1:46" s="438" customFormat="1" ht="24.95" customHeight="1">
      <c r="A477" s="1134"/>
      <c r="B477" s="1134"/>
      <c r="C477" s="1139" t="s">
        <v>735</v>
      </c>
      <c r="D477" s="1134"/>
      <c r="E477" s="1134" t="s">
        <v>760</v>
      </c>
      <c r="F477" s="1134">
        <v>3</v>
      </c>
      <c r="G477" s="1112">
        <v>3414</v>
      </c>
      <c r="H477" s="1112"/>
      <c r="I477" s="1112"/>
      <c r="J477" s="1112"/>
      <c r="K477" s="1112"/>
      <c r="L477" s="1112"/>
      <c r="M477" s="1112"/>
      <c r="N477" s="1112">
        <f>G477+H478</f>
        <v>3414</v>
      </c>
      <c r="O477" s="1112">
        <v>1</v>
      </c>
      <c r="P477" s="1112"/>
      <c r="Q477" s="1112"/>
      <c r="R477" s="1138">
        <v>0.1</v>
      </c>
      <c r="S477" s="1112">
        <f>N477*R477</f>
        <v>341.40000000000003</v>
      </c>
      <c r="T477" s="1134"/>
      <c r="U477" s="1138"/>
      <c r="V477" s="1112"/>
      <c r="W477" s="1112">
        <f>AD477</f>
        <v>3086</v>
      </c>
      <c r="X477" s="1112">
        <f>(N477+V477+Q478+S477)*O477+W477</f>
        <v>6841.4</v>
      </c>
      <c r="Y477" s="1112"/>
      <c r="Z477" s="1112">
        <f>X477+Y477</f>
        <v>6841.4</v>
      </c>
      <c r="AA477" s="1109">
        <f t="shared" si="197"/>
        <v>6841.4</v>
      </c>
      <c r="AB477" s="1109">
        <f>AA477-X477</f>
        <v>0</v>
      </c>
      <c r="AC477" s="1112">
        <f>6500*O477</f>
        <v>6500</v>
      </c>
      <c r="AD477" s="1112">
        <f>AC477-(N477*O477)</f>
        <v>3086</v>
      </c>
      <c r="AE477" s="436">
        <f>G477*O477</f>
        <v>3414</v>
      </c>
      <c r="AF477" s="436">
        <f>G477*P477</f>
        <v>0</v>
      </c>
      <c r="AG477" s="436">
        <f>N477*O477</f>
        <v>3414</v>
      </c>
      <c r="AH477" s="436">
        <f>N477*P477</f>
        <v>0</v>
      </c>
      <c r="AI477" s="436">
        <f>AG477-AE477</f>
        <v>0</v>
      </c>
      <c r="AJ477" s="436">
        <f>AH477-AF477</f>
        <v>0</v>
      </c>
      <c r="AK477" s="437">
        <f>V477*O477</f>
        <v>0</v>
      </c>
      <c r="AL477" s="437">
        <f>V477*P477</f>
        <v>0</v>
      </c>
      <c r="AM477" s="437">
        <f>W477</f>
        <v>3086</v>
      </c>
      <c r="AN477" s="437">
        <f>S477*O477</f>
        <v>341.40000000000003</v>
      </c>
      <c r="AO477" s="437">
        <f>S477*P477</f>
        <v>0</v>
      </c>
      <c r="AP477" s="437">
        <f>AG477</f>
        <v>3414</v>
      </c>
      <c r="AQ477" s="437">
        <f>AH477</f>
        <v>0</v>
      </c>
      <c r="AR477" s="436"/>
      <c r="AS477" s="437">
        <f>AP477+AQ477-AR477</f>
        <v>3414</v>
      </c>
    </row>
    <row r="478" spans="1:46" s="438" customFormat="1" ht="24.95" customHeight="1">
      <c r="A478" s="1134"/>
      <c r="B478" s="1134"/>
      <c r="C478" s="1139"/>
      <c r="D478" s="1134"/>
      <c r="E478" s="1134"/>
      <c r="F478" s="1134"/>
      <c r="G478" s="1112"/>
      <c r="H478" s="1112"/>
      <c r="I478" s="1112"/>
      <c r="J478" s="1112"/>
      <c r="K478" s="1112"/>
      <c r="L478" s="1112"/>
      <c r="M478" s="1112"/>
      <c r="N478" s="1112"/>
      <c r="O478" s="1112"/>
      <c r="P478" s="1112"/>
      <c r="Q478" s="1112"/>
      <c r="R478" s="1138"/>
      <c r="S478" s="1112"/>
      <c r="T478" s="1134"/>
      <c r="U478" s="1138"/>
      <c r="V478" s="1112"/>
      <c r="W478" s="1112"/>
      <c r="X478" s="1112"/>
      <c r="Y478" s="1112"/>
      <c r="Z478" s="1112"/>
      <c r="AA478" s="1109"/>
      <c r="AB478" s="1109"/>
      <c r="AC478" s="1112"/>
      <c r="AD478" s="1112"/>
      <c r="AE478" s="436">
        <f>G478*O478</f>
        <v>0</v>
      </c>
      <c r="AF478" s="436">
        <f>G478*P478</f>
        <v>0</v>
      </c>
      <c r="AG478" s="436">
        <f>N478*O478</f>
        <v>0</v>
      </c>
      <c r="AH478" s="436">
        <f>N478*P478</f>
        <v>0</v>
      </c>
      <c r="AI478" s="436">
        <f>AG478-AE478</f>
        <v>0</v>
      </c>
      <c r="AJ478" s="436">
        <f>AH478-AF478</f>
        <v>0</v>
      </c>
      <c r="AK478" s="437">
        <f>V478*O478</f>
        <v>0</v>
      </c>
      <c r="AL478" s="437">
        <f>V478*P478</f>
        <v>0</v>
      </c>
      <c r="AM478" s="437">
        <f>W478</f>
        <v>0</v>
      </c>
      <c r="AN478" s="437">
        <f>S478*O478</f>
        <v>0</v>
      </c>
      <c r="AO478" s="437">
        <f>S478*P478</f>
        <v>0</v>
      </c>
      <c r="AP478" s="437">
        <f>AG478</f>
        <v>0</v>
      </c>
      <c r="AQ478" s="437">
        <f>AH478</f>
        <v>0</v>
      </c>
      <c r="AR478" s="436"/>
      <c r="AS478" s="437">
        <f>AP478+AQ478-AR478</f>
        <v>0</v>
      </c>
    </row>
    <row r="479" spans="1:46" s="438" customFormat="1" ht="24.95" customHeight="1">
      <c r="A479" s="1134"/>
      <c r="B479" s="1134"/>
      <c r="C479" s="1139" t="s">
        <v>735</v>
      </c>
      <c r="D479" s="1134"/>
      <c r="E479" s="1134" t="s">
        <v>752</v>
      </c>
      <c r="F479" s="1134">
        <v>3</v>
      </c>
      <c r="G479" s="1112">
        <v>3414</v>
      </c>
      <c r="H479" s="1112"/>
      <c r="I479" s="1112"/>
      <c r="J479" s="1112"/>
      <c r="K479" s="1112"/>
      <c r="L479" s="1112"/>
      <c r="M479" s="1112"/>
      <c r="N479" s="1112">
        <f>G479+H480</f>
        <v>3414</v>
      </c>
      <c r="O479" s="1112">
        <v>1</v>
      </c>
      <c r="P479" s="1112"/>
      <c r="Q479" s="1112"/>
      <c r="R479" s="1138">
        <v>0.1</v>
      </c>
      <c r="S479" s="1112">
        <f>N479*R479</f>
        <v>341.40000000000003</v>
      </c>
      <c r="T479" s="1134"/>
      <c r="U479" s="1138"/>
      <c r="V479" s="1112"/>
      <c r="W479" s="1112">
        <f>AD479</f>
        <v>3086</v>
      </c>
      <c r="X479" s="1112">
        <f>(N479+V479+Q480+S479)*O479+W479</f>
        <v>6841.4</v>
      </c>
      <c r="Y479" s="1112"/>
      <c r="Z479" s="1112">
        <f>X479+Y479</f>
        <v>6841.4</v>
      </c>
      <c r="AA479" s="1109">
        <f t="shared" si="197"/>
        <v>6841.4</v>
      </c>
      <c r="AB479" s="1109">
        <f>AA479-X479</f>
        <v>0</v>
      </c>
      <c r="AC479" s="1112">
        <f>6500*O479</f>
        <v>6500</v>
      </c>
      <c r="AD479" s="1112">
        <f>AC479-(N479*O479)</f>
        <v>3086</v>
      </c>
      <c r="AE479" s="436">
        <f t="shared" si="185"/>
        <v>3414</v>
      </c>
      <c r="AF479" s="436">
        <f t="shared" si="186"/>
        <v>0</v>
      </c>
      <c r="AG479" s="436">
        <f t="shared" si="187"/>
        <v>3414</v>
      </c>
      <c r="AH479" s="436">
        <f t="shared" si="188"/>
        <v>0</v>
      </c>
      <c r="AI479" s="436">
        <f t="shared" si="189"/>
        <v>0</v>
      </c>
      <c r="AJ479" s="436">
        <f t="shared" si="189"/>
        <v>0</v>
      </c>
      <c r="AK479" s="437">
        <f t="shared" si="190"/>
        <v>0</v>
      </c>
      <c r="AL479" s="437">
        <f t="shared" si="191"/>
        <v>0</v>
      </c>
      <c r="AM479" s="437">
        <f t="shared" si="192"/>
        <v>3086</v>
      </c>
      <c r="AN479" s="437">
        <f t="shared" si="163"/>
        <v>341.40000000000003</v>
      </c>
      <c r="AO479" s="437">
        <f t="shared" si="164"/>
        <v>0</v>
      </c>
      <c r="AP479" s="437">
        <f t="shared" si="195"/>
        <v>3414</v>
      </c>
      <c r="AQ479" s="437">
        <f t="shared" si="195"/>
        <v>0</v>
      </c>
      <c r="AR479" s="436"/>
      <c r="AS479" s="437">
        <f t="shared" si="196"/>
        <v>3414</v>
      </c>
    </row>
    <row r="480" spans="1:46" s="438" customFormat="1" ht="24.95" customHeight="1">
      <c r="A480" s="1134"/>
      <c r="B480" s="1134"/>
      <c r="C480" s="1139"/>
      <c r="D480" s="1134"/>
      <c r="E480" s="1134"/>
      <c r="F480" s="1134"/>
      <c r="G480" s="1112"/>
      <c r="H480" s="1112"/>
      <c r="I480" s="1112"/>
      <c r="J480" s="1112"/>
      <c r="K480" s="1112"/>
      <c r="L480" s="1112"/>
      <c r="M480" s="1112"/>
      <c r="N480" s="1112"/>
      <c r="O480" s="1112"/>
      <c r="P480" s="1112"/>
      <c r="Q480" s="1112"/>
      <c r="R480" s="1138"/>
      <c r="S480" s="1112"/>
      <c r="T480" s="1134"/>
      <c r="U480" s="1138"/>
      <c r="V480" s="1112"/>
      <c r="W480" s="1112"/>
      <c r="X480" s="1112"/>
      <c r="Y480" s="1112"/>
      <c r="Z480" s="1112"/>
      <c r="AA480" s="1109"/>
      <c r="AB480" s="1109"/>
      <c r="AC480" s="1112"/>
      <c r="AD480" s="1112"/>
      <c r="AE480" s="436">
        <f t="shared" si="185"/>
        <v>0</v>
      </c>
      <c r="AF480" s="436">
        <f t="shared" si="186"/>
        <v>0</v>
      </c>
      <c r="AG480" s="436">
        <f t="shared" si="187"/>
        <v>0</v>
      </c>
      <c r="AH480" s="436">
        <f t="shared" si="188"/>
        <v>0</v>
      </c>
      <c r="AI480" s="436">
        <f t="shared" si="189"/>
        <v>0</v>
      </c>
      <c r="AJ480" s="436">
        <f t="shared" si="189"/>
        <v>0</v>
      </c>
      <c r="AK480" s="437">
        <f t="shared" si="190"/>
        <v>0</v>
      </c>
      <c r="AL480" s="437">
        <f t="shared" si="191"/>
        <v>0</v>
      </c>
      <c r="AM480" s="437">
        <f t="shared" si="192"/>
        <v>0</v>
      </c>
      <c r="AN480" s="437">
        <f t="shared" si="163"/>
        <v>0</v>
      </c>
      <c r="AO480" s="437">
        <f t="shared" si="164"/>
        <v>0</v>
      </c>
      <c r="AP480" s="437">
        <f t="shared" si="195"/>
        <v>0</v>
      </c>
      <c r="AQ480" s="437">
        <f t="shared" si="195"/>
        <v>0</v>
      </c>
      <c r="AR480" s="436"/>
      <c r="AS480" s="437">
        <f t="shared" si="196"/>
        <v>0</v>
      </c>
    </row>
    <row r="481" spans="1:45" s="446" customFormat="1" ht="24.95" customHeight="1">
      <c r="A481" s="441"/>
      <c r="B481" s="441"/>
      <c r="C481" s="442" t="s">
        <v>318</v>
      </c>
      <c r="D481" s="441"/>
      <c r="E481" s="441"/>
      <c r="F481" s="441"/>
      <c r="G481" s="444">
        <f>SUM(G471:G480)</f>
        <v>13656</v>
      </c>
      <c r="H481" s="441"/>
      <c r="I481" s="441"/>
      <c r="J481" s="441"/>
      <c r="K481" s="441"/>
      <c r="L481" s="441"/>
      <c r="M481" s="441"/>
      <c r="N481" s="444">
        <f>SUM(N471:N480)</f>
        <v>13656</v>
      </c>
      <c r="O481" s="444">
        <f>SUM(O471:O480)</f>
        <v>4</v>
      </c>
      <c r="P481" s="444">
        <f>SUM(P471:P480)</f>
        <v>0</v>
      </c>
      <c r="Q481" s="444"/>
      <c r="R481" s="444"/>
      <c r="S481" s="444">
        <f>SUM(S471:S480)</f>
        <v>1365.6000000000001</v>
      </c>
      <c r="T481" s="444"/>
      <c r="U481" s="444"/>
      <c r="V481" s="444"/>
      <c r="W481" s="444">
        <f t="shared" ref="W481:AD481" si="198">SUM(W471:W480)</f>
        <v>12344</v>
      </c>
      <c r="X481" s="444">
        <f t="shared" si="198"/>
        <v>27365.599999999999</v>
      </c>
      <c r="Y481" s="444">
        <f t="shared" si="198"/>
        <v>0</v>
      </c>
      <c r="Z481" s="444">
        <f t="shared" si="198"/>
        <v>27365.599999999999</v>
      </c>
      <c r="AA481" s="499">
        <f t="shared" si="198"/>
        <v>27365.599999999999</v>
      </c>
      <c r="AB481" s="499">
        <f t="shared" si="198"/>
        <v>0</v>
      </c>
      <c r="AC481" s="444">
        <f t="shared" si="198"/>
        <v>26000</v>
      </c>
      <c r="AD481" s="444">
        <f t="shared" si="198"/>
        <v>12344</v>
      </c>
      <c r="AE481" s="453"/>
      <c r="AF481" s="453"/>
      <c r="AG481" s="453"/>
      <c r="AH481" s="453"/>
      <c r="AI481" s="453"/>
      <c r="AJ481" s="453"/>
      <c r="AK481" s="454"/>
      <c r="AL481" s="454"/>
      <c r="AM481" s="454"/>
      <c r="AN481" s="454"/>
      <c r="AO481" s="454"/>
      <c r="AP481" s="454"/>
      <c r="AQ481" s="454"/>
      <c r="AR481" s="453"/>
      <c r="AS481" s="454"/>
    </row>
    <row r="482" spans="1:45" s="456" customFormat="1" ht="24.95" customHeight="1">
      <c r="A482" s="455"/>
      <c r="B482" s="455"/>
      <c r="C482" s="1136" t="s">
        <v>1029</v>
      </c>
      <c r="D482" s="1136"/>
      <c r="E482" s="455"/>
      <c r="F482" s="455"/>
      <c r="G482" s="455"/>
      <c r="H482" s="455"/>
      <c r="I482" s="455"/>
      <c r="J482" s="455"/>
      <c r="K482" s="455"/>
      <c r="L482" s="455"/>
      <c r="M482" s="455"/>
      <c r="N482" s="455"/>
      <c r="O482" s="455"/>
      <c r="P482" s="455"/>
      <c r="Q482" s="455"/>
      <c r="R482" s="455"/>
      <c r="S482" s="455"/>
      <c r="T482" s="455"/>
      <c r="U482" s="455"/>
      <c r="V482" s="455"/>
      <c r="W482" s="455"/>
      <c r="X482" s="455"/>
      <c r="Y482" s="455"/>
      <c r="Z482" s="455"/>
      <c r="AA482" s="504"/>
      <c r="AB482" s="504"/>
      <c r="AC482" s="455"/>
      <c r="AD482" s="455"/>
      <c r="AE482" s="436">
        <f t="shared" si="185"/>
        <v>0</v>
      </c>
      <c r="AF482" s="436">
        <f t="shared" si="186"/>
        <v>0</v>
      </c>
      <c r="AG482" s="436">
        <f t="shared" si="187"/>
        <v>0</v>
      </c>
      <c r="AH482" s="436">
        <f t="shared" si="188"/>
        <v>0</v>
      </c>
      <c r="AI482" s="436">
        <f t="shared" si="189"/>
        <v>0</v>
      </c>
      <c r="AJ482" s="436">
        <f t="shared" si="189"/>
        <v>0</v>
      </c>
      <c r="AK482" s="437">
        <f t="shared" si="190"/>
        <v>0</v>
      </c>
      <c r="AL482" s="437">
        <f t="shared" si="191"/>
        <v>0</v>
      </c>
      <c r="AM482" s="437">
        <f t="shared" si="192"/>
        <v>0</v>
      </c>
      <c r="AN482" s="437">
        <f t="shared" si="163"/>
        <v>0</v>
      </c>
      <c r="AO482" s="437">
        <f t="shared" si="164"/>
        <v>0</v>
      </c>
      <c r="AP482" s="437">
        <f t="shared" si="195"/>
        <v>0</v>
      </c>
      <c r="AQ482" s="437">
        <f t="shared" si="195"/>
        <v>0</v>
      </c>
      <c r="AR482" s="436"/>
      <c r="AS482" s="437">
        <f t="shared" si="196"/>
        <v>0</v>
      </c>
    </row>
    <row r="483" spans="1:45" s="438" customFormat="1" ht="24.95" customHeight="1">
      <c r="A483" s="1134"/>
      <c r="B483" s="1134"/>
      <c r="C483" s="1139" t="s">
        <v>735</v>
      </c>
      <c r="D483" s="1134"/>
      <c r="E483" s="1134"/>
      <c r="F483" s="1134"/>
      <c r="G483" s="1112"/>
      <c r="H483" s="1112"/>
      <c r="I483" s="1140"/>
      <c r="J483" s="1140"/>
      <c r="K483" s="1140"/>
      <c r="L483" s="1140"/>
      <c r="M483" s="1140"/>
      <c r="N483" s="1112">
        <f>G483+H484+K484</f>
        <v>0</v>
      </c>
      <c r="O483" s="1112"/>
      <c r="P483" s="1140"/>
      <c r="Q483" s="1140"/>
      <c r="R483" s="1138">
        <v>0.1</v>
      </c>
      <c r="S483" s="1112">
        <f>N483*R483</f>
        <v>0</v>
      </c>
      <c r="T483" s="1134"/>
      <c r="U483" s="1138"/>
      <c r="V483" s="1112"/>
      <c r="W483" s="1112">
        <f>AD483</f>
        <v>0</v>
      </c>
      <c r="X483" s="1112">
        <f>(N483+V483+Q484+S483)*O483+W483</f>
        <v>0</v>
      </c>
      <c r="Y483" s="1112"/>
      <c r="Z483" s="1112">
        <f>X483+Y483</f>
        <v>0</v>
      </c>
      <c r="AA483" s="1109">
        <f t="shared" ref="AA483:AA493" si="199">Z483</f>
        <v>0</v>
      </c>
      <c r="AB483" s="1109">
        <f>AA483-X483</f>
        <v>0</v>
      </c>
      <c r="AC483" s="1112">
        <f>6500*O483</f>
        <v>0</v>
      </c>
      <c r="AD483" s="1112">
        <f>AC483-(N483*O483)</f>
        <v>0</v>
      </c>
      <c r="AE483" s="436">
        <f t="shared" si="185"/>
        <v>0</v>
      </c>
      <c r="AF483" s="436">
        <f t="shared" si="186"/>
        <v>0</v>
      </c>
      <c r="AG483" s="436">
        <f t="shared" si="187"/>
        <v>0</v>
      </c>
      <c r="AH483" s="436">
        <f t="shared" si="188"/>
        <v>0</v>
      </c>
      <c r="AI483" s="436">
        <f t="shared" si="189"/>
        <v>0</v>
      </c>
      <c r="AJ483" s="436">
        <f t="shared" si="189"/>
        <v>0</v>
      </c>
      <c r="AK483" s="437">
        <f t="shared" si="190"/>
        <v>0</v>
      </c>
      <c r="AL483" s="437">
        <f t="shared" si="191"/>
        <v>0</v>
      </c>
      <c r="AM483" s="437">
        <f t="shared" si="192"/>
        <v>0</v>
      </c>
      <c r="AN483" s="437">
        <f t="shared" si="163"/>
        <v>0</v>
      </c>
      <c r="AO483" s="437">
        <f t="shared" si="164"/>
        <v>0</v>
      </c>
      <c r="AP483" s="437">
        <f t="shared" si="195"/>
        <v>0</v>
      </c>
      <c r="AQ483" s="437">
        <f t="shared" si="195"/>
        <v>0</v>
      </c>
      <c r="AR483" s="436"/>
      <c r="AS483" s="437">
        <f t="shared" si="196"/>
        <v>0</v>
      </c>
    </row>
    <row r="484" spans="1:45" s="438" customFormat="1" ht="24.95" customHeight="1">
      <c r="A484" s="1134"/>
      <c r="B484" s="1134"/>
      <c r="C484" s="1139"/>
      <c r="D484" s="1134"/>
      <c r="E484" s="1134"/>
      <c r="F484" s="1134"/>
      <c r="G484" s="1112"/>
      <c r="H484" s="1112"/>
      <c r="I484" s="1140"/>
      <c r="J484" s="1140"/>
      <c r="K484" s="1140"/>
      <c r="L484" s="1140"/>
      <c r="M484" s="1140"/>
      <c r="N484" s="1112"/>
      <c r="O484" s="1112"/>
      <c r="P484" s="1140"/>
      <c r="Q484" s="1140"/>
      <c r="R484" s="1138"/>
      <c r="S484" s="1112"/>
      <c r="T484" s="1134"/>
      <c r="U484" s="1138"/>
      <c r="V484" s="1112"/>
      <c r="W484" s="1112"/>
      <c r="X484" s="1112"/>
      <c r="Y484" s="1112"/>
      <c r="Z484" s="1112"/>
      <c r="AA484" s="1109"/>
      <c r="AB484" s="1109"/>
      <c r="AC484" s="1112"/>
      <c r="AD484" s="1112"/>
      <c r="AE484" s="436">
        <f t="shared" si="185"/>
        <v>0</v>
      </c>
      <c r="AF484" s="436">
        <f t="shared" si="186"/>
        <v>0</v>
      </c>
      <c r="AG484" s="436">
        <f t="shared" si="187"/>
        <v>0</v>
      </c>
      <c r="AH484" s="436">
        <f t="shared" si="188"/>
        <v>0</v>
      </c>
      <c r="AI484" s="436">
        <f t="shared" si="189"/>
        <v>0</v>
      </c>
      <c r="AJ484" s="436">
        <f t="shared" si="189"/>
        <v>0</v>
      </c>
      <c r="AK484" s="437">
        <f t="shared" si="190"/>
        <v>0</v>
      </c>
      <c r="AL484" s="437">
        <f t="shared" si="191"/>
        <v>0</v>
      </c>
      <c r="AM484" s="437">
        <f t="shared" si="192"/>
        <v>0</v>
      </c>
      <c r="AN484" s="437">
        <f t="shared" ref="AN484:AN547" si="200">S484*O484</f>
        <v>0</v>
      </c>
      <c r="AO484" s="437">
        <f t="shared" ref="AO484:AO547" si="201">S484*P484</f>
        <v>0</v>
      </c>
      <c r="AP484" s="437">
        <f t="shared" si="195"/>
        <v>0</v>
      </c>
      <c r="AQ484" s="437">
        <f t="shared" si="195"/>
        <v>0</v>
      </c>
      <c r="AR484" s="436"/>
      <c r="AS484" s="437">
        <f t="shared" si="196"/>
        <v>0</v>
      </c>
    </row>
    <row r="485" spans="1:45" s="438" customFormat="1" ht="24.95" customHeight="1">
      <c r="A485" s="1134"/>
      <c r="B485" s="1134"/>
      <c r="C485" s="1139" t="s">
        <v>735</v>
      </c>
      <c r="D485" s="1134"/>
      <c r="E485" s="1140" t="s">
        <v>753</v>
      </c>
      <c r="F485" s="1134">
        <v>3</v>
      </c>
      <c r="G485" s="1112">
        <v>3414</v>
      </c>
      <c r="H485" s="1112"/>
      <c r="I485" s="1112"/>
      <c r="J485" s="1112"/>
      <c r="K485" s="1112"/>
      <c r="L485" s="1112"/>
      <c r="M485" s="1112"/>
      <c r="N485" s="1112">
        <f>G485+H486</f>
        <v>3414</v>
      </c>
      <c r="O485" s="1112">
        <v>1</v>
      </c>
      <c r="P485" s="1140"/>
      <c r="Q485" s="1140"/>
      <c r="R485" s="1138">
        <v>0.1</v>
      </c>
      <c r="S485" s="1112">
        <f>N485*R485</f>
        <v>341.40000000000003</v>
      </c>
      <c r="T485" s="1134"/>
      <c r="U485" s="1138"/>
      <c r="V485" s="1112"/>
      <c r="W485" s="1112">
        <f>AD485</f>
        <v>3086</v>
      </c>
      <c r="X485" s="1112">
        <f>(N485+V485+Q486+S485)*O485+W485</f>
        <v>6841.4</v>
      </c>
      <c r="Y485" s="1112"/>
      <c r="Z485" s="1112">
        <f>X485+Y485</f>
        <v>6841.4</v>
      </c>
      <c r="AA485" s="1109">
        <f t="shared" si="199"/>
        <v>6841.4</v>
      </c>
      <c r="AB485" s="1109">
        <f>AA485-X485</f>
        <v>0</v>
      </c>
      <c r="AC485" s="1112">
        <f>6500*O485</f>
        <v>6500</v>
      </c>
      <c r="AD485" s="1112">
        <f>AC485-(N485*O485)</f>
        <v>3086</v>
      </c>
      <c r="AE485" s="436">
        <f t="shared" si="185"/>
        <v>3414</v>
      </c>
      <c r="AF485" s="436">
        <f t="shared" si="186"/>
        <v>0</v>
      </c>
      <c r="AG485" s="436">
        <f t="shared" si="187"/>
        <v>3414</v>
      </c>
      <c r="AH485" s="436">
        <f t="shared" si="188"/>
        <v>0</v>
      </c>
      <c r="AI485" s="436">
        <f t="shared" si="189"/>
        <v>0</v>
      </c>
      <c r="AJ485" s="436">
        <f t="shared" si="189"/>
        <v>0</v>
      </c>
      <c r="AK485" s="437">
        <f t="shared" si="190"/>
        <v>0</v>
      </c>
      <c r="AL485" s="437">
        <f t="shared" si="191"/>
        <v>0</v>
      </c>
      <c r="AM485" s="437">
        <f t="shared" si="192"/>
        <v>3086</v>
      </c>
      <c r="AN485" s="437">
        <f t="shared" si="200"/>
        <v>341.40000000000003</v>
      </c>
      <c r="AO485" s="437">
        <f t="shared" si="201"/>
        <v>0</v>
      </c>
      <c r="AP485" s="437">
        <f t="shared" si="195"/>
        <v>3414</v>
      </c>
      <c r="AQ485" s="437">
        <f t="shared" si="195"/>
        <v>0</v>
      </c>
      <c r="AR485" s="436"/>
      <c r="AS485" s="437">
        <f t="shared" si="196"/>
        <v>3414</v>
      </c>
    </row>
    <row r="486" spans="1:45" s="438" customFormat="1" ht="24.95" customHeight="1">
      <c r="A486" s="1134"/>
      <c r="B486" s="1134"/>
      <c r="C486" s="1139"/>
      <c r="D486" s="1134"/>
      <c r="E486" s="1140"/>
      <c r="F486" s="1134"/>
      <c r="G486" s="1112"/>
      <c r="H486" s="1112"/>
      <c r="I486" s="1112"/>
      <c r="J486" s="1112"/>
      <c r="K486" s="1112"/>
      <c r="L486" s="1112"/>
      <c r="M486" s="1112"/>
      <c r="N486" s="1112"/>
      <c r="O486" s="1112"/>
      <c r="P486" s="1140"/>
      <c r="Q486" s="1140"/>
      <c r="R486" s="1138"/>
      <c r="S486" s="1112"/>
      <c r="T486" s="1134"/>
      <c r="U486" s="1138"/>
      <c r="V486" s="1112"/>
      <c r="W486" s="1112"/>
      <c r="X486" s="1112"/>
      <c r="Y486" s="1112"/>
      <c r="Z486" s="1112"/>
      <c r="AA486" s="1109"/>
      <c r="AB486" s="1109"/>
      <c r="AC486" s="1112"/>
      <c r="AD486" s="1112"/>
      <c r="AE486" s="436">
        <f t="shared" si="185"/>
        <v>0</v>
      </c>
      <c r="AF486" s="436">
        <f t="shared" si="186"/>
        <v>0</v>
      </c>
      <c r="AG486" s="436">
        <f t="shared" si="187"/>
        <v>0</v>
      </c>
      <c r="AH486" s="436">
        <f t="shared" si="188"/>
        <v>0</v>
      </c>
      <c r="AI486" s="436">
        <f t="shared" si="189"/>
        <v>0</v>
      </c>
      <c r="AJ486" s="436">
        <f t="shared" si="189"/>
        <v>0</v>
      </c>
      <c r="AK486" s="437">
        <f t="shared" si="190"/>
        <v>0</v>
      </c>
      <c r="AL486" s="437">
        <f t="shared" si="191"/>
        <v>0</v>
      </c>
      <c r="AM486" s="437">
        <f t="shared" si="192"/>
        <v>0</v>
      </c>
      <c r="AN486" s="437">
        <f t="shared" si="200"/>
        <v>0</v>
      </c>
      <c r="AO486" s="437">
        <f t="shared" si="201"/>
        <v>0</v>
      </c>
      <c r="AP486" s="437">
        <f t="shared" si="195"/>
        <v>0</v>
      </c>
      <c r="AQ486" s="437">
        <f t="shared" si="195"/>
        <v>0</v>
      </c>
      <c r="AR486" s="436"/>
      <c r="AS486" s="437">
        <f t="shared" si="196"/>
        <v>0</v>
      </c>
    </row>
    <row r="487" spans="1:45" s="438" customFormat="1" ht="24.95" customHeight="1">
      <c r="A487" s="1134"/>
      <c r="B487" s="1134"/>
      <c r="C487" s="1139" t="s">
        <v>735</v>
      </c>
      <c r="D487" s="1134"/>
      <c r="E487" s="1140" t="s">
        <v>754</v>
      </c>
      <c r="F487" s="1134">
        <v>3</v>
      </c>
      <c r="G487" s="1112">
        <v>3414</v>
      </c>
      <c r="H487" s="1112"/>
      <c r="I487" s="1112"/>
      <c r="J487" s="1112"/>
      <c r="K487" s="1112"/>
      <c r="L487" s="1112"/>
      <c r="M487" s="1112"/>
      <c r="N487" s="1112">
        <f>G487+H488</f>
        <v>3414</v>
      </c>
      <c r="O487" s="1112">
        <v>1</v>
      </c>
      <c r="P487" s="1112"/>
      <c r="Q487" s="1112"/>
      <c r="R487" s="1138">
        <v>0.1</v>
      </c>
      <c r="S487" s="1112">
        <f>N487*R487</f>
        <v>341.40000000000003</v>
      </c>
      <c r="T487" s="1134"/>
      <c r="U487" s="1138"/>
      <c r="V487" s="1112"/>
      <c r="W487" s="1112">
        <f>AD487</f>
        <v>3086</v>
      </c>
      <c r="X487" s="1112">
        <f>(N487+V487+Q488+S487)*O487+W487</f>
        <v>6841.4</v>
      </c>
      <c r="Y487" s="1112"/>
      <c r="Z487" s="1112">
        <f>X487+Y487</f>
        <v>6841.4</v>
      </c>
      <c r="AA487" s="1109">
        <f t="shared" si="199"/>
        <v>6841.4</v>
      </c>
      <c r="AB487" s="1109">
        <f>AA487-X487</f>
        <v>0</v>
      </c>
      <c r="AC487" s="1112">
        <f>6500*O487</f>
        <v>6500</v>
      </c>
      <c r="AD487" s="1112">
        <f>AC487-(N487*O487)</f>
        <v>3086</v>
      </c>
      <c r="AE487" s="436">
        <f t="shared" si="185"/>
        <v>3414</v>
      </c>
      <c r="AF487" s="436">
        <f t="shared" si="186"/>
        <v>0</v>
      </c>
      <c r="AG487" s="436">
        <f t="shared" si="187"/>
        <v>3414</v>
      </c>
      <c r="AH487" s="436">
        <f t="shared" si="188"/>
        <v>0</v>
      </c>
      <c r="AI487" s="436">
        <f t="shared" si="189"/>
        <v>0</v>
      </c>
      <c r="AJ487" s="436">
        <f t="shared" si="189"/>
        <v>0</v>
      </c>
      <c r="AK487" s="437">
        <f t="shared" si="190"/>
        <v>0</v>
      </c>
      <c r="AL487" s="437">
        <f t="shared" si="191"/>
        <v>0</v>
      </c>
      <c r="AM487" s="437">
        <f t="shared" si="192"/>
        <v>3086</v>
      </c>
      <c r="AN487" s="437">
        <f t="shared" si="200"/>
        <v>341.40000000000003</v>
      </c>
      <c r="AO487" s="437">
        <f t="shared" si="201"/>
        <v>0</v>
      </c>
      <c r="AP487" s="437">
        <f t="shared" si="195"/>
        <v>3414</v>
      </c>
      <c r="AQ487" s="437">
        <f t="shared" si="195"/>
        <v>0</v>
      </c>
      <c r="AR487" s="436"/>
      <c r="AS487" s="437">
        <f t="shared" si="196"/>
        <v>3414</v>
      </c>
    </row>
    <row r="488" spans="1:45" s="438" customFormat="1" ht="24.95" customHeight="1">
      <c r="A488" s="1134"/>
      <c r="B488" s="1134"/>
      <c r="C488" s="1139"/>
      <c r="D488" s="1134"/>
      <c r="E488" s="1140"/>
      <c r="F488" s="1134"/>
      <c r="G488" s="1112"/>
      <c r="H488" s="1112"/>
      <c r="I488" s="1112"/>
      <c r="J488" s="1112"/>
      <c r="K488" s="1112"/>
      <c r="L488" s="1112"/>
      <c r="M488" s="1112"/>
      <c r="N488" s="1112"/>
      <c r="O488" s="1112"/>
      <c r="P488" s="1112"/>
      <c r="Q488" s="1112"/>
      <c r="R488" s="1138"/>
      <c r="S488" s="1112"/>
      <c r="T488" s="1134"/>
      <c r="U488" s="1138"/>
      <c r="V488" s="1112"/>
      <c r="W488" s="1112"/>
      <c r="X488" s="1112"/>
      <c r="Y488" s="1112"/>
      <c r="Z488" s="1112"/>
      <c r="AA488" s="1109"/>
      <c r="AB488" s="1109"/>
      <c r="AC488" s="1112"/>
      <c r="AD488" s="1112"/>
      <c r="AE488" s="436">
        <f t="shared" si="185"/>
        <v>0</v>
      </c>
      <c r="AF488" s="436">
        <f t="shared" si="186"/>
        <v>0</v>
      </c>
      <c r="AG488" s="436">
        <f t="shared" si="187"/>
        <v>0</v>
      </c>
      <c r="AH488" s="436">
        <f t="shared" si="188"/>
        <v>0</v>
      </c>
      <c r="AI488" s="436">
        <f t="shared" si="189"/>
        <v>0</v>
      </c>
      <c r="AJ488" s="436">
        <f t="shared" si="189"/>
        <v>0</v>
      </c>
      <c r="AK488" s="437">
        <f t="shared" si="190"/>
        <v>0</v>
      </c>
      <c r="AL488" s="437">
        <f t="shared" si="191"/>
        <v>0</v>
      </c>
      <c r="AM488" s="437">
        <f t="shared" si="192"/>
        <v>0</v>
      </c>
      <c r="AN488" s="437">
        <f t="shared" si="200"/>
        <v>0</v>
      </c>
      <c r="AO488" s="437">
        <f t="shared" si="201"/>
        <v>0</v>
      </c>
      <c r="AP488" s="437">
        <f t="shared" si="195"/>
        <v>0</v>
      </c>
      <c r="AQ488" s="437">
        <f t="shared" si="195"/>
        <v>0</v>
      </c>
      <c r="AR488" s="436"/>
      <c r="AS488" s="437">
        <f t="shared" si="196"/>
        <v>0</v>
      </c>
    </row>
    <row r="489" spans="1:45" s="438" customFormat="1" ht="24.95" customHeight="1">
      <c r="A489" s="1134"/>
      <c r="B489" s="1134"/>
      <c r="C489" s="1139" t="s">
        <v>735</v>
      </c>
      <c r="D489" s="1134"/>
      <c r="E489" s="1140" t="s">
        <v>755</v>
      </c>
      <c r="F489" s="1134">
        <v>3</v>
      </c>
      <c r="G489" s="1112">
        <v>3414</v>
      </c>
      <c r="H489" s="1112"/>
      <c r="I489" s="1112"/>
      <c r="J489" s="1112"/>
      <c r="K489" s="1112"/>
      <c r="L489" s="1112"/>
      <c r="M489" s="1112"/>
      <c r="N489" s="1112">
        <f>G489+H490</f>
        <v>3414</v>
      </c>
      <c r="O489" s="1112">
        <v>1</v>
      </c>
      <c r="P489" s="1112"/>
      <c r="Q489" s="1112"/>
      <c r="R489" s="1138">
        <v>0.1</v>
      </c>
      <c r="S489" s="1112">
        <f>N489*R489</f>
        <v>341.40000000000003</v>
      </c>
      <c r="T489" s="1134"/>
      <c r="U489" s="1138"/>
      <c r="V489" s="1112"/>
      <c r="W489" s="1112">
        <f>AD489</f>
        <v>3086</v>
      </c>
      <c r="X489" s="1112">
        <f>(N489+V489+Q490+S489)*O489+W489</f>
        <v>6841.4</v>
      </c>
      <c r="Y489" s="1112"/>
      <c r="Z489" s="1112">
        <f>X489+Y489</f>
        <v>6841.4</v>
      </c>
      <c r="AA489" s="1109">
        <f t="shared" si="199"/>
        <v>6841.4</v>
      </c>
      <c r="AB489" s="1109">
        <f>AA489-X489</f>
        <v>0</v>
      </c>
      <c r="AC489" s="1112">
        <f>6500*O489</f>
        <v>6500</v>
      </c>
      <c r="AD489" s="1112">
        <f>AC489-(N489*O489)</f>
        <v>3086</v>
      </c>
      <c r="AE489" s="436">
        <f t="shared" si="185"/>
        <v>3414</v>
      </c>
      <c r="AF489" s="436">
        <f t="shared" si="186"/>
        <v>0</v>
      </c>
      <c r="AG489" s="436">
        <f t="shared" si="187"/>
        <v>3414</v>
      </c>
      <c r="AH489" s="436">
        <f t="shared" si="188"/>
        <v>0</v>
      </c>
      <c r="AI489" s="436">
        <f t="shared" si="189"/>
        <v>0</v>
      </c>
      <c r="AJ489" s="436">
        <f t="shared" si="189"/>
        <v>0</v>
      </c>
      <c r="AK489" s="437">
        <f t="shared" si="190"/>
        <v>0</v>
      </c>
      <c r="AL489" s="437">
        <f t="shared" si="191"/>
        <v>0</v>
      </c>
      <c r="AM489" s="437">
        <f t="shared" si="192"/>
        <v>3086</v>
      </c>
      <c r="AN489" s="437">
        <f t="shared" si="200"/>
        <v>341.40000000000003</v>
      </c>
      <c r="AO489" s="437">
        <f t="shared" si="201"/>
        <v>0</v>
      </c>
      <c r="AP489" s="437">
        <f t="shared" si="195"/>
        <v>3414</v>
      </c>
      <c r="AQ489" s="437">
        <f t="shared" si="195"/>
        <v>0</v>
      </c>
      <c r="AR489" s="436"/>
      <c r="AS489" s="437">
        <f t="shared" si="196"/>
        <v>3414</v>
      </c>
    </row>
    <row r="490" spans="1:45" s="438" customFormat="1" ht="26.25" customHeight="1">
      <c r="A490" s="1134"/>
      <c r="B490" s="1134"/>
      <c r="C490" s="1139"/>
      <c r="D490" s="1134"/>
      <c r="E490" s="1140"/>
      <c r="F490" s="1134"/>
      <c r="G490" s="1112"/>
      <c r="H490" s="1112"/>
      <c r="I490" s="1112"/>
      <c r="J490" s="1112"/>
      <c r="K490" s="1112"/>
      <c r="L490" s="1112"/>
      <c r="M490" s="1112"/>
      <c r="N490" s="1112"/>
      <c r="O490" s="1112"/>
      <c r="P490" s="1112"/>
      <c r="Q490" s="1112"/>
      <c r="R490" s="1138"/>
      <c r="S490" s="1112"/>
      <c r="T490" s="1134"/>
      <c r="U490" s="1138"/>
      <c r="V490" s="1112"/>
      <c r="W490" s="1112"/>
      <c r="X490" s="1112"/>
      <c r="Y490" s="1112"/>
      <c r="Z490" s="1112"/>
      <c r="AA490" s="1109"/>
      <c r="AB490" s="1109"/>
      <c r="AC490" s="1112"/>
      <c r="AD490" s="1112"/>
      <c r="AE490" s="436">
        <f t="shared" si="185"/>
        <v>0</v>
      </c>
      <c r="AF490" s="436">
        <f t="shared" si="186"/>
        <v>0</v>
      </c>
      <c r="AG490" s="436">
        <f t="shared" si="187"/>
        <v>0</v>
      </c>
      <c r="AH490" s="436">
        <f t="shared" si="188"/>
        <v>0</v>
      </c>
      <c r="AI490" s="436">
        <f t="shared" si="189"/>
        <v>0</v>
      </c>
      <c r="AJ490" s="436">
        <f t="shared" si="189"/>
        <v>0</v>
      </c>
      <c r="AK490" s="437">
        <f t="shared" si="190"/>
        <v>0</v>
      </c>
      <c r="AL490" s="437">
        <f t="shared" si="191"/>
        <v>0</v>
      </c>
      <c r="AM490" s="437">
        <f t="shared" si="192"/>
        <v>0</v>
      </c>
      <c r="AN490" s="437">
        <f t="shared" si="200"/>
        <v>0</v>
      </c>
      <c r="AO490" s="437">
        <f t="shared" si="201"/>
        <v>0</v>
      </c>
      <c r="AP490" s="437">
        <f t="shared" si="195"/>
        <v>0</v>
      </c>
      <c r="AQ490" s="437">
        <f t="shared" si="195"/>
        <v>0</v>
      </c>
      <c r="AR490" s="436"/>
      <c r="AS490" s="437">
        <f t="shared" si="196"/>
        <v>0</v>
      </c>
    </row>
    <row r="491" spans="1:45" s="438" customFormat="1" ht="24.95" customHeight="1">
      <c r="A491" s="1134"/>
      <c r="B491" s="1134"/>
      <c r="C491" s="1139" t="s">
        <v>735</v>
      </c>
      <c r="D491" s="1134"/>
      <c r="E491" s="1140" t="s">
        <v>756</v>
      </c>
      <c r="F491" s="1134">
        <v>3</v>
      </c>
      <c r="G491" s="1112">
        <v>3414</v>
      </c>
      <c r="H491" s="1112"/>
      <c r="I491" s="1112"/>
      <c r="J491" s="1112"/>
      <c r="K491" s="1112"/>
      <c r="L491" s="1140"/>
      <c r="M491" s="1140"/>
      <c r="N491" s="1112">
        <f>G491+I492</f>
        <v>3414</v>
      </c>
      <c r="O491" s="1112">
        <v>1</v>
      </c>
      <c r="P491" s="1112"/>
      <c r="Q491" s="1112"/>
      <c r="R491" s="1138">
        <v>0.1</v>
      </c>
      <c r="S491" s="1112">
        <f>N491*R491</f>
        <v>341.40000000000003</v>
      </c>
      <c r="T491" s="1134"/>
      <c r="U491" s="1138"/>
      <c r="V491" s="1112"/>
      <c r="W491" s="1112">
        <f>AD491</f>
        <v>3086</v>
      </c>
      <c r="X491" s="1112">
        <f>(N491+V491+Q492+S491)*O491+W491</f>
        <v>6841.4</v>
      </c>
      <c r="Y491" s="1112"/>
      <c r="Z491" s="1112">
        <f>X491+Y491</f>
        <v>6841.4</v>
      </c>
      <c r="AA491" s="1109">
        <f t="shared" si="199"/>
        <v>6841.4</v>
      </c>
      <c r="AB491" s="1109">
        <f>AA491-X491</f>
        <v>0</v>
      </c>
      <c r="AC491" s="1112">
        <f>6500*O491</f>
        <v>6500</v>
      </c>
      <c r="AD491" s="1112">
        <f>AC491-(N491*O491)</f>
        <v>3086</v>
      </c>
      <c r="AE491" s="436">
        <f t="shared" si="185"/>
        <v>3414</v>
      </c>
      <c r="AF491" s="436">
        <f t="shared" si="186"/>
        <v>0</v>
      </c>
      <c r="AG491" s="436">
        <f t="shared" si="187"/>
        <v>3414</v>
      </c>
      <c r="AH491" s="436">
        <f t="shared" si="188"/>
        <v>0</v>
      </c>
      <c r="AI491" s="436">
        <f t="shared" si="189"/>
        <v>0</v>
      </c>
      <c r="AJ491" s="436">
        <f t="shared" si="189"/>
        <v>0</v>
      </c>
      <c r="AK491" s="437">
        <f t="shared" si="190"/>
        <v>0</v>
      </c>
      <c r="AL491" s="437">
        <f t="shared" si="191"/>
        <v>0</v>
      </c>
      <c r="AM491" s="437">
        <f t="shared" si="192"/>
        <v>3086</v>
      </c>
      <c r="AN491" s="437">
        <f t="shared" si="200"/>
        <v>341.40000000000003</v>
      </c>
      <c r="AO491" s="437">
        <f t="shared" si="201"/>
        <v>0</v>
      </c>
      <c r="AP491" s="437">
        <f t="shared" si="195"/>
        <v>3414</v>
      </c>
      <c r="AQ491" s="437">
        <f t="shared" si="195"/>
        <v>0</v>
      </c>
      <c r="AR491" s="436"/>
      <c r="AS491" s="437">
        <f t="shared" si="196"/>
        <v>3414</v>
      </c>
    </row>
    <row r="492" spans="1:45" s="438" customFormat="1" ht="24.95" customHeight="1">
      <c r="A492" s="1134"/>
      <c r="B492" s="1134"/>
      <c r="C492" s="1139"/>
      <c r="D492" s="1134"/>
      <c r="E492" s="1140"/>
      <c r="F492" s="1134"/>
      <c r="G492" s="1112"/>
      <c r="H492" s="1112"/>
      <c r="I492" s="1112"/>
      <c r="J492" s="1112"/>
      <c r="K492" s="1112"/>
      <c r="L492" s="1140"/>
      <c r="M492" s="1140"/>
      <c r="N492" s="1112"/>
      <c r="O492" s="1112"/>
      <c r="P492" s="1112"/>
      <c r="Q492" s="1112"/>
      <c r="R492" s="1138"/>
      <c r="S492" s="1112"/>
      <c r="T492" s="1134"/>
      <c r="U492" s="1138"/>
      <c r="V492" s="1112"/>
      <c r="W492" s="1112"/>
      <c r="X492" s="1112"/>
      <c r="Y492" s="1112"/>
      <c r="Z492" s="1112"/>
      <c r="AA492" s="1109"/>
      <c r="AB492" s="1109"/>
      <c r="AC492" s="1112"/>
      <c r="AD492" s="1112"/>
      <c r="AE492" s="436">
        <f t="shared" si="185"/>
        <v>0</v>
      </c>
      <c r="AF492" s="436">
        <f t="shared" si="186"/>
        <v>0</v>
      </c>
      <c r="AG492" s="436">
        <f t="shared" si="187"/>
        <v>0</v>
      </c>
      <c r="AH492" s="436">
        <f t="shared" si="188"/>
        <v>0</v>
      </c>
      <c r="AI492" s="436">
        <f t="shared" si="189"/>
        <v>0</v>
      </c>
      <c r="AJ492" s="436">
        <f t="shared" si="189"/>
        <v>0</v>
      </c>
      <c r="AK492" s="437">
        <f t="shared" si="190"/>
        <v>0</v>
      </c>
      <c r="AL492" s="437">
        <f t="shared" si="191"/>
        <v>0</v>
      </c>
      <c r="AM492" s="437">
        <f t="shared" si="192"/>
        <v>0</v>
      </c>
      <c r="AN492" s="437">
        <f t="shared" si="200"/>
        <v>0</v>
      </c>
      <c r="AO492" s="437">
        <f t="shared" si="201"/>
        <v>0</v>
      </c>
      <c r="AP492" s="437">
        <f t="shared" si="195"/>
        <v>0</v>
      </c>
      <c r="AQ492" s="437">
        <f t="shared" si="195"/>
        <v>0</v>
      </c>
      <c r="AR492" s="436"/>
      <c r="AS492" s="437">
        <f t="shared" si="196"/>
        <v>0</v>
      </c>
    </row>
    <row r="493" spans="1:45" s="438" customFormat="1" ht="24.95" customHeight="1">
      <c r="A493" s="1134"/>
      <c r="B493" s="1134"/>
      <c r="C493" s="1139" t="s">
        <v>757</v>
      </c>
      <c r="D493" s="1134"/>
      <c r="E493" s="1140"/>
      <c r="F493" s="1134"/>
      <c r="G493" s="1112"/>
      <c r="H493" s="1112"/>
      <c r="I493" s="1138"/>
      <c r="J493" s="1138"/>
      <c r="K493" s="1112"/>
      <c r="L493" s="1140"/>
      <c r="M493" s="1140"/>
      <c r="N493" s="1112">
        <f>G493+I494</f>
        <v>0</v>
      </c>
      <c r="O493" s="1112"/>
      <c r="P493" s="1112"/>
      <c r="Q493" s="1140"/>
      <c r="R493" s="1138">
        <v>0.1</v>
      </c>
      <c r="S493" s="1112">
        <f>N493*R493</f>
        <v>0</v>
      </c>
      <c r="T493" s="1134"/>
      <c r="U493" s="1138"/>
      <c r="V493" s="1112"/>
      <c r="W493" s="1112">
        <f>AD493</f>
        <v>0</v>
      </c>
      <c r="X493" s="1112">
        <f>(N493+V493+Q494+S493)*O493+W493</f>
        <v>0</v>
      </c>
      <c r="Y493" s="1112"/>
      <c r="Z493" s="1112">
        <f>X493+Y493</f>
        <v>0</v>
      </c>
      <c r="AA493" s="1109">
        <f t="shared" si="199"/>
        <v>0</v>
      </c>
      <c r="AB493" s="1109">
        <f>AA493-X493</f>
        <v>0</v>
      </c>
      <c r="AC493" s="1112">
        <f>6500*O493</f>
        <v>0</v>
      </c>
      <c r="AD493" s="1112">
        <f>AC493-(N493*O493)</f>
        <v>0</v>
      </c>
      <c r="AE493" s="436">
        <f t="shared" si="185"/>
        <v>0</v>
      </c>
      <c r="AF493" s="436">
        <f t="shared" si="186"/>
        <v>0</v>
      </c>
      <c r="AG493" s="436">
        <f t="shared" si="187"/>
        <v>0</v>
      </c>
      <c r="AH493" s="436">
        <f t="shared" si="188"/>
        <v>0</v>
      </c>
      <c r="AI493" s="436">
        <f t="shared" si="189"/>
        <v>0</v>
      </c>
      <c r="AJ493" s="436">
        <f t="shared" si="189"/>
        <v>0</v>
      </c>
      <c r="AK493" s="437">
        <f t="shared" si="190"/>
        <v>0</v>
      </c>
      <c r="AL493" s="437">
        <f t="shared" si="191"/>
        <v>0</v>
      </c>
      <c r="AM493" s="437">
        <f t="shared" si="192"/>
        <v>0</v>
      </c>
      <c r="AN493" s="437">
        <f t="shared" si="200"/>
        <v>0</v>
      </c>
      <c r="AO493" s="437">
        <f t="shared" si="201"/>
        <v>0</v>
      </c>
      <c r="AP493" s="437">
        <f t="shared" si="195"/>
        <v>0</v>
      </c>
      <c r="AQ493" s="437">
        <f t="shared" si="195"/>
        <v>0</v>
      </c>
      <c r="AR493" s="436"/>
      <c r="AS493" s="437">
        <f t="shared" si="196"/>
        <v>0</v>
      </c>
    </row>
    <row r="494" spans="1:45" s="438" customFormat="1" ht="24.95" customHeight="1">
      <c r="A494" s="1134"/>
      <c r="B494" s="1134"/>
      <c r="C494" s="1139"/>
      <c r="D494" s="1134"/>
      <c r="E494" s="1140"/>
      <c r="F494" s="1134"/>
      <c r="G494" s="1112"/>
      <c r="H494" s="1112"/>
      <c r="I494" s="1134"/>
      <c r="J494" s="1134"/>
      <c r="K494" s="1112"/>
      <c r="L494" s="1140"/>
      <c r="M494" s="1140"/>
      <c r="N494" s="1112"/>
      <c r="O494" s="1112"/>
      <c r="P494" s="1112"/>
      <c r="Q494" s="1140"/>
      <c r="R494" s="1138"/>
      <c r="S494" s="1112"/>
      <c r="T494" s="1134"/>
      <c r="U494" s="1138"/>
      <c r="V494" s="1112"/>
      <c r="W494" s="1112"/>
      <c r="X494" s="1112"/>
      <c r="Y494" s="1112"/>
      <c r="Z494" s="1112"/>
      <c r="AA494" s="1109"/>
      <c r="AB494" s="1109"/>
      <c r="AC494" s="1112"/>
      <c r="AD494" s="1112"/>
      <c r="AE494" s="436">
        <f t="shared" si="185"/>
        <v>0</v>
      </c>
      <c r="AF494" s="436">
        <f t="shared" si="186"/>
        <v>0</v>
      </c>
      <c r="AG494" s="436">
        <f t="shared" si="187"/>
        <v>0</v>
      </c>
      <c r="AH494" s="436">
        <f t="shared" si="188"/>
        <v>0</v>
      </c>
      <c r="AI494" s="436">
        <f t="shared" si="189"/>
        <v>0</v>
      </c>
      <c r="AJ494" s="436">
        <f t="shared" si="189"/>
        <v>0</v>
      </c>
      <c r="AK494" s="437">
        <f t="shared" si="190"/>
        <v>0</v>
      </c>
      <c r="AL494" s="437">
        <f t="shared" si="191"/>
        <v>0</v>
      </c>
      <c r="AM494" s="437">
        <f t="shared" si="192"/>
        <v>0</v>
      </c>
      <c r="AN494" s="437">
        <f t="shared" si="200"/>
        <v>0</v>
      </c>
      <c r="AO494" s="437">
        <f t="shared" si="201"/>
        <v>0</v>
      </c>
      <c r="AP494" s="437">
        <f t="shared" si="195"/>
        <v>0</v>
      </c>
      <c r="AQ494" s="437">
        <f t="shared" si="195"/>
        <v>0</v>
      </c>
      <c r="AR494" s="436"/>
      <c r="AS494" s="437">
        <f t="shared" si="196"/>
        <v>0</v>
      </c>
    </row>
    <row r="495" spans="1:45" s="446" customFormat="1" ht="24.95" customHeight="1">
      <c r="A495" s="441"/>
      <c r="B495" s="441"/>
      <c r="C495" s="442" t="s">
        <v>318</v>
      </c>
      <c r="D495" s="443"/>
      <c r="E495" s="441"/>
      <c r="F495" s="441"/>
      <c r="G495" s="444">
        <f>SUM(G483:G494)</f>
        <v>13656</v>
      </c>
      <c r="H495" s="441"/>
      <c r="I495" s="441"/>
      <c r="J495" s="441"/>
      <c r="K495" s="441"/>
      <c r="L495" s="441"/>
      <c r="M495" s="441"/>
      <c r="N495" s="444">
        <f>SUM(N483:N494)</f>
        <v>13656</v>
      </c>
      <c r="O495" s="444">
        <f>SUM(O483:O494)</f>
        <v>4</v>
      </c>
      <c r="P495" s="444">
        <f>SUM(P483:P494)</f>
        <v>0</v>
      </c>
      <c r="Q495" s="451"/>
      <c r="R495" s="444"/>
      <c r="S495" s="444">
        <f>SUM(S483:S494)</f>
        <v>1365.6000000000001</v>
      </c>
      <c r="T495" s="444"/>
      <c r="U495" s="444"/>
      <c r="V495" s="444"/>
      <c r="W495" s="444">
        <f t="shared" ref="W495:AD495" si="202">SUM(W483:W494)</f>
        <v>12344</v>
      </c>
      <c r="X495" s="444">
        <f t="shared" si="202"/>
        <v>27365.599999999999</v>
      </c>
      <c r="Y495" s="444">
        <f t="shared" si="202"/>
        <v>0</v>
      </c>
      <c r="Z495" s="444">
        <f t="shared" si="202"/>
        <v>27365.599999999999</v>
      </c>
      <c r="AA495" s="499">
        <f t="shared" si="202"/>
        <v>27365.599999999999</v>
      </c>
      <c r="AB495" s="499">
        <f t="shared" si="202"/>
        <v>0</v>
      </c>
      <c r="AC495" s="444">
        <f t="shared" si="202"/>
        <v>26000</v>
      </c>
      <c r="AD495" s="444">
        <f t="shared" si="202"/>
        <v>12344</v>
      </c>
      <c r="AE495" s="436"/>
      <c r="AF495" s="436"/>
      <c r="AG495" s="436"/>
      <c r="AH495" s="436"/>
      <c r="AI495" s="436"/>
      <c r="AJ495" s="436"/>
      <c r="AK495" s="437"/>
      <c r="AL495" s="437"/>
      <c r="AM495" s="437"/>
      <c r="AN495" s="437"/>
      <c r="AO495" s="437"/>
      <c r="AP495" s="437">
        <f t="shared" si="195"/>
        <v>0</v>
      </c>
      <c r="AQ495" s="437">
        <f t="shared" si="195"/>
        <v>0</v>
      </c>
      <c r="AR495" s="436"/>
      <c r="AS495" s="437">
        <f t="shared" si="196"/>
        <v>0</v>
      </c>
    </row>
    <row r="496" spans="1:45" s="456" customFormat="1" ht="24.95" customHeight="1">
      <c r="A496" s="455"/>
      <c r="B496" s="455"/>
      <c r="C496" s="1136" t="s">
        <v>1031</v>
      </c>
      <c r="D496" s="1136"/>
      <c r="E496" s="455"/>
      <c r="F496" s="455"/>
      <c r="G496" s="455"/>
      <c r="H496" s="455"/>
      <c r="I496" s="455"/>
      <c r="J496" s="455"/>
      <c r="K496" s="455"/>
      <c r="L496" s="455"/>
      <c r="M496" s="455"/>
      <c r="N496" s="455"/>
      <c r="O496" s="455"/>
      <c r="P496" s="455"/>
      <c r="Q496" s="455"/>
      <c r="R496" s="455"/>
      <c r="S496" s="455"/>
      <c r="T496" s="455"/>
      <c r="U496" s="455"/>
      <c r="V496" s="455"/>
      <c r="W496" s="455"/>
      <c r="X496" s="455"/>
      <c r="Y496" s="455"/>
      <c r="Z496" s="455"/>
      <c r="AA496" s="504"/>
      <c r="AB496" s="504"/>
      <c r="AC496" s="455"/>
      <c r="AD496" s="455"/>
      <c r="AE496" s="436">
        <f t="shared" si="185"/>
        <v>0</v>
      </c>
      <c r="AF496" s="436">
        <f t="shared" si="186"/>
        <v>0</v>
      </c>
      <c r="AG496" s="436">
        <f t="shared" si="187"/>
        <v>0</v>
      </c>
      <c r="AH496" s="436">
        <f t="shared" si="188"/>
        <v>0</v>
      </c>
      <c r="AI496" s="436">
        <f t="shared" si="189"/>
        <v>0</v>
      </c>
      <c r="AJ496" s="436">
        <f t="shared" si="189"/>
        <v>0</v>
      </c>
      <c r="AK496" s="437">
        <f t="shared" si="190"/>
        <v>0</v>
      </c>
      <c r="AL496" s="437">
        <f t="shared" si="191"/>
        <v>0</v>
      </c>
      <c r="AM496" s="437">
        <f t="shared" si="192"/>
        <v>0</v>
      </c>
      <c r="AN496" s="437">
        <f t="shared" si="200"/>
        <v>0</v>
      </c>
      <c r="AO496" s="437">
        <f t="shared" si="201"/>
        <v>0</v>
      </c>
      <c r="AP496" s="437">
        <f t="shared" si="195"/>
        <v>0</v>
      </c>
      <c r="AQ496" s="437">
        <f t="shared" si="195"/>
        <v>0</v>
      </c>
      <c r="AR496" s="436"/>
      <c r="AS496" s="437">
        <f t="shared" si="196"/>
        <v>0</v>
      </c>
    </row>
    <row r="497" spans="1:45" s="438" customFormat="1" ht="24.95" customHeight="1">
      <c r="A497" s="1134"/>
      <c r="B497" s="1134"/>
      <c r="C497" s="1139" t="s">
        <v>735</v>
      </c>
      <c r="D497" s="1134"/>
      <c r="E497" s="1134"/>
      <c r="F497" s="1134"/>
      <c r="G497" s="1112"/>
      <c r="H497" s="1112"/>
      <c r="I497" s="1112"/>
      <c r="J497" s="1112"/>
      <c r="K497" s="1112"/>
      <c r="L497" s="1112"/>
      <c r="M497" s="1112"/>
      <c r="N497" s="1112"/>
      <c r="O497" s="1112"/>
      <c r="P497" s="1112"/>
      <c r="Q497" s="1112"/>
      <c r="R497" s="1138">
        <v>0.1</v>
      </c>
      <c r="S497" s="1112">
        <f>N497*R497</f>
        <v>0</v>
      </c>
      <c r="T497" s="1134"/>
      <c r="U497" s="1138"/>
      <c r="V497" s="1112"/>
      <c r="W497" s="1112">
        <f>AD497</f>
        <v>0</v>
      </c>
      <c r="X497" s="1112">
        <f>(N497+V497+Q498+S497)*O497+W497</f>
        <v>0</v>
      </c>
      <c r="Y497" s="1112"/>
      <c r="Z497" s="1112">
        <f>X497+Y497</f>
        <v>0</v>
      </c>
      <c r="AA497" s="1109">
        <f t="shared" ref="AA497:AA505" si="203">Z497</f>
        <v>0</v>
      </c>
      <c r="AB497" s="1109">
        <f>AA497-X497</f>
        <v>0</v>
      </c>
      <c r="AC497" s="1112">
        <f>6500*O497</f>
        <v>0</v>
      </c>
      <c r="AD497" s="1112">
        <f>AC497-(N497*O497)</f>
        <v>0</v>
      </c>
      <c r="AE497" s="436">
        <f t="shared" si="185"/>
        <v>0</v>
      </c>
      <c r="AF497" s="436">
        <f t="shared" si="186"/>
        <v>0</v>
      </c>
      <c r="AG497" s="436">
        <f t="shared" si="187"/>
        <v>0</v>
      </c>
      <c r="AH497" s="436">
        <f t="shared" si="188"/>
        <v>0</v>
      </c>
      <c r="AI497" s="436">
        <f t="shared" si="189"/>
        <v>0</v>
      </c>
      <c r="AJ497" s="436">
        <f t="shared" si="189"/>
        <v>0</v>
      </c>
      <c r="AK497" s="437">
        <f t="shared" si="190"/>
        <v>0</v>
      </c>
      <c r="AL497" s="437">
        <f t="shared" si="191"/>
        <v>0</v>
      </c>
      <c r="AM497" s="437">
        <f t="shared" si="192"/>
        <v>0</v>
      </c>
      <c r="AN497" s="437">
        <f t="shared" si="200"/>
        <v>0</v>
      </c>
      <c r="AO497" s="437">
        <f t="shared" si="201"/>
        <v>0</v>
      </c>
      <c r="AP497" s="437">
        <f t="shared" si="195"/>
        <v>0</v>
      </c>
      <c r="AQ497" s="437">
        <f t="shared" si="195"/>
        <v>0</v>
      </c>
      <c r="AR497" s="436"/>
      <c r="AS497" s="437">
        <f t="shared" si="196"/>
        <v>0</v>
      </c>
    </row>
    <row r="498" spans="1:45" s="438" customFormat="1" ht="24.95" customHeight="1">
      <c r="A498" s="1134"/>
      <c r="B498" s="1134"/>
      <c r="C498" s="1139"/>
      <c r="D498" s="1134"/>
      <c r="E498" s="1134"/>
      <c r="F498" s="1134"/>
      <c r="G498" s="1112"/>
      <c r="H498" s="1112"/>
      <c r="I498" s="1112"/>
      <c r="J498" s="1112"/>
      <c r="K498" s="1112"/>
      <c r="L498" s="1112"/>
      <c r="M498" s="1112"/>
      <c r="N498" s="1112"/>
      <c r="O498" s="1112"/>
      <c r="P498" s="1112"/>
      <c r="Q498" s="1112"/>
      <c r="R498" s="1138"/>
      <c r="S498" s="1112"/>
      <c r="T498" s="1134"/>
      <c r="U498" s="1138"/>
      <c r="V498" s="1112"/>
      <c r="W498" s="1112"/>
      <c r="X498" s="1112"/>
      <c r="Y498" s="1112"/>
      <c r="Z498" s="1112"/>
      <c r="AA498" s="1109"/>
      <c r="AB498" s="1109"/>
      <c r="AC498" s="1112"/>
      <c r="AD498" s="1112"/>
      <c r="AE498" s="436">
        <f t="shared" si="185"/>
        <v>0</v>
      </c>
      <c r="AF498" s="436">
        <f t="shared" si="186"/>
        <v>0</v>
      </c>
      <c r="AG498" s="436">
        <f t="shared" si="187"/>
        <v>0</v>
      </c>
      <c r="AH498" s="436">
        <f t="shared" si="188"/>
        <v>0</v>
      </c>
      <c r="AI498" s="436">
        <f t="shared" si="189"/>
        <v>0</v>
      </c>
      <c r="AJ498" s="436">
        <f t="shared" si="189"/>
        <v>0</v>
      </c>
      <c r="AK498" s="437">
        <f t="shared" si="190"/>
        <v>0</v>
      </c>
      <c r="AL498" s="437">
        <f t="shared" si="191"/>
        <v>0</v>
      </c>
      <c r="AM498" s="437">
        <f t="shared" si="192"/>
        <v>0</v>
      </c>
      <c r="AN498" s="437">
        <f t="shared" si="200"/>
        <v>0</v>
      </c>
      <c r="AO498" s="437">
        <f t="shared" si="201"/>
        <v>0</v>
      </c>
      <c r="AP498" s="437">
        <f t="shared" si="195"/>
        <v>0</v>
      </c>
      <c r="AQ498" s="437">
        <f t="shared" si="195"/>
        <v>0</v>
      </c>
      <c r="AR498" s="436"/>
      <c r="AS498" s="437">
        <f t="shared" si="196"/>
        <v>0</v>
      </c>
    </row>
    <row r="499" spans="1:45" s="438" customFormat="1" ht="24.95" customHeight="1">
      <c r="A499" s="1134"/>
      <c r="B499" s="1134"/>
      <c r="C499" s="1139" t="s">
        <v>735</v>
      </c>
      <c r="D499" s="1134"/>
      <c r="E499" s="1134" t="s">
        <v>695</v>
      </c>
      <c r="F499" s="1134">
        <v>3</v>
      </c>
      <c r="G499" s="1112">
        <v>3414</v>
      </c>
      <c r="H499" s="1112"/>
      <c r="I499" s="1112"/>
      <c r="J499" s="1112"/>
      <c r="K499" s="1112"/>
      <c r="L499" s="1112"/>
      <c r="M499" s="1112"/>
      <c r="N499" s="1112">
        <f>G499+H500</f>
        <v>3414</v>
      </c>
      <c r="O499" s="1112">
        <v>1</v>
      </c>
      <c r="P499" s="1112"/>
      <c r="Q499" s="1112"/>
      <c r="R499" s="1138">
        <v>0.1</v>
      </c>
      <c r="S499" s="1112">
        <f>N499*R499</f>
        <v>341.40000000000003</v>
      </c>
      <c r="T499" s="1134"/>
      <c r="U499" s="1138"/>
      <c r="V499" s="1112"/>
      <c r="W499" s="1112">
        <f>AD499</f>
        <v>3086</v>
      </c>
      <c r="X499" s="1112">
        <f>(N499+V499+Q500+S499)*O499+W499</f>
        <v>6841.4</v>
      </c>
      <c r="Y499" s="1112"/>
      <c r="Z499" s="1112">
        <f>X499+Y499</f>
        <v>6841.4</v>
      </c>
      <c r="AA499" s="1109">
        <f t="shared" si="203"/>
        <v>6841.4</v>
      </c>
      <c r="AB499" s="1109">
        <f>AA499-X499</f>
        <v>0</v>
      </c>
      <c r="AC499" s="1112">
        <f>6500*O499</f>
        <v>6500</v>
      </c>
      <c r="AD499" s="1112">
        <f>AC499-(N499*O499)</f>
        <v>3086</v>
      </c>
      <c r="AE499" s="436">
        <f>G499*O499</f>
        <v>3414</v>
      </c>
      <c r="AF499" s="436">
        <f>G499*P499</f>
        <v>0</v>
      </c>
      <c r="AG499" s="436">
        <f>N499*O499</f>
        <v>3414</v>
      </c>
      <c r="AH499" s="436">
        <f>N499*P499</f>
        <v>0</v>
      </c>
      <c r="AI499" s="436">
        <f>AG499-AE499</f>
        <v>0</v>
      </c>
      <c r="AJ499" s="436">
        <f>AH499-AF499</f>
        <v>0</v>
      </c>
      <c r="AK499" s="437">
        <f>V499*O499</f>
        <v>0</v>
      </c>
      <c r="AL499" s="437">
        <f>V499*P499</f>
        <v>0</v>
      </c>
      <c r="AM499" s="437">
        <f>W499</f>
        <v>3086</v>
      </c>
      <c r="AN499" s="437">
        <f>S499*O499</f>
        <v>341.40000000000003</v>
      </c>
      <c r="AO499" s="437">
        <f>S499*P499</f>
        <v>0</v>
      </c>
      <c r="AP499" s="437">
        <f>AG499</f>
        <v>3414</v>
      </c>
      <c r="AQ499" s="437">
        <f>AH499</f>
        <v>0</v>
      </c>
      <c r="AR499" s="436"/>
      <c r="AS499" s="437">
        <f>AP499+AQ499-AR499</f>
        <v>3414</v>
      </c>
    </row>
    <row r="500" spans="1:45" s="438" customFormat="1" ht="23.25" customHeight="1">
      <c r="A500" s="1134"/>
      <c r="B500" s="1134"/>
      <c r="C500" s="1139"/>
      <c r="D500" s="1134"/>
      <c r="E500" s="1134"/>
      <c r="F500" s="1134"/>
      <c r="G500" s="1112"/>
      <c r="H500" s="1112"/>
      <c r="I500" s="1112"/>
      <c r="J500" s="1112"/>
      <c r="K500" s="1112"/>
      <c r="L500" s="1112"/>
      <c r="M500" s="1112"/>
      <c r="N500" s="1112"/>
      <c r="O500" s="1112"/>
      <c r="P500" s="1112"/>
      <c r="Q500" s="1112"/>
      <c r="R500" s="1138"/>
      <c r="S500" s="1112"/>
      <c r="T500" s="1134"/>
      <c r="U500" s="1138"/>
      <c r="V500" s="1112"/>
      <c r="W500" s="1112"/>
      <c r="X500" s="1112"/>
      <c r="Y500" s="1112"/>
      <c r="Z500" s="1112"/>
      <c r="AA500" s="1109"/>
      <c r="AB500" s="1109"/>
      <c r="AC500" s="1112"/>
      <c r="AD500" s="1112"/>
      <c r="AE500" s="436">
        <f>G500*O500</f>
        <v>0</v>
      </c>
      <c r="AF500" s="436">
        <f>G500*P500</f>
        <v>0</v>
      </c>
      <c r="AG500" s="436">
        <f>N500*O500</f>
        <v>0</v>
      </c>
      <c r="AH500" s="436">
        <f>N500*P500</f>
        <v>0</v>
      </c>
      <c r="AI500" s="436">
        <f>AG500-AE500</f>
        <v>0</v>
      </c>
      <c r="AJ500" s="436">
        <f>AH500-AF500</f>
        <v>0</v>
      </c>
      <c r="AK500" s="437">
        <f>V500*O500</f>
        <v>0</v>
      </c>
      <c r="AL500" s="437">
        <f>V500*P500</f>
        <v>0</v>
      </c>
      <c r="AM500" s="437">
        <f>W500</f>
        <v>0</v>
      </c>
      <c r="AN500" s="437">
        <f>S500*O500</f>
        <v>0</v>
      </c>
      <c r="AO500" s="437">
        <f>S500*P500</f>
        <v>0</v>
      </c>
      <c r="AP500" s="437">
        <f>AG500</f>
        <v>0</v>
      </c>
      <c r="AQ500" s="437">
        <f>AH500</f>
        <v>0</v>
      </c>
      <c r="AR500" s="436"/>
      <c r="AS500" s="437">
        <f>AP500+AQ500-AR500</f>
        <v>0</v>
      </c>
    </row>
    <row r="501" spans="1:45" s="438" customFormat="1" ht="24.95" customHeight="1">
      <c r="A501" s="1134"/>
      <c r="B501" s="1134"/>
      <c r="C501" s="1139" t="s">
        <v>735</v>
      </c>
      <c r="D501" s="1134"/>
      <c r="E501" s="1134"/>
      <c r="F501" s="1134"/>
      <c r="G501" s="1112"/>
      <c r="H501" s="1112"/>
      <c r="I501" s="1112"/>
      <c r="J501" s="1112"/>
      <c r="K501" s="1112"/>
      <c r="L501" s="1112"/>
      <c r="M501" s="1112"/>
      <c r="N501" s="1112"/>
      <c r="O501" s="1112"/>
      <c r="P501" s="1112"/>
      <c r="Q501" s="1112"/>
      <c r="R501" s="1138">
        <v>0.1</v>
      </c>
      <c r="S501" s="1112">
        <f>N501*R501</f>
        <v>0</v>
      </c>
      <c r="T501" s="1134"/>
      <c r="U501" s="1138"/>
      <c r="V501" s="1112"/>
      <c r="W501" s="1112">
        <f>AD501</f>
        <v>0</v>
      </c>
      <c r="X501" s="1112">
        <f>(N501+V501+Q502+S501)*O501+W501</f>
        <v>0</v>
      </c>
      <c r="Y501" s="1112"/>
      <c r="Z501" s="1112">
        <f>X501+Y501</f>
        <v>0</v>
      </c>
      <c r="AA501" s="1109">
        <f t="shared" si="203"/>
        <v>0</v>
      </c>
      <c r="AB501" s="1109">
        <f>AA501-X501</f>
        <v>0</v>
      </c>
      <c r="AC501" s="1112">
        <f>6500*O501</f>
        <v>0</v>
      </c>
      <c r="AD501" s="1112">
        <f>AC501-(N501*O501)</f>
        <v>0</v>
      </c>
      <c r="AE501" s="436">
        <f t="shared" si="185"/>
        <v>0</v>
      </c>
      <c r="AF501" s="436">
        <f t="shared" si="186"/>
        <v>0</v>
      </c>
      <c r="AG501" s="436">
        <f t="shared" si="187"/>
        <v>0</v>
      </c>
      <c r="AH501" s="436">
        <f t="shared" si="188"/>
        <v>0</v>
      </c>
      <c r="AI501" s="436">
        <f t="shared" si="189"/>
        <v>0</v>
      </c>
      <c r="AJ501" s="436">
        <f t="shared" si="189"/>
        <v>0</v>
      </c>
      <c r="AK501" s="437">
        <f t="shared" si="190"/>
        <v>0</v>
      </c>
      <c r="AL501" s="437">
        <f t="shared" si="191"/>
        <v>0</v>
      </c>
      <c r="AM501" s="437">
        <f t="shared" si="192"/>
        <v>0</v>
      </c>
      <c r="AN501" s="437">
        <f t="shared" si="200"/>
        <v>0</v>
      </c>
      <c r="AO501" s="437">
        <f t="shared" si="201"/>
        <v>0</v>
      </c>
      <c r="AP501" s="437">
        <f t="shared" si="195"/>
        <v>0</v>
      </c>
      <c r="AQ501" s="437">
        <f t="shared" si="195"/>
        <v>0</v>
      </c>
      <c r="AR501" s="436"/>
      <c r="AS501" s="437">
        <f t="shared" si="196"/>
        <v>0</v>
      </c>
    </row>
    <row r="502" spans="1:45" s="438" customFormat="1" ht="24.95" customHeight="1">
      <c r="A502" s="1134"/>
      <c r="B502" s="1134"/>
      <c r="C502" s="1139"/>
      <c r="D502" s="1134"/>
      <c r="E502" s="1134"/>
      <c r="F502" s="1134"/>
      <c r="G502" s="1112"/>
      <c r="H502" s="1112"/>
      <c r="I502" s="1112"/>
      <c r="J502" s="1112"/>
      <c r="K502" s="1112"/>
      <c r="L502" s="1112"/>
      <c r="M502" s="1112"/>
      <c r="N502" s="1112"/>
      <c r="O502" s="1112"/>
      <c r="P502" s="1112"/>
      <c r="Q502" s="1112"/>
      <c r="R502" s="1138"/>
      <c r="S502" s="1112"/>
      <c r="T502" s="1134"/>
      <c r="U502" s="1138"/>
      <c r="V502" s="1112"/>
      <c r="W502" s="1112"/>
      <c r="X502" s="1112"/>
      <c r="Y502" s="1112"/>
      <c r="Z502" s="1112"/>
      <c r="AA502" s="1109"/>
      <c r="AB502" s="1109"/>
      <c r="AC502" s="1112"/>
      <c r="AD502" s="1112"/>
      <c r="AE502" s="436">
        <f t="shared" si="185"/>
        <v>0</v>
      </c>
      <c r="AF502" s="436">
        <f t="shared" si="186"/>
        <v>0</v>
      </c>
      <c r="AG502" s="436">
        <f t="shared" si="187"/>
        <v>0</v>
      </c>
      <c r="AH502" s="436">
        <f t="shared" si="188"/>
        <v>0</v>
      </c>
      <c r="AI502" s="436">
        <f t="shared" si="189"/>
        <v>0</v>
      </c>
      <c r="AJ502" s="436">
        <f t="shared" si="189"/>
        <v>0</v>
      </c>
      <c r="AK502" s="437">
        <f t="shared" si="190"/>
        <v>0</v>
      </c>
      <c r="AL502" s="437">
        <f t="shared" si="191"/>
        <v>0</v>
      </c>
      <c r="AM502" s="437">
        <f t="shared" si="192"/>
        <v>0</v>
      </c>
      <c r="AN502" s="437">
        <f t="shared" si="200"/>
        <v>0</v>
      </c>
      <c r="AO502" s="437">
        <f t="shared" si="201"/>
        <v>0</v>
      </c>
      <c r="AP502" s="437">
        <f t="shared" si="195"/>
        <v>0</v>
      </c>
      <c r="AQ502" s="437">
        <f t="shared" si="195"/>
        <v>0</v>
      </c>
      <c r="AR502" s="436"/>
      <c r="AS502" s="437">
        <f t="shared" si="196"/>
        <v>0</v>
      </c>
    </row>
    <row r="503" spans="1:45" s="438" customFormat="1" ht="24.95" customHeight="1">
      <c r="A503" s="1134"/>
      <c r="B503" s="1134"/>
      <c r="C503" s="1139" t="s">
        <v>735</v>
      </c>
      <c r="D503" s="1134"/>
      <c r="E503" s="1134" t="s">
        <v>758</v>
      </c>
      <c r="F503" s="1134">
        <v>3</v>
      </c>
      <c r="G503" s="1112">
        <v>3414</v>
      </c>
      <c r="H503" s="1112"/>
      <c r="I503" s="1112"/>
      <c r="J503" s="1112"/>
      <c r="K503" s="1112"/>
      <c r="L503" s="1112"/>
      <c r="M503" s="1112"/>
      <c r="N503" s="1112">
        <f>G503+H504</f>
        <v>3414</v>
      </c>
      <c r="O503" s="1112">
        <v>1</v>
      </c>
      <c r="P503" s="1112"/>
      <c r="Q503" s="1112"/>
      <c r="R503" s="1138">
        <v>0.1</v>
      </c>
      <c r="S503" s="1112">
        <f>N503*R503</f>
        <v>341.40000000000003</v>
      </c>
      <c r="T503" s="1134"/>
      <c r="U503" s="1138"/>
      <c r="V503" s="1112"/>
      <c r="W503" s="1112">
        <f>AD503</f>
        <v>3086</v>
      </c>
      <c r="X503" s="1112">
        <f>(N503+V503+Q504+S503)*O503+W503</f>
        <v>6841.4</v>
      </c>
      <c r="Y503" s="1112"/>
      <c r="Z503" s="1112">
        <f>X503+Y503</f>
        <v>6841.4</v>
      </c>
      <c r="AA503" s="1109">
        <f t="shared" si="203"/>
        <v>6841.4</v>
      </c>
      <c r="AB503" s="1109">
        <f>AA503-X503</f>
        <v>0</v>
      </c>
      <c r="AC503" s="1112">
        <f>6500*O503</f>
        <v>6500</v>
      </c>
      <c r="AD503" s="1112">
        <f>AC503-(N503*O503)</f>
        <v>3086</v>
      </c>
      <c r="AE503" s="436">
        <f>G503*O503</f>
        <v>3414</v>
      </c>
      <c r="AF503" s="436">
        <f>G503*P503</f>
        <v>0</v>
      </c>
      <c r="AG503" s="436">
        <f>N503*O503</f>
        <v>3414</v>
      </c>
      <c r="AH503" s="436">
        <f>N503*P503</f>
        <v>0</v>
      </c>
      <c r="AI503" s="436">
        <f>AG503-AE503</f>
        <v>0</v>
      </c>
      <c r="AJ503" s="436">
        <f>AH503-AF503</f>
        <v>0</v>
      </c>
      <c r="AK503" s="437">
        <f>V503*O503</f>
        <v>0</v>
      </c>
      <c r="AL503" s="437">
        <f>V503*P503</f>
        <v>0</v>
      </c>
      <c r="AM503" s="437">
        <f>W503</f>
        <v>3086</v>
      </c>
      <c r="AN503" s="437">
        <f>S503*O503</f>
        <v>341.40000000000003</v>
      </c>
      <c r="AO503" s="437">
        <f>S503*P503</f>
        <v>0</v>
      </c>
      <c r="AP503" s="437">
        <f>AG503</f>
        <v>3414</v>
      </c>
      <c r="AQ503" s="437">
        <f>AH503</f>
        <v>0</v>
      </c>
      <c r="AR503" s="436"/>
      <c r="AS503" s="437">
        <f>AP503+AQ503-AR503</f>
        <v>3414</v>
      </c>
    </row>
    <row r="504" spans="1:45" s="438" customFormat="1">
      <c r="A504" s="1134"/>
      <c r="B504" s="1134"/>
      <c r="C504" s="1139"/>
      <c r="D504" s="1134"/>
      <c r="E504" s="1134"/>
      <c r="F504" s="1134"/>
      <c r="G504" s="1112"/>
      <c r="H504" s="1112"/>
      <c r="I504" s="1112"/>
      <c r="J504" s="1112"/>
      <c r="K504" s="1112"/>
      <c r="L504" s="1112"/>
      <c r="M504" s="1112"/>
      <c r="N504" s="1112"/>
      <c r="O504" s="1112"/>
      <c r="P504" s="1112"/>
      <c r="Q504" s="1112"/>
      <c r="R504" s="1138"/>
      <c r="S504" s="1112"/>
      <c r="T504" s="1134"/>
      <c r="U504" s="1138"/>
      <c r="V504" s="1112"/>
      <c r="W504" s="1112"/>
      <c r="X504" s="1112"/>
      <c r="Y504" s="1112"/>
      <c r="Z504" s="1112"/>
      <c r="AA504" s="1109"/>
      <c r="AB504" s="1109"/>
      <c r="AC504" s="1112"/>
      <c r="AD504" s="1112"/>
      <c r="AE504" s="436">
        <f>G504*O504</f>
        <v>0</v>
      </c>
      <c r="AF504" s="436">
        <f>G504*P504</f>
        <v>0</v>
      </c>
      <c r="AG504" s="436">
        <f>N504*O504</f>
        <v>0</v>
      </c>
      <c r="AH504" s="436">
        <f>N504*P504</f>
        <v>0</v>
      </c>
      <c r="AI504" s="436">
        <f>AG504-AE504</f>
        <v>0</v>
      </c>
      <c r="AJ504" s="436">
        <f>AH504-AF504</f>
        <v>0</v>
      </c>
      <c r="AK504" s="437">
        <f>V504*O504</f>
        <v>0</v>
      </c>
      <c r="AL504" s="437">
        <f>V504*P504</f>
        <v>0</v>
      </c>
      <c r="AM504" s="437">
        <f>W504</f>
        <v>0</v>
      </c>
      <c r="AN504" s="437">
        <f>S504*O504</f>
        <v>0</v>
      </c>
      <c r="AO504" s="437">
        <f>S504*P504</f>
        <v>0</v>
      </c>
      <c r="AP504" s="437">
        <f>AG504</f>
        <v>0</v>
      </c>
      <c r="AQ504" s="437">
        <f>AH504</f>
        <v>0</v>
      </c>
      <c r="AR504" s="436"/>
      <c r="AS504" s="437">
        <f>AP504+AQ504-AR504</f>
        <v>0</v>
      </c>
    </row>
    <row r="505" spans="1:45" s="438" customFormat="1" ht="24.95" customHeight="1">
      <c r="A505" s="1134"/>
      <c r="B505" s="1134"/>
      <c r="C505" s="1139" t="s">
        <v>735</v>
      </c>
      <c r="D505" s="1134"/>
      <c r="E505" s="1134"/>
      <c r="F505" s="1134"/>
      <c r="G505" s="1112"/>
      <c r="H505" s="1112"/>
      <c r="I505" s="1112"/>
      <c r="J505" s="1112"/>
      <c r="K505" s="1112"/>
      <c r="L505" s="1112"/>
      <c r="M505" s="1112"/>
      <c r="N505" s="1112"/>
      <c r="O505" s="1112"/>
      <c r="P505" s="1112"/>
      <c r="Q505" s="1112"/>
      <c r="R505" s="1138">
        <v>0.1</v>
      </c>
      <c r="S505" s="1112">
        <f>N505*R505</f>
        <v>0</v>
      </c>
      <c r="T505" s="1134"/>
      <c r="U505" s="1138"/>
      <c r="V505" s="1112"/>
      <c r="W505" s="1112">
        <f>AD505</f>
        <v>0</v>
      </c>
      <c r="X505" s="1112">
        <f>(N505+V505+Q506+S505)*O505+W505</f>
        <v>0</v>
      </c>
      <c r="Y505" s="1112"/>
      <c r="Z505" s="1112">
        <f>X505+Y505</f>
        <v>0</v>
      </c>
      <c r="AA505" s="1109">
        <f t="shared" si="203"/>
        <v>0</v>
      </c>
      <c r="AB505" s="1109">
        <f>AA505-X505</f>
        <v>0</v>
      </c>
      <c r="AC505" s="1112">
        <f>6500*O505</f>
        <v>0</v>
      </c>
      <c r="AD505" s="1112">
        <f>AC505-(N505*O505)</f>
        <v>0</v>
      </c>
      <c r="AE505" s="436">
        <f t="shared" si="185"/>
        <v>0</v>
      </c>
      <c r="AF505" s="436">
        <f t="shared" si="186"/>
        <v>0</v>
      </c>
      <c r="AG505" s="436">
        <f t="shared" si="187"/>
        <v>0</v>
      </c>
      <c r="AH505" s="436">
        <f t="shared" si="188"/>
        <v>0</v>
      </c>
      <c r="AI505" s="436">
        <f t="shared" si="189"/>
        <v>0</v>
      </c>
      <c r="AJ505" s="436">
        <f t="shared" si="189"/>
        <v>0</v>
      </c>
      <c r="AK505" s="437">
        <f t="shared" si="190"/>
        <v>0</v>
      </c>
      <c r="AL505" s="437">
        <f t="shared" si="191"/>
        <v>0</v>
      </c>
      <c r="AM505" s="437">
        <f t="shared" si="192"/>
        <v>0</v>
      </c>
      <c r="AN505" s="437">
        <f t="shared" si="200"/>
        <v>0</v>
      </c>
      <c r="AO505" s="437">
        <f t="shared" si="201"/>
        <v>0</v>
      </c>
      <c r="AP505" s="437">
        <f t="shared" si="195"/>
        <v>0</v>
      </c>
      <c r="AQ505" s="437">
        <f t="shared" si="195"/>
        <v>0</v>
      </c>
      <c r="AR505" s="436"/>
      <c r="AS505" s="437">
        <f t="shared" si="196"/>
        <v>0</v>
      </c>
    </row>
    <row r="506" spans="1:45" s="438" customFormat="1" ht="24.95" customHeight="1">
      <c r="A506" s="1134"/>
      <c r="B506" s="1134"/>
      <c r="C506" s="1139"/>
      <c r="D506" s="1134"/>
      <c r="E506" s="1134"/>
      <c r="F506" s="1134"/>
      <c r="G506" s="1112"/>
      <c r="H506" s="1112"/>
      <c r="I506" s="1112"/>
      <c r="J506" s="1112"/>
      <c r="K506" s="1112"/>
      <c r="L506" s="1112"/>
      <c r="M506" s="1112"/>
      <c r="N506" s="1112"/>
      <c r="O506" s="1112"/>
      <c r="P506" s="1112"/>
      <c r="Q506" s="1112"/>
      <c r="R506" s="1138"/>
      <c r="S506" s="1112"/>
      <c r="T506" s="1134"/>
      <c r="U506" s="1138"/>
      <c r="V506" s="1112"/>
      <c r="W506" s="1112"/>
      <c r="X506" s="1112"/>
      <c r="Y506" s="1112"/>
      <c r="Z506" s="1112"/>
      <c r="AA506" s="1109"/>
      <c r="AB506" s="1109"/>
      <c r="AC506" s="1112"/>
      <c r="AD506" s="1112"/>
      <c r="AE506" s="436">
        <f t="shared" si="185"/>
        <v>0</v>
      </c>
      <c r="AF506" s="436">
        <f t="shared" si="186"/>
        <v>0</v>
      </c>
      <c r="AG506" s="436">
        <f t="shared" si="187"/>
        <v>0</v>
      </c>
      <c r="AH506" s="436">
        <f t="shared" si="188"/>
        <v>0</v>
      </c>
      <c r="AI506" s="436">
        <f t="shared" si="189"/>
        <v>0</v>
      </c>
      <c r="AJ506" s="436">
        <f t="shared" si="189"/>
        <v>0</v>
      </c>
      <c r="AK506" s="437">
        <f t="shared" si="190"/>
        <v>0</v>
      </c>
      <c r="AL506" s="437">
        <f t="shared" si="191"/>
        <v>0</v>
      </c>
      <c r="AM506" s="437">
        <f t="shared" si="192"/>
        <v>0</v>
      </c>
      <c r="AN506" s="437">
        <f t="shared" si="200"/>
        <v>0</v>
      </c>
      <c r="AO506" s="437">
        <f t="shared" si="201"/>
        <v>0</v>
      </c>
      <c r="AP506" s="437">
        <f t="shared" si="195"/>
        <v>0</v>
      </c>
      <c r="AQ506" s="437">
        <f t="shared" si="195"/>
        <v>0</v>
      </c>
      <c r="AR506" s="436"/>
      <c r="AS506" s="437">
        <f t="shared" si="196"/>
        <v>0</v>
      </c>
    </row>
    <row r="507" spans="1:45" s="446" customFormat="1" ht="24.95" customHeight="1">
      <c r="A507" s="441"/>
      <c r="B507" s="441"/>
      <c r="C507" s="442" t="s">
        <v>318</v>
      </c>
      <c r="D507" s="443"/>
      <c r="E507" s="441"/>
      <c r="F507" s="441"/>
      <c r="G507" s="444">
        <f>SUM(G497:G506)</f>
        <v>6828</v>
      </c>
      <c r="H507" s="441"/>
      <c r="I507" s="441"/>
      <c r="J507" s="441"/>
      <c r="K507" s="441"/>
      <c r="L507" s="441"/>
      <c r="M507" s="441"/>
      <c r="N507" s="444">
        <f>SUM(N497:N506)</f>
        <v>6828</v>
      </c>
      <c r="O507" s="444">
        <f>SUM(O497:O506)</f>
        <v>2</v>
      </c>
      <c r="P507" s="444">
        <f>SUM(P497:P506)</f>
        <v>0</v>
      </c>
      <c r="Q507" s="451"/>
      <c r="R507" s="444"/>
      <c r="S507" s="444">
        <f>SUM(S497:S506)</f>
        <v>682.80000000000007</v>
      </c>
      <c r="T507" s="444"/>
      <c r="U507" s="444"/>
      <c r="V507" s="444"/>
      <c r="W507" s="444">
        <f t="shared" ref="W507:AD507" si="204">SUM(W497:W506)</f>
        <v>6172</v>
      </c>
      <c r="X507" s="444">
        <f t="shared" si="204"/>
        <v>13682.8</v>
      </c>
      <c r="Y507" s="444">
        <f t="shared" si="204"/>
        <v>0</v>
      </c>
      <c r="Z507" s="444">
        <f t="shared" si="204"/>
        <v>13682.8</v>
      </c>
      <c r="AA507" s="499">
        <f t="shared" si="204"/>
        <v>13682.8</v>
      </c>
      <c r="AB507" s="499">
        <f t="shared" si="204"/>
        <v>0</v>
      </c>
      <c r="AC507" s="444">
        <f t="shared" si="204"/>
        <v>13000</v>
      </c>
      <c r="AD507" s="444">
        <f t="shared" si="204"/>
        <v>6172</v>
      </c>
      <c r="AE507" s="436"/>
      <c r="AF507" s="436"/>
      <c r="AG507" s="436"/>
      <c r="AH507" s="436"/>
      <c r="AI507" s="436"/>
      <c r="AJ507" s="436"/>
      <c r="AK507" s="437"/>
      <c r="AL507" s="437"/>
      <c r="AM507" s="437"/>
      <c r="AN507" s="437"/>
      <c r="AO507" s="437"/>
      <c r="AP507" s="437">
        <f t="shared" si="195"/>
        <v>0</v>
      </c>
      <c r="AQ507" s="437">
        <f t="shared" si="195"/>
        <v>0</v>
      </c>
      <c r="AR507" s="436"/>
      <c r="AS507" s="437">
        <f t="shared" si="196"/>
        <v>0</v>
      </c>
    </row>
    <row r="508" spans="1:45" s="456" customFormat="1" ht="24.95" customHeight="1">
      <c r="A508" s="455"/>
      <c r="B508" s="455"/>
      <c r="C508" s="1136" t="s">
        <v>1067</v>
      </c>
      <c r="D508" s="1136"/>
      <c r="E508" s="455"/>
      <c r="F508" s="455"/>
      <c r="G508" s="455"/>
      <c r="H508" s="455"/>
      <c r="I508" s="455"/>
      <c r="J508" s="455"/>
      <c r="K508" s="455"/>
      <c r="L508" s="455"/>
      <c r="M508" s="455"/>
      <c r="N508" s="455"/>
      <c r="O508" s="455"/>
      <c r="P508" s="455"/>
      <c r="Q508" s="455"/>
      <c r="R508" s="455"/>
      <c r="S508" s="455"/>
      <c r="T508" s="455"/>
      <c r="U508" s="455"/>
      <c r="V508" s="455"/>
      <c r="W508" s="455"/>
      <c r="X508" s="455"/>
      <c r="Y508" s="455"/>
      <c r="Z508" s="455"/>
      <c r="AA508" s="504"/>
      <c r="AB508" s="504"/>
      <c r="AC508" s="455"/>
      <c r="AD508" s="455"/>
      <c r="AE508" s="436">
        <f t="shared" si="185"/>
        <v>0</v>
      </c>
      <c r="AF508" s="436">
        <f t="shared" si="186"/>
        <v>0</v>
      </c>
      <c r="AG508" s="436">
        <f t="shared" si="187"/>
        <v>0</v>
      </c>
      <c r="AH508" s="436">
        <f t="shared" si="188"/>
        <v>0</v>
      </c>
      <c r="AI508" s="436">
        <f t="shared" si="189"/>
        <v>0</v>
      </c>
      <c r="AJ508" s="436">
        <f t="shared" si="189"/>
        <v>0</v>
      </c>
      <c r="AK508" s="437">
        <f t="shared" si="190"/>
        <v>0</v>
      </c>
      <c r="AL508" s="437">
        <f t="shared" si="191"/>
        <v>0</v>
      </c>
      <c r="AM508" s="437">
        <f t="shared" si="192"/>
        <v>0</v>
      </c>
      <c r="AN508" s="437">
        <f t="shared" si="200"/>
        <v>0</v>
      </c>
      <c r="AO508" s="437">
        <f t="shared" si="201"/>
        <v>0</v>
      </c>
      <c r="AP508" s="437">
        <f t="shared" si="195"/>
        <v>0</v>
      </c>
      <c r="AQ508" s="437">
        <f t="shared" si="195"/>
        <v>0</v>
      </c>
      <c r="AR508" s="436"/>
      <c r="AS508" s="437">
        <f t="shared" si="196"/>
        <v>0</v>
      </c>
    </row>
    <row r="509" spans="1:45" s="438" customFormat="1" ht="24.95" customHeight="1">
      <c r="A509" s="1134"/>
      <c r="B509" s="1134"/>
      <c r="C509" s="1139" t="s">
        <v>735</v>
      </c>
      <c r="D509" s="1134"/>
      <c r="E509" s="1134" t="s">
        <v>740</v>
      </c>
      <c r="F509" s="1134">
        <v>3</v>
      </c>
      <c r="G509" s="1112">
        <v>3414</v>
      </c>
      <c r="H509" s="1112"/>
      <c r="I509" s="1140"/>
      <c r="J509" s="1140"/>
      <c r="K509" s="1140"/>
      <c r="L509" s="1140"/>
      <c r="M509" s="1140"/>
      <c r="N509" s="1112">
        <f>G509+H510+K510</f>
        <v>3414</v>
      </c>
      <c r="O509" s="1112">
        <v>1</v>
      </c>
      <c r="P509" s="1140"/>
      <c r="Q509" s="1140"/>
      <c r="R509" s="1138">
        <v>0.1</v>
      </c>
      <c r="S509" s="1112">
        <f>N509*R509</f>
        <v>341.40000000000003</v>
      </c>
      <c r="T509" s="1134"/>
      <c r="U509" s="1138"/>
      <c r="V509" s="1112"/>
      <c r="W509" s="1112">
        <f>AD509</f>
        <v>3086</v>
      </c>
      <c r="X509" s="1112">
        <f>(N509+V509+Q510+S509)*O509+W509</f>
        <v>6841.4</v>
      </c>
      <c r="Y509" s="1112"/>
      <c r="Z509" s="1112">
        <f>X509+Y509</f>
        <v>6841.4</v>
      </c>
      <c r="AA509" s="1109">
        <f t="shared" ref="AA509:AA519" si="205">Z509</f>
        <v>6841.4</v>
      </c>
      <c r="AB509" s="1109">
        <f>AA509-X509</f>
        <v>0</v>
      </c>
      <c r="AC509" s="1112">
        <f>6500*O509</f>
        <v>6500</v>
      </c>
      <c r="AD509" s="1112">
        <f>AC509-(N509*O509)</f>
        <v>3086</v>
      </c>
      <c r="AE509" s="436">
        <f t="shared" si="185"/>
        <v>3414</v>
      </c>
      <c r="AF509" s="436">
        <f t="shared" si="186"/>
        <v>0</v>
      </c>
      <c r="AG509" s="436">
        <f t="shared" si="187"/>
        <v>3414</v>
      </c>
      <c r="AH509" s="436">
        <f t="shared" si="188"/>
        <v>0</v>
      </c>
      <c r="AI509" s="436">
        <f t="shared" si="189"/>
        <v>0</v>
      </c>
      <c r="AJ509" s="436">
        <f t="shared" si="189"/>
        <v>0</v>
      </c>
      <c r="AK509" s="437">
        <f t="shared" si="190"/>
        <v>0</v>
      </c>
      <c r="AL509" s="437">
        <f t="shared" si="191"/>
        <v>0</v>
      </c>
      <c r="AM509" s="437">
        <f t="shared" si="192"/>
        <v>3086</v>
      </c>
      <c r="AN509" s="437">
        <f t="shared" si="200"/>
        <v>341.40000000000003</v>
      </c>
      <c r="AO509" s="437">
        <f t="shared" si="201"/>
        <v>0</v>
      </c>
      <c r="AP509" s="437">
        <f t="shared" si="195"/>
        <v>3414</v>
      </c>
      <c r="AQ509" s="437">
        <f t="shared" si="195"/>
        <v>0</v>
      </c>
      <c r="AR509" s="436"/>
      <c r="AS509" s="437">
        <f t="shared" si="196"/>
        <v>3414</v>
      </c>
    </row>
    <row r="510" spans="1:45" s="438" customFormat="1" ht="24.95" customHeight="1">
      <c r="A510" s="1134"/>
      <c r="B510" s="1134"/>
      <c r="C510" s="1139"/>
      <c r="D510" s="1134"/>
      <c r="E510" s="1134"/>
      <c r="F510" s="1134"/>
      <c r="G510" s="1112"/>
      <c r="H510" s="1112"/>
      <c r="I510" s="1140"/>
      <c r="J510" s="1140"/>
      <c r="K510" s="1140"/>
      <c r="L510" s="1140"/>
      <c r="M510" s="1140"/>
      <c r="N510" s="1112"/>
      <c r="O510" s="1112"/>
      <c r="P510" s="1140"/>
      <c r="Q510" s="1140"/>
      <c r="R510" s="1138"/>
      <c r="S510" s="1112"/>
      <c r="T510" s="1134"/>
      <c r="U510" s="1138"/>
      <c r="V510" s="1112"/>
      <c r="W510" s="1112"/>
      <c r="X510" s="1112"/>
      <c r="Y510" s="1112"/>
      <c r="Z510" s="1112"/>
      <c r="AA510" s="1109"/>
      <c r="AB510" s="1109"/>
      <c r="AC510" s="1112"/>
      <c r="AD510" s="1112"/>
      <c r="AE510" s="436">
        <f t="shared" si="185"/>
        <v>0</v>
      </c>
      <c r="AF510" s="436">
        <f t="shared" si="186"/>
        <v>0</v>
      </c>
      <c r="AG510" s="436">
        <f t="shared" si="187"/>
        <v>0</v>
      </c>
      <c r="AH510" s="436">
        <f t="shared" si="188"/>
        <v>0</v>
      </c>
      <c r="AI510" s="436">
        <f t="shared" si="189"/>
        <v>0</v>
      </c>
      <c r="AJ510" s="436">
        <f t="shared" si="189"/>
        <v>0</v>
      </c>
      <c r="AK510" s="437">
        <f t="shared" si="190"/>
        <v>0</v>
      </c>
      <c r="AL510" s="437">
        <f t="shared" si="191"/>
        <v>0</v>
      </c>
      <c r="AM510" s="437">
        <f t="shared" si="192"/>
        <v>0</v>
      </c>
      <c r="AN510" s="437">
        <f t="shared" si="200"/>
        <v>0</v>
      </c>
      <c r="AO510" s="437">
        <f t="shared" si="201"/>
        <v>0</v>
      </c>
      <c r="AP510" s="437">
        <f t="shared" si="195"/>
        <v>0</v>
      </c>
      <c r="AQ510" s="437">
        <f t="shared" si="195"/>
        <v>0</v>
      </c>
      <c r="AR510" s="436"/>
      <c r="AS510" s="437">
        <f t="shared" si="196"/>
        <v>0</v>
      </c>
    </row>
    <row r="511" spans="1:45" s="438" customFormat="1" ht="24.95" customHeight="1">
      <c r="A511" s="1134"/>
      <c r="B511" s="1134"/>
      <c r="C511" s="1139" t="s">
        <v>735</v>
      </c>
      <c r="D511" s="1134"/>
      <c r="E511" s="1171" t="s">
        <v>744</v>
      </c>
      <c r="F511" s="1134">
        <v>3</v>
      </c>
      <c r="G511" s="1112">
        <v>3414</v>
      </c>
      <c r="H511" s="1112"/>
      <c r="I511" s="1112"/>
      <c r="J511" s="1112"/>
      <c r="K511" s="1112"/>
      <c r="L511" s="1112"/>
      <c r="M511" s="1112"/>
      <c r="N511" s="1112">
        <f>G511+H512</f>
        <v>3414</v>
      </c>
      <c r="O511" s="1112">
        <v>1</v>
      </c>
      <c r="P511" s="1140"/>
      <c r="Q511" s="1140"/>
      <c r="R511" s="1138">
        <v>0.1</v>
      </c>
      <c r="S511" s="1112">
        <f>N511*R511</f>
        <v>341.40000000000003</v>
      </c>
      <c r="T511" s="1134"/>
      <c r="U511" s="1138"/>
      <c r="V511" s="1112"/>
      <c r="W511" s="1112">
        <f>AD511</f>
        <v>3086</v>
      </c>
      <c r="X511" s="1112">
        <f>(N511+V511+Q512+S511)*O511+W511</f>
        <v>6841.4</v>
      </c>
      <c r="Y511" s="1112"/>
      <c r="Z511" s="1112">
        <f>X511+Y511</f>
        <v>6841.4</v>
      </c>
      <c r="AA511" s="1109">
        <f t="shared" si="205"/>
        <v>6841.4</v>
      </c>
      <c r="AB511" s="1109">
        <f>AA511-X511</f>
        <v>0</v>
      </c>
      <c r="AC511" s="1112">
        <f>6500*O511</f>
        <v>6500</v>
      </c>
      <c r="AD511" s="1112">
        <f>AC511-(N511*O511)</f>
        <v>3086</v>
      </c>
      <c r="AE511" s="436">
        <f t="shared" si="185"/>
        <v>3414</v>
      </c>
      <c r="AF511" s="436">
        <f t="shared" si="186"/>
        <v>0</v>
      </c>
      <c r="AG511" s="436">
        <f t="shared" si="187"/>
        <v>3414</v>
      </c>
      <c r="AH511" s="436">
        <f t="shared" si="188"/>
        <v>0</v>
      </c>
      <c r="AI511" s="436">
        <f t="shared" si="189"/>
        <v>0</v>
      </c>
      <c r="AJ511" s="436">
        <f t="shared" si="189"/>
        <v>0</v>
      </c>
      <c r="AK511" s="437">
        <f t="shared" si="190"/>
        <v>0</v>
      </c>
      <c r="AL511" s="437">
        <f t="shared" si="191"/>
        <v>0</v>
      </c>
      <c r="AM511" s="437">
        <f t="shared" si="192"/>
        <v>3086</v>
      </c>
      <c r="AN511" s="437">
        <f t="shared" si="200"/>
        <v>341.40000000000003</v>
      </c>
      <c r="AO511" s="437">
        <f t="shared" si="201"/>
        <v>0</v>
      </c>
      <c r="AP511" s="437">
        <f t="shared" si="195"/>
        <v>3414</v>
      </c>
      <c r="AQ511" s="437">
        <f t="shared" si="195"/>
        <v>0</v>
      </c>
      <c r="AR511" s="436"/>
      <c r="AS511" s="437">
        <f t="shared" si="196"/>
        <v>3414</v>
      </c>
    </row>
    <row r="512" spans="1:45" s="438" customFormat="1" ht="24.95" customHeight="1">
      <c r="A512" s="1134"/>
      <c r="B512" s="1134"/>
      <c r="C512" s="1139"/>
      <c r="D512" s="1134"/>
      <c r="E512" s="1172"/>
      <c r="F512" s="1134"/>
      <c r="G512" s="1112"/>
      <c r="H512" s="1112"/>
      <c r="I512" s="1112"/>
      <c r="J512" s="1112"/>
      <c r="K512" s="1112"/>
      <c r="L512" s="1112"/>
      <c r="M512" s="1112"/>
      <c r="N512" s="1112"/>
      <c r="O512" s="1112"/>
      <c r="P512" s="1140"/>
      <c r="Q512" s="1140"/>
      <c r="R512" s="1138"/>
      <c r="S512" s="1112"/>
      <c r="T512" s="1134"/>
      <c r="U512" s="1138"/>
      <c r="V512" s="1112"/>
      <c r="W512" s="1112"/>
      <c r="X512" s="1112"/>
      <c r="Y512" s="1112"/>
      <c r="Z512" s="1112"/>
      <c r="AA512" s="1109"/>
      <c r="AB512" s="1109"/>
      <c r="AC512" s="1112"/>
      <c r="AD512" s="1112"/>
      <c r="AE512" s="436">
        <f t="shared" si="185"/>
        <v>0</v>
      </c>
      <c r="AF512" s="436">
        <f t="shared" si="186"/>
        <v>0</v>
      </c>
      <c r="AG512" s="436">
        <f t="shared" si="187"/>
        <v>0</v>
      </c>
      <c r="AH512" s="436">
        <f t="shared" si="188"/>
        <v>0</v>
      </c>
      <c r="AI512" s="436">
        <f t="shared" si="189"/>
        <v>0</v>
      </c>
      <c r="AJ512" s="436">
        <f t="shared" si="189"/>
        <v>0</v>
      </c>
      <c r="AK512" s="437">
        <f t="shared" si="190"/>
        <v>0</v>
      </c>
      <c r="AL512" s="437">
        <f t="shared" si="191"/>
        <v>0</v>
      </c>
      <c r="AM512" s="437">
        <f t="shared" si="192"/>
        <v>0</v>
      </c>
      <c r="AN512" s="437">
        <f t="shared" si="200"/>
        <v>0</v>
      </c>
      <c r="AO512" s="437">
        <f t="shared" si="201"/>
        <v>0</v>
      </c>
      <c r="AP512" s="437">
        <f t="shared" si="195"/>
        <v>0</v>
      </c>
      <c r="AQ512" s="437">
        <f t="shared" si="195"/>
        <v>0</v>
      </c>
      <c r="AR512" s="436"/>
      <c r="AS512" s="437">
        <f t="shared" si="196"/>
        <v>0</v>
      </c>
    </row>
    <row r="513" spans="1:45" s="438" customFormat="1" ht="24.95" customHeight="1">
      <c r="A513" s="1134"/>
      <c r="B513" s="1134"/>
      <c r="C513" s="1139" t="s">
        <v>735</v>
      </c>
      <c r="D513" s="1134"/>
      <c r="E513" s="1171" t="s">
        <v>745</v>
      </c>
      <c r="F513" s="1134">
        <v>3</v>
      </c>
      <c r="G513" s="1112">
        <v>3414</v>
      </c>
      <c r="H513" s="1112"/>
      <c r="I513" s="1112"/>
      <c r="J513" s="1112"/>
      <c r="K513" s="1112"/>
      <c r="L513" s="1112"/>
      <c r="M513" s="1112"/>
      <c r="N513" s="1112">
        <f>G513+H514</f>
        <v>3414</v>
      </c>
      <c r="O513" s="1112">
        <v>1</v>
      </c>
      <c r="P513" s="1112"/>
      <c r="Q513" s="1112"/>
      <c r="R513" s="1138">
        <v>0.1</v>
      </c>
      <c r="S513" s="1112">
        <f>N513*R513</f>
        <v>341.40000000000003</v>
      </c>
      <c r="T513" s="1134"/>
      <c r="U513" s="1138"/>
      <c r="V513" s="1112"/>
      <c r="W513" s="1112">
        <f>AD513</f>
        <v>3086</v>
      </c>
      <c r="X513" s="1112">
        <f>(N513+V513+Q514+S513)*O513+W513</f>
        <v>6841.4</v>
      </c>
      <c r="Y513" s="1112"/>
      <c r="Z513" s="1112">
        <f>X513+Y513</f>
        <v>6841.4</v>
      </c>
      <c r="AA513" s="1109">
        <f t="shared" si="205"/>
        <v>6841.4</v>
      </c>
      <c r="AB513" s="1109">
        <f>AA513-X513</f>
        <v>0</v>
      </c>
      <c r="AC513" s="1112">
        <f>6500*O513</f>
        <v>6500</v>
      </c>
      <c r="AD513" s="1112">
        <f>AC513-(N513*O513)</f>
        <v>3086</v>
      </c>
      <c r="AE513" s="436">
        <f t="shared" si="185"/>
        <v>3414</v>
      </c>
      <c r="AF513" s="436">
        <f t="shared" si="186"/>
        <v>0</v>
      </c>
      <c r="AG513" s="436">
        <f t="shared" si="187"/>
        <v>3414</v>
      </c>
      <c r="AH513" s="436">
        <f t="shared" si="188"/>
        <v>0</v>
      </c>
      <c r="AI513" s="436">
        <f t="shared" si="189"/>
        <v>0</v>
      </c>
      <c r="AJ513" s="436">
        <f t="shared" si="189"/>
        <v>0</v>
      </c>
      <c r="AK513" s="437">
        <f t="shared" si="190"/>
        <v>0</v>
      </c>
      <c r="AL513" s="437">
        <f t="shared" si="191"/>
        <v>0</v>
      </c>
      <c r="AM513" s="437">
        <f t="shared" si="192"/>
        <v>3086</v>
      </c>
      <c r="AN513" s="437">
        <f t="shared" si="200"/>
        <v>341.40000000000003</v>
      </c>
      <c r="AO513" s="437">
        <f t="shared" si="201"/>
        <v>0</v>
      </c>
      <c r="AP513" s="437">
        <f t="shared" si="195"/>
        <v>3414</v>
      </c>
      <c r="AQ513" s="437">
        <f t="shared" si="195"/>
        <v>0</v>
      </c>
      <c r="AR513" s="436"/>
      <c r="AS513" s="437">
        <f t="shared" si="196"/>
        <v>3414</v>
      </c>
    </row>
    <row r="514" spans="1:45" s="438" customFormat="1" ht="24.95" customHeight="1">
      <c r="A514" s="1134"/>
      <c r="B514" s="1134"/>
      <c r="C514" s="1139"/>
      <c r="D514" s="1134"/>
      <c r="E514" s="1172"/>
      <c r="F514" s="1134"/>
      <c r="G514" s="1112"/>
      <c r="H514" s="1112"/>
      <c r="I514" s="1112"/>
      <c r="J514" s="1112"/>
      <c r="K514" s="1112"/>
      <c r="L514" s="1112"/>
      <c r="M514" s="1112"/>
      <c r="N514" s="1112"/>
      <c r="O514" s="1112"/>
      <c r="P514" s="1112"/>
      <c r="Q514" s="1112"/>
      <c r="R514" s="1138"/>
      <c r="S514" s="1112"/>
      <c r="T514" s="1134"/>
      <c r="U514" s="1138"/>
      <c r="V514" s="1112"/>
      <c r="W514" s="1112"/>
      <c r="X514" s="1112"/>
      <c r="Y514" s="1112"/>
      <c r="Z514" s="1112"/>
      <c r="AA514" s="1109"/>
      <c r="AB514" s="1109"/>
      <c r="AC514" s="1112"/>
      <c r="AD514" s="1112"/>
      <c r="AE514" s="436">
        <f t="shared" si="185"/>
        <v>0</v>
      </c>
      <c r="AF514" s="436">
        <f t="shared" si="186"/>
        <v>0</v>
      </c>
      <c r="AG514" s="436">
        <f t="shared" si="187"/>
        <v>0</v>
      </c>
      <c r="AH514" s="436">
        <f t="shared" si="188"/>
        <v>0</v>
      </c>
      <c r="AI514" s="436">
        <f t="shared" si="189"/>
        <v>0</v>
      </c>
      <c r="AJ514" s="436">
        <f t="shared" si="189"/>
        <v>0</v>
      </c>
      <c r="AK514" s="437">
        <f t="shared" si="190"/>
        <v>0</v>
      </c>
      <c r="AL514" s="437">
        <f t="shared" si="191"/>
        <v>0</v>
      </c>
      <c r="AM514" s="437">
        <f t="shared" si="192"/>
        <v>0</v>
      </c>
      <c r="AN514" s="437">
        <f t="shared" si="200"/>
        <v>0</v>
      </c>
      <c r="AO514" s="437">
        <f t="shared" si="201"/>
        <v>0</v>
      </c>
      <c r="AP514" s="437">
        <f t="shared" si="195"/>
        <v>0</v>
      </c>
      <c r="AQ514" s="437">
        <f t="shared" si="195"/>
        <v>0</v>
      </c>
      <c r="AR514" s="436"/>
      <c r="AS514" s="437">
        <f t="shared" si="196"/>
        <v>0</v>
      </c>
    </row>
    <row r="515" spans="1:45" s="438" customFormat="1" ht="24.95" customHeight="1">
      <c r="A515" s="1134"/>
      <c r="B515" s="1134"/>
      <c r="C515" s="1139" t="s">
        <v>735</v>
      </c>
      <c r="D515" s="1134"/>
      <c r="E515" s="1171" t="s">
        <v>746</v>
      </c>
      <c r="F515" s="1134">
        <v>3</v>
      </c>
      <c r="G515" s="1112">
        <v>3414</v>
      </c>
      <c r="H515" s="1112"/>
      <c r="I515" s="1112"/>
      <c r="J515" s="1112"/>
      <c r="K515" s="1112"/>
      <c r="L515" s="1112"/>
      <c r="M515" s="1112"/>
      <c r="N515" s="1112">
        <f>G515+H516</f>
        <v>3414</v>
      </c>
      <c r="O515" s="1112">
        <v>1</v>
      </c>
      <c r="P515" s="1112"/>
      <c r="Q515" s="1112"/>
      <c r="R515" s="1138">
        <v>0.1</v>
      </c>
      <c r="S515" s="1112">
        <f>N515*R515</f>
        <v>341.40000000000003</v>
      </c>
      <c r="T515" s="1134"/>
      <c r="U515" s="1138"/>
      <c r="V515" s="1112"/>
      <c r="W515" s="1112">
        <f>AD515</f>
        <v>3086</v>
      </c>
      <c r="X515" s="1112">
        <f>(N515+V515+Q516+S515)*O515+W515</f>
        <v>6841.4</v>
      </c>
      <c r="Y515" s="1112"/>
      <c r="Z515" s="1112">
        <f>X515+Y515</f>
        <v>6841.4</v>
      </c>
      <c r="AA515" s="1109">
        <f t="shared" si="205"/>
        <v>6841.4</v>
      </c>
      <c r="AB515" s="1109">
        <f>AA515-X515</f>
        <v>0</v>
      </c>
      <c r="AC515" s="1112">
        <f>6500*O515</f>
        <v>6500</v>
      </c>
      <c r="AD515" s="1112">
        <f>AC515-(N515*O515)</f>
        <v>3086</v>
      </c>
      <c r="AE515" s="436">
        <f>G515*O515</f>
        <v>3414</v>
      </c>
      <c r="AF515" s="436">
        <f>G515*P515</f>
        <v>0</v>
      </c>
      <c r="AG515" s="436">
        <f>N515*O515</f>
        <v>3414</v>
      </c>
      <c r="AH515" s="436">
        <f>N515*P515</f>
        <v>0</v>
      </c>
      <c r="AI515" s="436">
        <f>AG515-AE515</f>
        <v>0</v>
      </c>
      <c r="AJ515" s="436">
        <f>AH515-AF515</f>
        <v>0</v>
      </c>
      <c r="AK515" s="437">
        <f>V515*O515</f>
        <v>0</v>
      </c>
      <c r="AL515" s="437">
        <f>V515*P515</f>
        <v>0</v>
      </c>
      <c r="AM515" s="437">
        <f>W515</f>
        <v>3086</v>
      </c>
      <c r="AN515" s="437">
        <f>S515*O515</f>
        <v>341.40000000000003</v>
      </c>
      <c r="AO515" s="437">
        <f>S515*P515</f>
        <v>0</v>
      </c>
      <c r="AP515" s="437">
        <f>AG515</f>
        <v>3414</v>
      </c>
      <c r="AQ515" s="437">
        <f>AH515</f>
        <v>0</v>
      </c>
      <c r="AR515" s="436"/>
      <c r="AS515" s="437">
        <f>AP515+AQ515-AR515</f>
        <v>3414</v>
      </c>
    </row>
    <row r="516" spans="1:45" s="438" customFormat="1" ht="24.95" customHeight="1">
      <c r="A516" s="1134"/>
      <c r="B516" s="1134"/>
      <c r="C516" s="1139"/>
      <c r="D516" s="1134"/>
      <c r="E516" s="1172"/>
      <c r="F516" s="1134"/>
      <c r="G516" s="1112"/>
      <c r="H516" s="1112"/>
      <c r="I516" s="1112"/>
      <c r="J516" s="1112"/>
      <c r="K516" s="1112"/>
      <c r="L516" s="1112"/>
      <c r="M516" s="1112"/>
      <c r="N516" s="1112"/>
      <c r="O516" s="1112"/>
      <c r="P516" s="1112"/>
      <c r="Q516" s="1112"/>
      <c r="R516" s="1138"/>
      <c r="S516" s="1112"/>
      <c r="T516" s="1134"/>
      <c r="U516" s="1138"/>
      <c r="V516" s="1112"/>
      <c r="W516" s="1112"/>
      <c r="X516" s="1112"/>
      <c r="Y516" s="1112"/>
      <c r="Z516" s="1112"/>
      <c r="AA516" s="1109"/>
      <c r="AB516" s="1109"/>
      <c r="AC516" s="1112"/>
      <c r="AD516" s="1112"/>
      <c r="AE516" s="436">
        <f>G516*O516</f>
        <v>0</v>
      </c>
      <c r="AF516" s="436">
        <f>G516*P516</f>
        <v>0</v>
      </c>
      <c r="AG516" s="436">
        <f>N516*O516</f>
        <v>0</v>
      </c>
      <c r="AH516" s="436">
        <f>N516*P516</f>
        <v>0</v>
      </c>
      <c r="AI516" s="436">
        <f>AG516-AE516</f>
        <v>0</v>
      </c>
      <c r="AJ516" s="436">
        <f>AH516-AF516</f>
        <v>0</v>
      </c>
      <c r="AK516" s="437">
        <f>V516*O516</f>
        <v>0</v>
      </c>
      <c r="AL516" s="437">
        <f>V516*P516</f>
        <v>0</v>
      </c>
      <c r="AM516" s="437">
        <f>W516</f>
        <v>0</v>
      </c>
      <c r="AN516" s="437">
        <f>S516*O516</f>
        <v>0</v>
      </c>
      <c r="AO516" s="437">
        <f>S516*P516</f>
        <v>0</v>
      </c>
      <c r="AP516" s="437">
        <f>AG516</f>
        <v>0</v>
      </c>
      <c r="AQ516" s="437">
        <f>AH516</f>
        <v>0</v>
      </c>
      <c r="AR516" s="436"/>
      <c r="AS516" s="437">
        <f>AP516+AQ516-AR516</f>
        <v>0</v>
      </c>
    </row>
    <row r="517" spans="1:45" s="438" customFormat="1" ht="24.95" customHeight="1">
      <c r="A517" s="1134"/>
      <c r="B517" s="1134"/>
      <c r="C517" s="1139" t="s">
        <v>735</v>
      </c>
      <c r="D517" s="1134"/>
      <c r="E517" s="1134" t="s">
        <v>749</v>
      </c>
      <c r="F517" s="1134">
        <v>3</v>
      </c>
      <c r="G517" s="1112">
        <v>3414</v>
      </c>
      <c r="H517" s="1112"/>
      <c r="I517" s="1112"/>
      <c r="J517" s="1112"/>
      <c r="K517" s="1112"/>
      <c r="L517" s="1112"/>
      <c r="M517" s="1112"/>
      <c r="N517" s="1112">
        <f>G517+H518</f>
        <v>3414</v>
      </c>
      <c r="O517" s="1112">
        <v>1</v>
      </c>
      <c r="P517" s="1112"/>
      <c r="Q517" s="1112"/>
      <c r="R517" s="1138">
        <v>0.1</v>
      </c>
      <c r="S517" s="1112">
        <f>N517*R517</f>
        <v>341.40000000000003</v>
      </c>
      <c r="T517" s="1134"/>
      <c r="U517" s="1138"/>
      <c r="V517" s="1112"/>
      <c r="W517" s="1112">
        <f>AD517</f>
        <v>3086</v>
      </c>
      <c r="X517" s="1112">
        <f>(N517+V517+Q518+S517)*O517+W517</f>
        <v>6841.4</v>
      </c>
      <c r="Y517" s="1112"/>
      <c r="Z517" s="1112">
        <f>X517+Y517</f>
        <v>6841.4</v>
      </c>
      <c r="AA517" s="1109">
        <f t="shared" si="205"/>
        <v>6841.4</v>
      </c>
      <c r="AB517" s="1109">
        <f>AA517-X517</f>
        <v>0</v>
      </c>
      <c r="AC517" s="1112">
        <f>6500*O517</f>
        <v>6500</v>
      </c>
      <c r="AD517" s="1112">
        <f>AC517-(N517*O517)</f>
        <v>3086</v>
      </c>
      <c r="AE517" s="436">
        <f t="shared" si="185"/>
        <v>3414</v>
      </c>
      <c r="AF517" s="436">
        <f t="shared" si="186"/>
        <v>0</v>
      </c>
      <c r="AG517" s="436">
        <f t="shared" si="187"/>
        <v>3414</v>
      </c>
      <c r="AH517" s="436">
        <f t="shared" si="188"/>
        <v>0</v>
      </c>
      <c r="AI517" s="436">
        <f t="shared" si="189"/>
        <v>0</v>
      </c>
      <c r="AJ517" s="436">
        <f t="shared" si="189"/>
        <v>0</v>
      </c>
      <c r="AK517" s="437">
        <f t="shared" si="190"/>
        <v>0</v>
      </c>
      <c r="AL517" s="437">
        <f t="shared" si="191"/>
        <v>0</v>
      </c>
      <c r="AM517" s="437">
        <f t="shared" si="192"/>
        <v>3086</v>
      </c>
      <c r="AN517" s="437">
        <f t="shared" si="200"/>
        <v>341.40000000000003</v>
      </c>
      <c r="AO517" s="437">
        <f t="shared" si="201"/>
        <v>0</v>
      </c>
      <c r="AP517" s="437">
        <f t="shared" si="195"/>
        <v>3414</v>
      </c>
      <c r="AQ517" s="437">
        <f t="shared" si="195"/>
        <v>0</v>
      </c>
      <c r="AR517" s="436"/>
      <c r="AS517" s="437">
        <f t="shared" si="196"/>
        <v>3414</v>
      </c>
    </row>
    <row r="518" spans="1:45" s="438" customFormat="1" ht="24.95" customHeight="1">
      <c r="A518" s="1134"/>
      <c r="B518" s="1134"/>
      <c r="C518" s="1139"/>
      <c r="D518" s="1134"/>
      <c r="E518" s="1134"/>
      <c r="F518" s="1134"/>
      <c r="G518" s="1112"/>
      <c r="H518" s="1112"/>
      <c r="I518" s="1112"/>
      <c r="J518" s="1112"/>
      <c r="K518" s="1112"/>
      <c r="L518" s="1112"/>
      <c r="M518" s="1112"/>
      <c r="N518" s="1112"/>
      <c r="O518" s="1112"/>
      <c r="P518" s="1112"/>
      <c r="Q518" s="1112"/>
      <c r="R518" s="1138"/>
      <c r="S518" s="1112"/>
      <c r="T518" s="1134"/>
      <c r="U518" s="1138"/>
      <c r="V518" s="1112"/>
      <c r="W518" s="1112"/>
      <c r="X518" s="1112"/>
      <c r="Y518" s="1112"/>
      <c r="Z518" s="1112"/>
      <c r="AA518" s="1109"/>
      <c r="AB518" s="1109"/>
      <c r="AC518" s="1112"/>
      <c r="AD518" s="1112"/>
      <c r="AE518" s="436">
        <f t="shared" si="185"/>
        <v>0</v>
      </c>
      <c r="AF518" s="436">
        <f t="shared" si="186"/>
        <v>0</v>
      </c>
      <c r="AG518" s="436">
        <f t="shared" si="187"/>
        <v>0</v>
      </c>
      <c r="AH518" s="436">
        <f t="shared" si="188"/>
        <v>0</v>
      </c>
      <c r="AI518" s="436">
        <f t="shared" si="189"/>
        <v>0</v>
      </c>
      <c r="AJ518" s="436">
        <f t="shared" si="189"/>
        <v>0</v>
      </c>
      <c r="AK518" s="437">
        <f t="shared" si="190"/>
        <v>0</v>
      </c>
      <c r="AL518" s="437">
        <f t="shared" si="191"/>
        <v>0</v>
      </c>
      <c r="AM518" s="437">
        <f t="shared" si="192"/>
        <v>0</v>
      </c>
      <c r="AN518" s="437">
        <f t="shared" si="200"/>
        <v>0</v>
      </c>
      <c r="AO518" s="437">
        <f t="shared" si="201"/>
        <v>0</v>
      </c>
      <c r="AP518" s="437">
        <f t="shared" si="195"/>
        <v>0</v>
      </c>
      <c r="AQ518" s="437">
        <f t="shared" si="195"/>
        <v>0</v>
      </c>
      <c r="AR518" s="436"/>
      <c r="AS518" s="437">
        <f t="shared" si="196"/>
        <v>0</v>
      </c>
    </row>
    <row r="519" spans="1:45" s="438" customFormat="1" ht="24.95" customHeight="1">
      <c r="A519" s="1134"/>
      <c r="B519" s="1134"/>
      <c r="C519" s="1139" t="s">
        <v>735</v>
      </c>
      <c r="D519" s="1134"/>
      <c r="E519" s="1134" t="s">
        <v>761</v>
      </c>
      <c r="F519" s="1134">
        <v>3</v>
      </c>
      <c r="G519" s="1112">
        <v>3414</v>
      </c>
      <c r="H519" s="1112"/>
      <c r="I519" s="1112"/>
      <c r="J519" s="1112"/>
      <c r="K519" s="1112"/>
      <c r="L519" s="1140"/>
      <c r="M519" s="1140"/>
      <c r="N519" s="1112">
        <f>G519+I520</f>
        <v>3414</v>
      </c>
      <c r="O519" s="1112">
        <v>1</v>
      </c>
      <c r="P519" s="1112"/>
      <c r="Q519" s="1112"/>
      <c r="R519" s="1138">
        <v>0.1</v>
      </c>
      <c r="S519" s="1112">
        <f>N519*R519</f>
        <v>341.40000000000003</v>
      </c>
      <c r="T519" s="1134"/>
      <c r="U519" s="1138"/>
      <c r="V519" s="1112"/>
      <c r="W519" s="1112">
        <f>AD519</f>
        <v>3086</v>
      </c>
      <c r="X519" s="1112">
        <f>(N519+V519+Q520+S519)*O519+W519</f>
        <v>6841.4</v>
      </c>
      <c r="Y519" s="1112"/>
      <c r="Z519" s="1112">
        <f>X519+Y519</f>
        <v>6841.4</v>
      </c>
      <c r="AA519" s="1109">
        <f t="shared" si="205"/>
        <v>6841.4</v>
      </c>
      <c r="AB519" s="1109">
        <f>AA519-X519</f>
        <v>0</v>
      </c>
      <c r="AC519" s="1112">
        <f>6500*O519</f>
        <v>6500</v>
      </c>
      <c r="AD519" s="1112">
        <f>AC519-(N519*O519)</f>
        <v>3086</v>
      </c>
      <c r="AE519" s="436">
        <f t="shared" si="185"/>
        <v>3414</v>
      </c>
      <c r="AF519" s="436">
        <f t="shared" si="186"/>
        <v>0</v>
      </c>
      <c r="AG519" s="436">
        <f t="shared" si="187"/>
        <v>3414</v>
      </c>
      <c r="AH519" s="436">
        <f t="shared" si="188"/>
        <v>0</v>
      </c>
      <c r="AI519" s="436">
        <f t="shared" si="189"/>
        <v>0</v>
      </c>
      <c r="AJ519" s="436">
        <f t="shared" si="189"/>
        <v>0</v>
      </c>
      <c r="AK519" s="437">
        <f t="shared" si="190"/>
        <v>0</v>
      </c>
      <c r="AL519" s="437">
        <f t="shared" si="191"/>
        <v>0</v>
      </c>
      <c r="AM519" s="437">
        <f t="shared" si="192"/>
        <v>3086</v>
      </c>
      <c r="AN519" s="437">
        <f t="shared" si="200"/>
        <v>341.40000000000003</v>
      </c>
      <c r="AO519" s="437">
        <f t="shared" si="201"/>
        <v>0</v>
      </c>
      <c r="AP519" s="437">
        <f t="shared" si="195"/>
        <v>3414</v>
      </c>
      <c r="AQ519" s="437">
        <f t="shared" si="195"/>
        <v>0</v>
      </c>
      <c r="AR519" s="436"/>
      <c r="AS519" s="437">
        <f t="shared" si="196"/>
        <v>3414</v>
      </c>
    </row>
    <row r="520" spans="1:45" s="438" customFormat="1" ht="24.95" customHeight="1">
      <c r="A520" s="1134"/>
      <c r="B520" s="1134"/>
      <c r="C520" s="1139"/>
      <c r="D520" s="1134"/>
      <c r="E520" s="1134"/>
      <c r="F520" s="1134"/>
      <c r="G520" s="1112"/>
      <c r="H520" s="1112"/>
      <c r="I520" s="1112"/>
      <c r="J520" s="1112"/>
      <c r="K520" s="1112"/>
      <c r="L520" s="1140"/>
      <c r="M520" s="1140"/>
      <c r="N520" s="1112"/>
      <c r="O520" s="1112"/>
      <c r="P520" s="1112"/>
      <c r="Q520" s="1112"/>
      <c r="R520" s="1138"/>
      <c r="S520" s="1112"/>
      <c r="T520" s="1134"/>
      <c r="U520" s="1138"/>
      <c r="V520" s="1112"/>
      <c r="W520" s="1112"/>
      <c r="X520" s="1112"/>
      <c r="Y520" s="1112"/>
      <c r="Z520" s="1112"/>
      <c r="AA520" s="1109"/>
      <c r="AB520" s="1109"/>
      <c r="AC520" s="1112"/>
      <c r="AD520" s="1112"/>
      <c r="AE520" s="436">
        <f t="shared" si="185"/>
        <v>0</v>
      </c>
      <c r="AF520" s="436">
        <f t="shared" si="186"/>
        <v>0</v>
      </c>
      <c r="AG520" s="436">
        <f t="shared" si="187"/>
        <v>0</v>
      </c>
      <c r="AH520" s="436">
        <f t="shared" si="188"/>
        <v>0</v>
      </c>
      <c r="AI520" s="436">
        <f t="shared" si="189"/>
        <v>0</v>
      </c>
      <c r="AJ520" s="436">
        <f t="shared" si="189"/>
        <v>0</v>
      </c>
      <c r="AK520" s="437">
        <f t="shared" si="190"/>
        <v>0</v>
      </c>
      <c r="AL520" s="437">
        <f t="shared" si="191"/>
        <v>0</v>
      </c>
      <c r="AM520" s="437">
        <f t="shared" si="192"/>
        <v>0</v>
      </c>
      <c r="AN520" s="437">
        <f t="shared" si="200"/>
        <v>0</v>
      </c>
      <c r="AO520" s="437">
        <f t="shared" si="201"/>
        <v>0</v>
      </c>
      <c r="AP520" s="437">
        <f t="shared" si="195"/>
        <v>0</v>
      </c>
      <c r="AQ520" s="437">
        <f t="shared" si="195"/>
        <v>0</v>
      </c>
      <c r="AR520" s="436"/>
      <c r="AS520" s="437">
        <f t="shared" si="196"/>
        <v>0</v>
      </c>
    </row>
    <row r="521" spans="1:45" s="446" customFormat="1" ht="24.95" customHeight="1">
      <c r="A521" s="441"/>
      <c r="B521" s="441"/>
      <c r="C521" s="442" t="s">
        <v>318</v>
      </c>
      <c r="D521" s="443"/>
      <c r="E521" s="441"/>
      <c r="F521" s="441"/>
      <c r="G521" s="444">
        <f>SUM(G509:G520)</f>
        <v>20484</v>
      </c>
      <c r="H521" s="441"/>
      <c r="I521" s="441"/>
      <c r="J521" s="441"/>
      <c r="K521" s="441"/>
      <c r="L521" s="441"/>
      <c r="M521" s="441"/>
      <c r="N521" s="444">
        <f>SUM(N509:N520)</f>
        <v>20484</v>
      </c>
      <c r="O521" s="444">
        <f>SUM(O509:O520)</f>
        <v>6</v>
      </c>
      <c r="P521" s="444">
        <f>SUM(P509:P520)</f>
        <v>0</v>
      </c>
      <c r="Q521" s="451"/>
      <c r="R521" s="444"/>
      <c r="S521" s="444">
        <f>SUM(S509:S520)</f>
        <v>2048.4</v>
      </c>
      <c r="T521" s="444"/>
      <c r="U521" s="444"/>
      <c r="V521" s="444"/>
      <c r="W521" s="444">
        <f t="shared" ref="W521:AD521" si="206">SUM(W509:W520)</f>
        <v>18516</v>
      </c>
      <c r="X521" s="444">
        <f t="shared" si="206"/>
        <v>41048.400000000001</v>
      </c>
      <c r="Y521" s="444">
        <f t="shared" si="206"/>
        <v>0</v>
      </c>
      <c r="Z521" s="444">
        <f t="shared" si="206"/>
        <v>41048.400000000001</v>
      </c>
      <c r="AA521" s="499">
        <f t="shared" si="206"/>
        <v>41048.400000000001</v>
      </c>
      <c r="AB521" s="499">
        <f t="shared" si="206"/>
        <v>0</v>
      </c>
      <c r="AC521" s="444">
        <f t="shared" si="206"/>
        <v>39000</v>
      </c>
      <c r="AD521" s="444">
        <f t="shared" si="206"/>
        <v>18516</v>
      </c>
      <c r="AE521" s="436"/>
      <c r="AF521" s="436"/>
      <c r="AG521" s="436"/>
      <c r="AH521" s="436"/>
      <c r="AI521" s="436"/>
      <c r="AJ521" s="436"/>
      <c r="AK521" s="437"/>
      <c r="AL521" s="437"/>
      <c r="AM521" s="437"/>
      <c r="AN521" s="437"/>
      <c r="AO521" s="437"/>
      <c r="AP521" s="437">
        <f t="shared" si="195"/>
        <v>0</v>
      </c>
      <c r="AQ521" s="437">
        <f t="shared" si="195"/>
        <v>0</v>
      </c>
      <c r="AR521" s="436"/>
      <c r="AS521" s="437">
        <f t="shared" si="196"/>
        <v>0</v>
      </c>
    </row>
    <row r="522" spans="1:45" s="456" customFormat="1" ht="24.95" customHeight="1">
      <c r="A522" s="455"/>
      <c r="B522" s="455"/>
      <c r="C522" s="1135" t="s">
        <v>528</v>
      </c>
      <c r="D522" s="1135"/>
      <c r="E522" s="455"/>
      <c r="F522" s="455"/>
      <c r="G522" s="455"/>
      <c r="H522" s="455"/>
      <c r="I522" s="455"/>
      <c r="J522" s="455"/>
      <c r="K522" s="455"/>
      <c r="L522" s="455"/>
      <c r="M522" s="455"/>
      <c r="N522" s="455"/>
      <c r="O522" s="455"/>
      <c r="P522" s="455"/>
      <c r="Q522" s="455"/>
      <c r="R522" s="455"/>
      <c r="S522" s="455"/>
      <c r="T522" s="455"/>
      <c r="U522" s="455"/>
      <c r="V522" s="455"/>
      <c r="W522" s="455"/>
      <c r="X522" s="455"/>
      <c r="Y522" s="455"/>
      <c r="Z522" s="455"/>
      <c r="AA522" s="504"/>
      <c r="AB522" s="504"/>
      <c r="AC522" s="455"/>
      <c r="AD522" s="455"/>
      <c r="AE522" s="436">
        <f t="shared" si="185"/>
        <v>0</v>
      </c>
      <c r="AF522" s="436">
        <f t="shared" si="186"/>
        <v>0</v>
      </c>
      <c r="AG522" s="436">
        <f t="shared" si="187"/>
        <v>0</v>
      </c>
      <c r="AH522" s="436">
        <f t="shared" si="188"/>
        <v>0</v>
      </c>
      <c r="AI522" s="436">
        <f t="shared" si="189"/>
        <v>0</v>
      </c>
      <c r="AJ522" s="436">
        <f t="shared" si="189"/>
        <v>0</v>
      </c>
      <c r="AK522" s="437">
        <f t="shared" si="190"/>
        <v>0</v>
      </c>
      <c r="AL522" s="437">
        <f t="shared" si="191"/>
        <v>0</v>
      </c>
      <c r="AM522" s="437">
        <f t="shared" si="192"/>
        <v>0</v>
      </c>
      <c r="AN522" s="437">
        <f t="shared" si="200"/>
        <v>0</v>
      </c>
      <c r="AO522" s="437">
        <f t="shared" si="201"/>
        <v>0</v>
      </c>
      <c r="AP522" s="437">
        <f t="shared" si="195"/>
        <v>0</v>
      </c>
      <c r="AQ522" s="437">
        <f t="shared" si="195"/>
        <v>0</v>
      </c>
      <c r="AR522" s="436"/>
      <c r="AS522" s="437">
        <f t="shared" si="196"/>
        <v>0</v>
      </c>
    </row>
    <row r="523" spans="1:45" s="438" customFormat="1" ht="24.95" customHeight="1">
      <c r="A523" s="1134"/>
      <c r="B523" s="1134"/>
      <c r="C523" s="1139"/>
      <c r="D523" s="1134"/>
      <c r="E523" s="1134"/>
      <c r="F523" s="1134"/>
      <c r="G523" s="1112"/>
      <c r="H523" s="1112"/>
      <c r="I523" s="1112"/>
      <c r="J523" s="1112"/>
      <c r="K523" s="1112"/>
      <c r="L523" s="435"/>
      <c r="M523" s="1112"/>
      <c r="N523" s="1112"/>
      <c r="O523" s="1112"/>
      <c r="P523" s="1112"/>
      <c r="Q523" s="1112"/>
      <c r="R523" s="1138"/>
      <c r="S523" s="1112"/>
      <c r="T523" s="1134"/>
      <c r="U523" s="1138"/>
      <c r="V523" s="1112"/>
      <c r="W523" s="1112"/>
      <c r="X523" s="1112"/>
      <c r="Y523" s="1112"/>
      <c r="Z523" s="1112">
        <f>X523+Y523</f>
        <v>0</v>
      </c>
      <c r="AA523" s="1109">
        <f>Z523</f>
        <v>0</v>
      </c>
      <c r="AB523" s="1109">
        <f>AA523-X523</f>
        <v>0</v>
      </c>
      <c r="AC523" s="1112">
        <f>6500*O523</f>
        <v>0</v>
      </c>
      <c r="AD523" s="1112">
        <f>AC523-(N523*O523)</f>
        <v>0</v>
      </c>
      <c r="AE523" s="436">
        <f>G523*O523</f>
        <v>0</v>
      </c>
      <c r="AF523" s="436">
        <f>G523*P523</f>
        <v>0</v>
      </c>
      <c r="AG523" s="436">
        <f>N523*O523</f>
        <v>0</v>
      </c>
      <c r="AH523" s="436">
        <f>N523*P523</f>
        <v>0</v>
      </c>
      <c r="AI523" s="436">
        <f>AG523-AE523</f>
        <v>0</v>
      </c>
      <c r="AJ523" s="436">
        <f>AH523-AF523</f>
        <v>0</v>
      </c>
      <c r="AK523" s="437">
        <f>V523*O523</f>
        <v>0</v>
      </c>
      <c r="AL523" s="437">
        <f>V523*P523</f>
        <v>0</v>
      </c>
      <c r="AM523" s="437">
        <f>W523</f>
        <v>0</v>
      </c>
      <c r="AN523" s="437">
        <f>S523*O523</f>
        <v>0</v>
      </c>
      <c r="AO523" s="437">
        <f>S523*P523</f>
        <v>0</v>
      </c>
      <c r="AP523" s="437">
        <f>AG523</f>
        <v>0</v>
      </c>
      <c r="AQ523" s="437">
        <f>AH523</f>
        <v>0</v>
      </c>
      <c r="AR523" s="436"/>
      <c r="AS523" s="437">
        <f>AP523+AQ523-AR523</f>
        <v>0</v>
      </c>
    </row>
    <row r="524" spans="1:45" s="438" customFormat="1" ht="24.95" customHeight="1">
      <c r="A524" s="1134"/>
      <c r="B524" s="1134"/>
      <c r="C524" s="1139"/>
      <c r="D524" s="1134"/>
      <c r="E524" s="1134"/>
      <c r="F524" s="1134"/>
      <c r="G524" s="1112"/>
      <c r="H524" s="1112"/>
      <c r="I524" s="1112"/>
      <c r="J524" s="1112"/>
      <c r="K524" s="1112"/>
      <c r="L524" s="439"/>
      <c r="M524" s="1112"/>
      <c r="N524" s="1112"/>
      <c r="O524" s="1112"/>
      <c r="P524" s="1112"/>
      <c r="Q524" s="1112"/>
      <c r="R524" s="1138"/>
      <c r="S524" s="1112"/>
      <c r="T524" s="1134"/>
      <c r="U524" s="1138"/>
      <c r="V524" s="1112"/>
      <c r="W524" s="1112"/>
      <c r="X524" s="1112"/>
      <c r="Y524" s="1112"/>
      <c r="Z524" s="1112"/>
      <c r="AA524" s="1109"/>
      <c r="AB524" s="1109"/>
      <c r="AC524" s="1112"/>
      <c r="AD524" s="1112"/>
      <c r="AE524" s="436">
        <f>G524*O524</f>
        <v>0</v>
      </c>
      <c r="AF524" s="436">
        <f>G524*P524</f>
        <v>0</v>
      </c>
      <c r="AG524" s="436">
        <f>N524*O524</f>
        <v>0</v>
      </c>
      <c r="AH524" s="436">
        <f>N524*P524</f>
        <v>0</v>
      </c>
      <c r="AI524" s="436">
        <f>AG524-AE524</f>
        <v>0</v>
      </c>
      <c r="AJ524" s="436">
        <f>AH524-AF524</f>
        <v>0</v>
      </c>
      <c r="AK524" s="437">
        <f>V524*O524</f>
        <v>0</v>
      </c>
      <c r="AL524" s="437">
        <f>V524*P524</f>
        <v>0</v>
      </c>
      <c r="AM524" s="437">
        <f>W524</f>
        <v>0</v>
      </c>
      <c r="AN524" s="437">
        <f>S524*O524</f>
        <v>0</v>
      </c>
      <c r="AO524" s="437">
        <f>S524*P524</f>
        <v>0</v>
      </c>
      <c r="AP524" s="437">
        <f>AG524</f>
        <v>0</v>
      </c>
      <c r="AQ524" s="437">
        <f>AH524</f>
        <v>0</v>
      </c>
      <c r="AR524" s="436"/>
      <c r="AS524" s="437">
        <f>AP524+AQ524-AR524</f>
        <v>0</v>
      </c>
    </row>
    <row r="525" spans="1:45" s="446" customFormat="1" ht="24.95" customHeight="1">
      <c r="A525" s="441"/>
      <c r="B525" s="441"/>
      <c r="C525" s="442" t="s">
        <v>318</v>
      </c>
      <c r="D525" s="443"/>
      <c r="E525" s="441"/>
      <c r="F525" s="441"/>
      <c r="G525" s="444">
        <f>SUM(G523:G524)</f>
        <v>0</v>
      </c>
      <c r="H525" s="441"/>
      <c r="I525" s="441"/>
      <c r="J525" s="441"/>
      <c r="K525" s="441"/>
      <c r="L525" s="451">
        <f>L524</f>
        <v>0</v>
      </c>
      <c r="M525" s="441"/>
      <c r="N525" s="444">
        <f>SUM(N523:N524)</f>
        <v>0</v>
      </c>
      <c r="O525" s="444">
        <f>SUM(O523:O524)</f>
        <v>0</v>
      </c>
      <c r="P525" s="444">
        <f>SUM(P523:P524)</f>
        <v>0</v>
      </c>
      <c r="Q525" s="444"/>
      <c r="R525" s="444"/>
      <c r="S525" s="444">
        <f>SUM(S523:S524)</f>
        <v>0</v>
      </c>
      <c r="T525" s="444"/>
      <c r="U525" s="444"/>
      <c r="V525" s="444"/>
      <c r="W525" s="444">
        <f t="shared" ref="W525:AD525" si="207">SUM(W523:W524)</f>
        <v>0</v>
      </c>
      <c r="X525" s="444">
        <f t="shared" si="207"/>
        <v>0</v>
      </c>
      <c r="Y525" s="444">
        <f t="shared" si="207"/>
        <v>0</v>
      </c>
      <c r="Z525" s="444">
        <f t="shared" si="207"/>
        <v>0</v>
      </c>
      <c r="AA525" s="499">
        <f t="shared" si="207"/>
        <v>0</v>
      </c>
      <c r="AB525" s="499">
        <f t="shared" si="207"/>
        <v>0</v>
      </c>
      <c r="AC525" s="444">
        <f t="shared" si="207"/>
        <v>0</v>
      </c>
      <c r="AD525" s="444">
        <f t="shared" si="207"/>
        <v>0</v>
      </c>
      <c r="AE525" s="436"/>
      <c r="AF525" s="436"/>
      <c r="AG525" s="436"/>
      <c r="AH525" s="436"/>
      <c r="AI525" s="436"/>
      <c r="AJ525" s="436"/>
      <c r="AK525" s="437"/>
      <c r="AL525" s="437"/>
      <c r="AM525" s="437"/>
      <c r="AN525" s="437"/>
      <c r="AO525" s="437"/>
      <c r="AP525" s="437">
        <f t="shared" si="195"/>
        <v>0</v>
      </c>
      <c r="AQ525" s="437">
        <f t="shared" si="195"/>
        <v>0</v>
      </c>
      <c r="AR525" s="436"/>
      <c r="AS525" s="437">
        <f t="shared" si="196"/>
        <v>0</v>
      </c>
    </row>
    <row r="526" spans="1:45" s="456" customFormat="1" ht="24.95" customHeight="1">
      <c r="A526" s="455"/>
      <c r="B526" s="455"/>
      <c r="C526" s="1135" t="s">
        <v>688</v>
      </c>
      <c r="D526" s="1135"/>
      <c r="E526" s="455"/>
      <c r="F526" s="455"/>
      <c r="G526" s="455"/>
      <c r="H526" s="455"/>
      <c r="I526" s="455"/>
      <c r="J526" s="455"/>
      <c r="K526" s="455"/>
      <c r="L526" s="455"/>
      <c r="M526" s="455"/>
      <c r="N526" s="455"/>
      <c r="O526" s="455"/>
      <c r="P526" s="455"/>
      <c r="Q526" s="455"/>
      <c r="R526" s="455"/>
      <c r="S526" s="455"/>
      <c r="T526" s="455"/>
      <c r="U526" s="455"/>
      <c r="V526" s="455"/>
      <c r="W526" s="455"/>
      <c r="X526" s="455"/>
      <c r="Y526" s="455"/>
      <c r="Z526" s="455"/>
      <c r="AA526" s="504"/>
      <c r="AB526" s="504"/>
      <c r="AC526" s="455"/>
      <c r="AD526" s="455"/>
      <c r="AE526" s="436">
        <f t="shared" ref="AE526:AE563" si="208">G526*O526</f>
        <v>0</v>
      </c>
      <c r="AF526" s="436">
        <f t="shared" ref="AF526:AF563" si="209">G526*P526</f>
        <v>0</v>
      </c>
      <c r="AG526" s="436">
        <f t="shared" ref="AG526:AG563" si="210">N526*O526</f>
        <v>0</v>
      </c>
      <c r="AH526" s="436">
        <f t="shared" ref="AH526:AH563" si="211">N526*P526</f>
        <v>0</v>
      </c>
      <c r="AI526" s="436">
        <f t="shared" ref="AI526:AJ563" si="212">AG526-AE526</f>
        <v>0</v>
      </c>
      <c r="AJ526" s="436">
        <f t="shared" si="212"/>
        <v>0</v>
      </c>
      <c r="AK526" s="437">
        <f t="shared" ref="AK526:AK563" si="213">V526*O526</f>
        <v>0</v>
      </c>
      <c r="AL526" s="437">
        <f t="shared" ref="AL526:AL563" si="214">V526*P526</f>
        <v>0</v>
      </c>
      <c r="AM526" s="437">
        <f t="shared" ref="AM526:AM563" si="215">W526</f>
        <v>0</v>
      </c>
      <c r="AN526" s="437">
        <f t="shared" si="200"/>
        <v>0</v>
      </c>
      <c r="AO526" s="437">
        <f t="shared" si="201"/>
        <v>0</v>
      </c>
      <c r="AP526" s="437">
        <f t="shared" si="195"/>
        <v>0</v>
      </c>
      <c r="AQ526" s="437">
        <f t="shared" si="195"/>
        <v>0</v>
      </c>
      <c r="AR526" s="436"/>
      <c r="AS526" s="437">
        <f t="shared" si="196"/>
        <v>0</v>
      </c>
    </row>
    <row r="527" spans="1:45" s="438" customFormat="1" ht="24.95" customHeight="1">
      <c r="A527" s="1134"/>
      <c r="B527" s="1134"/>
      <c r="C527" s="1139" t="s">
        <v>767</v>
      </c>
      <c r="D527" s="1134"/>
      <c r="E527" s="1134"/>
      <c r="F527" s="1134"/>
      <c r="G527" s="1112"/>
      <c r="H527" s="1112"/>
      <c r="I527" s="1112"/>
      <c r="J527" s="1112"/>
      <c r="K527" s="1112"/>
      <c r="L527" s="1112"/>
      <c r="M527" s="1112"/>
      <c r="N527" s="1112"/>
      <c r="O527" s="1112"/>
      <c r="P527" s="1112"/>
      <c r="Q527" s="1112"/>
      <c r="R527" s="1138">
        <v>0.1</v>
      </c>
      <c r="S527" s="1112">
        <f>N527*R527</f>
        <v>0</v>
      </c>
      <c r="T527" s="1134"/>
      <c r="U527" s="1138"/>
      <c r="V527" s="1112"/>
      <c r="W527" s="1112">
        <f>AD527</f>
        <v>0</v>
      </c>
      <c r="X527" s="1112">
        <f>(N527+V527+Q528+S527)*O527+W527</f>
        <v>0</v>
      </c>
      <c r="Y527" s="1112"/>
      <c r="Z527" s="1112">
        <f>X527+Y527</f>
        <v>0</v>
      </c>
      <c r="AA527" s="1109">
        <f t="shared" ref="AA527:AA533" si="216">Z527</f>
        <v>0</v>
      </c>
      <c r="AB527" s="1109">
        <f>AA527-X527</f>
        <v>0</v>
      </c>
      <c r="AC527" s="1112">
        <f>6500*O527</f>
        <v>0</v>
      </c>
      <c r="AD527" s="1112">
        <f>AC527-(N527*O527)</f>
        <v>0</v>
      </c>
      <c r="AE527" s="436">
        <f t="shared" si="208"/>
        <v>0</v>
      </c>
      <c r="AF527" s="436">
        <f t="shared" si="209"/>
        <v>0</v>
      </c>
      <c r="AG527" s="436">
        <f t="shared" si="210"/>
        <v>0</v>
      </c>
      <c r="AH527" s="436">
        <f t="shared" si="211"/>
        <v>0</v>
      </c>
      <c r="AI527" s="436">
        <f t="shared" si="212"/>
        <v>0</v>
      </c>
      <c r="AJ527" s="436">
        <f t="shared" si="212"/>
        <v>0</v>
      </c>
      <c r="AK527" s="437">
        <f t="shared" si="213"/>
        <v>0</v>
      </c>
      <c r="AL527" s="437">
        <f t="shared" si="214"/>
        <v>0</v>
      </c>
      <c r="AM527" s="437">
        <f t="shared" si="215"/>
        <v>0</v>
      </c>
      <c r="AN527" s="437">
        <f t="shared" si="200"/>
        <v>0</v>
      </c>
      <c r="AO527" s="437">
        <f t="shared" si="201"/>
        <v>0</v>
      </c>
      <c r="AP527" s="437">
        <f t="shared" ref="AP527:AQ569" si="217">AG527</f>
        <v>0</v>
      </c>
      <c r="AQ527" s="437">
        <f t="shared" si="217"/>
        <v>0</v>
      </c>
      <c r="AR527" s="436"/>
      <c r="AS527" s="437">
        <f t="shared" si="196"/>
        <v>0</v>
      </c>
    </row>
    <row r="528" spans="1:45" s="438" customFormat="1" ht="24.95" customHeight="1">
      <c r="A528" s="1134"/>
      <c r="B528" s="1134"/>
      <c r="C528" s="1139"/>
      <c r="D528" s="1134"/>
      <c r="E528" s="1134"/>
      <c r="F528" s="1134"/>
      <c r="G528" s="1112"/>
      <c r="H528" s="1112"/>
      <c r="I528" s="1112"/>
      <c r="J528" s="1112"/>
      <c r="K528" s="1112"/>
      <c r="L528" s="1112"/>
      <c r="M528" s="1112"/>
      <c r="N528" s="1112"/>
      <c r="O528" s="1112"/>
      <c r="P528" s="1112"/>
      <c r="Q528" s="1112"/>
      <c r="R528" s="1138"/>
      <c r="S528" s="1112"/>
      <c r="T528" s="1134"/>
      <c r="U528" s="1138"/>
      <c r="V528" s="1112"/>
      <c r="W528" s="1112"/>
      <c r="X528" s="1112"/>
      <c r="Y528" s="1112"/>
      <c r="Z528" s="1112"/>
      <c r="AA528" s="1109"/>
      <c r="AB528" s="1109"/>
      <c r="AC528" s="1112"/>
      <c r="AD528" s="1112"/>
      <c r="AE528" s="436">
        <f t="shared" si="208"/>
        <v>0</v>
      </c>
      <c r="AF528" s="436">
        <f t="shared" si="209"/>
        <v>0</v>
      </c>
      <c r="AG528" s="436">
        <f t="shared" si="210"/>
        <v>0</v>
      </c>
      <c r="AH528" s="436">
        <f t="shared" si="211"/>
        <v>0</v>
      </c>
      <c r="AI528" s="436">
        <f t="shared" si="212"/>
        <v>0</v>
      </c>
      <c r="AJ528" s="436">
        <f t="shared" si="212"/>
        <v>0</v>
      </c>
      <c r="AK528" s="437">
        <f t="shared" si="213"/>
        <v>0</v>
      </c>
      <c r="AL528" s="437">
        <f t="shared" si="214"/>
        <v>0</v>
      </c>
      <c r="AM528" s="437">
        <f t="shared" si="215"/>
        <v>0</v>
      </c>
      <c r="AN528" s="437">
        <f t="shared" si="200"/>
        <v>0</v>
      </c>
      <c r="AO528" s="437">
        <f t="shared" si="201"/>
        <v>0</v>
      </c>
      <c r="AP528" s="437">
        <f t="shared" si="217"/>
        <v>0</v>
      </c>
      <c r="AQ528" s="437">
        <f t="shared" si="217"/>
        <v>0</v>
      </c>
      <c r="AR528" s="436"/>
      <c r="AS528" s="437">
        <f t="shared" si="196"/>
        <v>0</v>
      </c>
    </row>
    <row r="529" spans="1:45" s="438" customFormat="1" ht="24.95" customHeight="1">
      <c r="A529" s="1134"/>
      <c r="B529" s="1134"/>
      <c r="C529" s="1139" t="s">
        <v>767</v>
      </c>
      <c r="D529" s="1134"/>
      <c r="E529" s="1134" t="s">
        <v>768</v>
      </c>
      <c r="F529" s="1134">
        <v>4</v>
      </c>
      <c r="G529" s="1112">
        <v>3674</v>
      </c>
      <c r="H529" s="1112"/>
      <c r="I529" s="1112"/>
      <c r="J529" s="1112"/>
      <c r="K529" s="1112"/>
      <c r="L529" s="1112"/>
      <c r="M529" s="1112"/>
      <c r="N529" s="1112">
        <f>G529+H530+L530</f>
        <v>3674</v>
      </c>
      <c r="O529" s="1112">
        <v>1</v>
      </c>
      <c r="P529" s="1112"/>
      <c r="Q529" s="1112"/>
      <c r="R529" s="1138">
        <v>0.1</v>
      </c>
      <c r="S529" s="1112">
        <f>N529*R529</f>
        <v>367.40000000000003</v>
      </c>
      <c r="T529" s="1134"/>
      <c r="U529" s="1138"/>
      <c r="V529" s="1112"/>
      <c r="W529" s="1112">
        <f>AD529</f>
        <v>2826</v>
      </c>
      <c r="X529" s="1112">
        <f>(N529+V529+Q530+S529)*O529+W529</f>
        <v>6867.4</v>
      </c>
      <c r="Y529" s="1112"/>
      <c r="Z529" s="1112">
        <f>X529+Y529</f>
        <v>6867.4</v>
      </c>
      <c r="AA529" s="1109">
        <f t="shared" si="216"/>
        <v>6867.4</v>
      </c>
      <c r="AB529" s="1109">
        <f>AA529-X529</f>
        <v>0</v>
      </c>
      <c r="AC529" s="1112">
        <f>6500*O529</f>
        <v>6500</v>
      </c>
      <c r="AD529" s="1112">
        <f>AC529-(N529*O529)</f>
        <v>2826</v>
      </c>
      <c r="AE529" s="436">
        <f>G529*O529</f>
        <v>3674</v>
      </c>
      <c r="AF529" s="436">
        <f>G529*P529</f>
        <v>0</v>
      </c>
      <c r="AG529" s="436">
        <f>N529*O529</f>
        <v>3674</v>
      </c>
      <c r="AH529" s="436">
        <f>N529*P529</f>
        <v>0</v>
      </c>
      <c r="AI529" s="436">
        <f t="shared" si="212"/>
        <v>0</v>
      </c>
      <c r="AJ529" s="436">
        <f t="shared" si="212"/>
        <v>0</v>
      </c>
      <c r="AK529" s="437">
        <f>V529*O529</f>
        <v>0</v>
      </c>
      <c r="AL529" s="437">
        <f>V529*P529</f>
        <v>0</v>
      </c>
      <c r="AM529" s="437">
        <f>W529</f>
        <v>2826</v>
      </c>
      <c r="AN529" s="437">
        <f>S529*O529</f>
        <v>367.40000000000003</v>
      </c>
      <c r="AO529" s="437">
        <f>S529*P529</f>
        <v>0</v>
      </c>
      <c r="AP529" s="437">
        <f t="shared" si="217"/>
        <v>3674</v>
      </c>
      <c r="AQ529" s="437">
        <f t="shared" si="217"/>
        <v>0</v>
      </c>
      <c r="AR529" s="436"/>
      <c r="AS529" s="437">
        <f>AP529+AQ529-AR529</f>
        <v>3674</v>
      </c>
    </row>
    <row r="530" spans="1:45" s="438" customFormat="1" ht="24.95" customHeight="1">
      <c r="A530" s="1134"/>
      <c r="B530" s="1134"/>
      <c r="C530" s="1139"/>
      <c r="D530" s="1134"/>
      <c r="E530" s="1134"/>
      <c r="F530" s="1134"/>
      <c r="G530" s="1112"/>
      <c r="H530" s="1112"/>
      <c r="I530" s="1112"/>
      <c r="J530" s="1112"/>
      <c r="K530" s="1112"/>
      <c r="L530" s="1112"/>
      <c r="M530" s="1112"/>
      <c r="N530" s="1112"/>
      <c r="O530" s="1112"/>
      <c r="P530" s="1112"/>
      <c r="Q530" s="1112"/>
      <c r="R530" s="1138"/>
      <c r="S530" s="1112"/>
      <c r="T530" s="1134"/>
      <c r="U530" s="1138"/>
      <c r="V530" s="1112"/>
      <c r="W530" s="1112"/>
      <c r="X530" s="1112"/>
      <c r="Y530" s="1112"/>
      <c r="Z530" s="1112"/>
      <c r="AA530" s="1109"/>
      <c r="AB530" s="1109"/>
      <c r="AC530" s="1112"/>
      <c r="AD530" s="1112"/>
      <c r="AE530" s="436">
        <f>G530*O530</f>
        <v>0</v>
      </c>
      <c r="AF530" s="436">
        <f>G530*P530</f>
        <v>0</v>
      </c>
      <c r="AG530" s="436">
        <f>N530*O530</f>
        <v>0</v>
      </c>
      <c r="AH530" s="436">
        <f>N530*P530</f>
        <v>0</v>
      </c>
      <c r="AI530" s="436">
        <f t="shared" si="212"/>
        <v>0</v>
      </c>
      <c r="AJ530" s="436">
        <f t="shared" si="212"/>
        <v>0</v>
      </c>
      <c r="AK530" s="437">
        <f>V530*O530</f>
        <v>0</v>
      </c>
      <c r="AL530" s="437">
        <f>V530*P530</f>
        <v>0</v>
      </c>
      <c r="AM530" s="437">
        <f>W530</f>
        <v>0</v>
      </c>
      <c r="AN530" s="437">
        <f>S530*O530</f>
        <v>0</v>
      </c>
      <c r="AO530" s="437">
        <f>S530*P530</f>
        <v>0</v>
      </c>
      <c r="AP530" s="437">
        <f t="shared" si="217"/>
        <v>0</v>
      </c>
      <c r="AQ530" s="437">
        <f t="shared" si="217"/>
        <v>0</v>
      </c>
      <c r="AR530" s="436"/>
      <c r="AS530" s="437">
        <f>AP530+AQ530-AR530</f>
        <v>0</v>
      </c>
    </row>
    <row r="531" spans="1:45" s="438" customFormat="1" ht="24.95" customHeight="1">
      <c r="A531" s="1134"/>
      <c r="B531" s="1134"/>
      <c r="C531" s="1139" t="s">
        <v>767</v>
      </c>
      <c r="D531" s="1134"/>
      <c r="E531" s="1134" t="s">
        <v>769</v>
      </c>
      <c r="F531" s="1134">
        <v>4</v>
      </c>
      <c r="G531" s="1112">
        <v>3674</v>
      </c>
      <c r="H531" s="1112"/>
      <c r="I531" s="1112"/>
      <c r="J531" s="1112"/>
      <c r="K531" s="1112"/>
      <c r="L531" s="1112"/>
      <c r="M531" s="1112"/>
      <c r="N531" s="1112">
        <f>G531+H532+L532</f>
        <v>3674</v>
      </c>
      <c r="O531" s="1112">
        <v>1</v>
      </c>
      <c r="P531" s="1112"/>
      <c r="Q531" s="1112"/>
      <c r="R531" s="1138">
        <v>0.1</v>
      </c>
      <c r="S531" s="1112">
        <f>N531*R531</f>
        <v>367.40000000000003</v>
      </c>
      <c r="T531" s="1134"/>
      <c r="U531" s="1138"/>
      <c r="V531" s="1112"/>
      <c r="W531" s="1112">
        <f>AD531</f>
        <v>2826</v>
      </c>
      <c r="X531" s="1112">
        <f>(N531+V531+Q532+S531)*O531+W531</f>
        <v>6867.4</v>
      </c>
      <c r="Y531" s="1112"/>
      <c r="Z531" s="1112">
        <f>X531+Y531</f>
        <v>6867.4</v>
      </c>
      <c r="AA531" s="1109">
        <f t="shared" si="216"/>
        <v>6867.4</v>
      </c>
      <c r="AB531" s="1109">
        <f>AA531-X531</f>
        <v>0</v>
      </c>
      <c r="AC531" s="1112">
        <f>6500*O531</f>
        <v>6500</v>
      </c>
      <c r="AD531" s="1112">
        <f>AC531-(N531*O531)</f>
        <v>2826</v>
      </c>
      <c r="AE531" s="436">
        <f>G531*O531</f>
        <v>3674</v>
      </c>
      <c r="AF531" s="436">
        <f>G531*P531</f>
        <v>0</v>
      </c>
      <c r="AG531" s="436">
        <f>N531*O531</f>
        <v>3674</v>
      </c>
      <c r="AH531" s="436">
        <f>N531*P531</f>
        <v>0</v>
      </c>
      <c r="AI531" s="436">
        <f t="shared" si="212"/>
        <v>0</v>
      </c>
      <c r="AJ531" s="436">
        <f t="shared" si="212"/>
        <v>0</v>
      </c>
      <c r="AK531" s="437">
        <f>V531*O531</f>
        <v>0</v>
      </c>
      <c r="AL531" s="437">
        <f>V531*P531</f>
        <v>0</v>
      </c>
      <c r="AM531" s="437">
        <f>W531</f>
        <v>2826</v>
      </c>
      <c r="AN531" s="437">
        <f>S531*O531</f>
        <v>367.40000000000003</v>
      </c>
      <c r="AO531" s="437">
        <f>S531*P531</f>
        <v>0</v>
      </c>
      <c r="AP531" s="437">
        <f t="shared" si="217"/>
        <v>3674</v>
      </c>
      <c r="AQ531" s="437">
        <f t="shared" si="217"/>
        <v>0</v>
      </c>
      <c r="AR531" s="436"/>
      <c r="AS531" s="437">
        <f>AP531+AQ531-AR531</f>
        <v>3674</v>
      </c>
    </row>
    <row r="532" spans="1:45" s="438" customFormat="1" ht="24.95" customHeight="1">
      <c r="A532" s="1134"/>
      <c r="B532" s="1134"/>
      <c r="C532" s="1139"/>
      <c r="D532" s="1134"/>
      <c r="E532" s="1134"/>
      <c r="F532" s="1134"/>
      <c r="G532" s="1112"/>
      <c r="H532" s="1112"/>
      <c r="I532" s="1112"/>
      <c r="J532" s="1112"/>
      <c r="K532" s="1112"/>
      <c r="L532" s="1112"/>
      <c r="M532" s="1112"/>
      <c r="N532" s="1112"/>
      <c r="O532" s="1112"/>
      <c r="P532" s="1112"/>
      <c r="Q532" s="1112"/>
      <c r="R532" s="1138"/>
      <c r="S532" s="1112"/>
      <c r="T532" s="1134"/>
      <c r="U532" s="1138"/>
      <c r="V532" s="1112"/>
      <c r="W532" s="1112"/>
      <c r="X532" s="1112"/>
      <c r="Y532" s="1112"/>
      <c r="Z532" s="1112"/>
      <c r="AA532" s="1109"/>
      <c r="AB532" s="1109"/>
      <c r="AC532" s="1112"/>
      <c r="AD532" s="1112"/>
      <c r="AE532" s="436">
        <f>G532*O532</f>
        <v>0</v>
      </c>
      <c r="AF532" s="436">
        <f>G532*P532</f>
        <v>0</v>
      </c>
      <c r="AG532" s="436">
        <f>N532*O532</f>
        <v>0</v>
      </c>
      <c r="AH532" s="436">
        <f>N532*P532</f>
        <v>0</v>
      </c>
      <c r="AI532" s="436">
        <f t="shared" si="212"/>
        <v>0</v>
      </c>
      <c r="AJ532" s="436">
        <f t="shared" si="212"/>
        <v>0</v>
      </c>
      <c r="AK532" s="437">
        <f>V532*O532</f>
        <v>0</v>
      </c>
      <c r="AL532" s="437">
        <f>V532*P532</f>
        <v>0</v>
      </c>
      <c r="AM532" s="437">
        <f>W532</f>
        <v>0</v>
      </c>
      <c r="AN532" s="437">
        <f>S532*O532</f>
        <v>0</v>
      </c>
      <c r="AO532" s="437">
        <f>S532*P532</f>
        <v>0</v>
      </c>
      <c r="AP532" s="437">
        <f t="shared" si="217"/>
        <v>0</v>
      </c>
      <c r="AQ532" s="437">
        <f t="shared" si="217"/>
        <v>0</v>
      </c>
      <c r="AR532" s="436"/>
      <c r="AS532" s="437">
        <f>AP532+AQ532-AR532</f>
        <v>0</v>
      </c>
    </row>
    <row r="533" spans="1:45" s="438" customFormat="1" ht="24.95" customHeight="1">
      <c r="A533" s="1134"/>
      <c r="B533" s="1134"/>
      <c r="C533" s="1139" t="s">
        <v>767</v>
      </c>
      <c r="D533" s="1134"/>
      <c r="E533" s="1134"/>
      <c r="F533" s="1134"/>
      <c r="G533" s="1112"/>
      <c r="H533" s="1112"/>
      <c r="I533" s="1112"/>
      <c r="J533" s="1112"/>
      <c r="K533" s="1112"/>
      <c r="L533" s="1112"/>
      <c r="M533" s="1112"/>
      <c r="N533" s="1112"/>
      <c r="O533" s="1112"/>
      <c r="P533" s="1112"/>
      <c r="Q533" s="1112"/>
      <c r="R533" s="1138">
        <v>0.1</v>
      </c>
      <c r="S533" s="1112">
        <f>N533*R533</f>
        <v>0</v>
      </c>
      <c r="T533" s="1134"/>
      <c r="U533" s="1138"/>
      <c r="V533" s="1112"/>
      <c r="W533" s="1112">
        <f>AD533</f>
        <v>0</v>
      </c>
      <c r="X533" s="1112">
        <f>(N533+V533+Q534+S533)*O533+W533</f>
        <v>0</v>
      </c>
      <c r="Y533" s="1112"/>
      <c r="Z533" s="1112">
        <f>X533+Y533</f>
        <v>0</v>
      </c>
      <c r="AA533" s="1109">
        <f t="shared" si="216"/>
        <v>0</v>
      </c>
      <c r="AB533" s="1109">
        <f>AA533-X533</f>
        <v>0</v>
      </c>
      <c r="AC533" s="1112">
        <f>6500*O533</f>
        <v>0</v>
      </c>
      <c r="AD533" s="1112">
        <f>AC533-(N533*O533)</f>
        <v>0</v>
      </c>
      <c r="AE533" s="436">
        <f t="shared" si="208"/>
        <v>0</v>
      </c>
      <c r="AF533" s="436">
        <f t="shared" si="209"/>
        <v>0</v>
      </c>
      <c r="AG533" s="436">
        <f t="shared" si="210"/>
        <v>0</v>
      </c>
      <c r="AH533" s="436">
        <f t="shared" si="211"/>
        <v>0</v>
      </c>
      <c r="AI533" s="436">
        <f t="shared" si="212"/>
        <v>0</v>
      </c>
      <c r="AJ533" s="436">
        <f t="shared" si="212"/>
        <v>0</v>
      </c>
      <c r="AK533" s="437">
        <f t="shared" si="213"/>
        <v>0</v>
      </c>
      <c r="AL533" s="437">
        <f t="shared" si="214"/>
        <v>0</v>
      </c>
      <c r="AM533" s="437">
        <f t="shared" si="215"/>
        <v>0</v>
      </c>
      <c r="AN533" s="437">
        <f t="shared" si="200"/>
        <v>0</v>
      </c>
      <c r="AO533" s="437">
        <f t="shared" si="201"/>
        <v>0</v>
      </c>
      <c r="AP533" s="437">
        <f t="shared" si="217"/>
        <v>0</v>
      </c>
      <c r="AQ533" s="437">
        <f t="shared" si="217"/>
        <v>0</v>
      </c>
      <c r="AR533" s="436"/>
      <c r="AS533" s="437">
        <f t="shared" si="196"/>
        <v>0</v>
      </c>
    </row>
    <row r="534" spans="1:45" s="438" customFormat="1" ht="24.95" customHeight="1">
      <c r="A534" s="1134"/>
      <c r="B534" s="1134"/>
      <c r="C534" s="1139"/>
      <c r="D534" s="1134"/>
      <c r="E534" s="1134"/>
      <c r="F534" s="1134"/>
      <c r="G534" s="1112"/>
      <c r="H534" s="1112"/>
      <c r="I534" s="1112"/>
      <c r="J534" s="1112"/>
      <c r="K534" s="1112"/>
      <c r="L534" s="1112"/>
      <c r="M534" s="1112"/>
      <c r="N534" s="1112"/>
      <c r="O534" s="1112"/>
      <c r="P534" s="1112"/>
      <c r="Q534" s="1112"/>
      <c r="R534" s="1138"/>
      <c r="S534" s="1112"/>
      <c r="T534" s="1134"/>
      <c r="U534" s="1138"/>
      <c r="V534" s="1112"/>
      <c r="W534" s="1112"/>
      <c r="X534" s="1112"/>
      <c r="Y534" s="1112"/>
      <c r="Z534" s="1112"/>
      <c r="AA534" s="1109"/>
      <c r="AB534" s="1109"/>
      <c r="AC534" s="1112"/>
      <c r="AD534" s="1112"/>
      <c r="AE534" s="436">
        <f t="shared" si="208"/>
        <v>0</v>
      </c>
      <c r="AF534" s="436">
        <f t="shared" si="209"/>
        <v>0</v>
      </c>
      <c r="AG534" s="436">
        <f t="shared" si="210"/>
        <v>0</v>
      </c>
      <c r="AH534" s="436">
        <f t="shared" si="211"/>
        <v>0</v>
      </c>
      <c r="AI534" s="436">
        <f t="shared" si="212"/>
        <v>0</v>
      </c>
      <c r="AJ534" s="436">
        <f t="shared" si="212"/>
        <v>0</v>
      </c>
      <c r="AK534" s="437">
        <f t="shared" si="213"/>
        <v>0</v>
      </c>
      <c r="AL534" s="437">
        <f t="shared" si="214"/>
        <v>0</v>
      </c>
      <c r="AM534" s="437">
        <f t="shared" si="215"/>
        <v>0</v>
      </c>
      <c r="AN534" s="437">
        <f t="shared" si="200"/>
        <v>0</v>
      </c>
      <c r="AO534" s="437">
        <f t="shared" si="201"/>
        <v>0</v>
      </c>
      <c r="AP534" s="437">
        <f t="shared" si="217"/>
        <v>0</v>
      </c>
      <c r="AQ534" s="437">
        <f t="shared" si="217"/>
        <v>0</v>
      </c>
      <c r="AR534" s="436"/>
      <c r="AS534" s="437">
        <f t="shared" ref="AS534:AS601" si="218">AP534+AQ534-AR534</f>
        <v>0</v>
      </c>
    </row>
    <row r="535" spans="1:45" s="446" customFormat="1" ht="24.95" customHeight="1">
      <c r="A535" s="441"/>
      <c r="B535" s="441"/>
      <c r="C535" s="442" t="s">
        <v>318</v>
      </c>
      <c r="D535" s="443"/>
      <c r="E535" s="441"/>
      <c r="F535" s="441"/>
      <c r="G535" s="444">
        <f>SUM(G527:G534)</f>
        <v>7348</v>
      </c>
      <c r="H535" s="441"/>
      <c r="I535" s="441"/>
      <c r="J535" s="441"/>
      <c r="K535" s="441"/>
      <c r="L535" s="441"/>
      <c r="M535" s="441"/>
      <c r="N535" s="444">
        <f>SUM(N527:N534)</f>
        <v>7348</v>
      </c>
      <c r="O535" s="444">
        <f>SUM(O527:O534)</f>
        <v>2</v>
      </c>
      <c r="P535" s="444">
        <f>SUM(P527:P534)</f>
        <v>0</v>
      </c>
      <c r="Q535" s="444"/>
      <c r="R535" s="444"/>
      <c r="S535" s="444">
        <f>SUM(S527:S534)</f>
        <v>734.80000000000007</v>
      </c>
      <c r="T535" s="444"/>
      <c r="U535" s="444"/>
      <c r="V535" s="444"/>
      <c r="W535" s="444">
        <f t="shared" ref="W535:AD535" si="219">SUM(W527:W534)</f>
        <v>5652</v>
      </c>
      <c r="X535" s="444">
        <f t="shared" si="219"/>
        <v>13734.8</v>
      </c>
      <c r="Y535" s="444">
        <f t="shared" si="219"/>
        <v>0</v>
      </c>
      <c r="Z535" s="444">
        <f t="shared" si="219"/>
        <v>13734.8</v>
      </c>
      <c r="AA535" s="499">
        <f t="shared" si="219"/>
        <v>13734.8</v>
      </c>
      <c r="AB535" s="499">
        <f t="shared" si="219"/>
        <v>0</v>
      </c>
      <c r="AC535" s="444">
        <f t="shared" si="219"/>
        <v>13000</v>
      </c>
      <c r="AD535" s="444">
        <f t="shared" si="219"/>
        <v>5652</v>
      </c>
      <c r="AE535" s="436"/>
      <c r="AF535" s="436"/>
      <c r="AG535" s="436"/>
      <c r="AH535" s="436"/>
      <c r="AI535" s="436"/>
      <c r="AJ535" s="436"/>
      <c r="AK535" s="437"/>
      <c r="AL535" s="437"/>
      <c r="AM535" s="437"/>
      <c r="AN535" s="437"/>
      <c r="AO535" s="437"/>
      <c r="AP535" s="437">
        <f t="shared" si="217"/>
        <v>0</v>
      </c>
      <c r="AQ535" s="437">
        <f t="shared" si="217"/>
        <v>0</v>
      </c>
      <c r="AR535" s="436"/>
      <c r="AS535" s="437">
        <f t="shared" si="218"/>
        <v>0</v>
      </c>
    </row>
    <row r="536" spans="1:45" s="456" customFormat="1" ht="24.95" customHeight="1">
      <c r="A536" s="455"/>
      <c r="B536" s="455"/>
      <c r="C536" s="1136" t="s">
        <v>533</v>
      </c>
      <c r="D536" s="1136"/>
      <c r="E536" s="455"/>
      <c r="F536" s="455"/>
      <c r="G536" s="455"/>
      <c r="H536" s="455"/>
      <c r="I536" s="455"/>
      <c r="J536" s="455"/>
      <c r="K536" s="455"/>
      <c r="L536" s="455"/>
      <c r="M536" s="455"/>
      <c r="N536" s="455"/>
      <c r="O536" s="455"/>
      <c r="P536" s="455"/>
      <c r="Q536" s="455"/>
      <c r="R536" s="455"/>
      <c r="S536" s="455"/>
      <c r="T536" s="455"/>
      <c r="U536" s="455"/>
      <c r="V536" s="455"/>
      <c r="W536" s="455"/>
      <c r="X536" s="455"/>
      <c r="Y536" s="455"/>
      <c r="Z536" s="455"/>
      <c r="AA536" s="504"/>
      <c r="AB536" s="504"/>
      <c r="AC536" s="455"/>
      <c r="AD536" s="455"/>
      <c r="AE536" s="436">
        <f t="shared" si="208"/>
        <v>0</v>
      </c>
      <c r="AF536" s="436">
        <f t="shared" si="209"/>
        <v>0</v>
      </c>
      <c r="AG536" s="436">
        <f t="shared" si="210"/>
        <v>0</v>
      </c>
      <c r="AH536" s="436">
        <f t="shared" si="211"/>
        <v>0</v>
      </c>
      <c r="AI536" s="436">
        <f t="shared" si="212"/>
        <v>0</v>
      </c>
      <c r="AJ536" s="436">
        <f t="shared" si="212"/>
        <v>0</v>
      </c>
      <c r="AK536" s="437">
        <f t="shared" si="213"/>
        <v>0</v>
      </c>
      <c r="AL536" s="437">
        <f t="shared" si="214"/>
        <v>0</v>
      </c>
      <c r="AM536" s="437">
        <f t="shared" si="215"/>
        <v>0</v>
      </c>
      <c r="AN536" s="437">
        <f t="shared" si="200"/>
        <v>0</v>
      </c>
      <c r="AO536" s="437">
        <f t="shared" si="201"/>
        <v>0</v>
      </c>
      <c r="AP536" s="437">
        <f t="shared" si="217"/>
        <v>0</v>
      </c>
      <c r="AQ536" s="437">
        <f t="shared" si="217"/>
        <v>0</v>
      </c>
      <c r="AR536" s="436"/>
      <c r="AS536" s="437">
        <f t="shared" si="218"/>
        <v>0</v>
      </c>
    </row>
    <row r="537" spans="1:45" s="456" customFormat="1" ht="24.95" customHeight="1">
      <c r="A537" s="455"/>
      <c r="B537" s="455"/>
      <c r="C537" s="1136" t="s">
        <v>545</v>
      </c>
      <c r="D537" s="1136"/>
      <c r="E537" s="455"/>
      <c r="F537" s="455"/>
      <c r="G537" s="455"/>
      <c r="H537" s="455"/>
      <c r="I537" s="455"/>
      <c r="J537" s="455"/>
      <c r="K537" s="455"/>
      <c r="L537" s="455"/>
      <c r="M537" s="455"/>
      <c r="N537" s="455"/>
      <c r="O537" s="455"/>
      <c r="P537" s="455"/>
      <c r="Q537" s="455"/>
      <c r="R537" s="455"/>
      <c r="S537" s="455"/>
      <c r="T537" s="455"/>
      <c r="U537" s="455"/>
      <c r="V537" s="455"/>
      <c r="W537" s="455"/>
      <c r="X537" s="455"/>
      <c r="Y537" s="455"/>
      <c r="Z537" s="455"/>
      <c r="AA537" s="504"/>
      <c r="AB537" s="504"/>
      <c r="AC537" s="455"/>
      <c r="AD537" s="455"/>
      <c r="AE537" s="436">
        <f>G537*O537</f>
        <v>0</v>
      </c>
      <c r="AF537" s="436">
        <f>G537*P537</f>
        <v>0</v>
      </c>
      <c r="AG537" s="436">
        <f>N537*O537</f>
        <v>0</v>
      </c>
      <c r="AH537" s="436">
        <f>N537*P537</f>
        <v>0</v>
      </c>
      <c r="AI537" s="436">
        <f t="shared" si="212"/>
        <v>0</v>
      </c>
      <c r="AJ537" s="436">
        <f t="shared" si="212"/>
        <v>0</v>
      </c>
      <c r="AK537" s="437">
        <f>V537*O537</f>
        <v>0</v>
      </c>
      <c r="AL537" s="437">
        <f>V537*P537</f>
        <v>0</v>
      </c>
      <c r="AM537" s="437">
        <f>W537</f>
        <v>0</v>
      </c>
      <c r="AN537" s="437">
        <f>S537*O537</f>
        <v>0</v>
      </c>
      <c r="AO537" s="437">
        <f>S537*P537</f>
        <v>0</v>
      </c>
      <c r="AP537" s="437">
        <f t="shared" si="217"/>
        <v>0</v>
      </c>
      <c r="AQ537" s="437">
        <f t="shared" si="217"/>
        <v>0</v>
      </c>
      <c r="AR537" s="436"/>
      <c r="AS537" s="437">
        <f>AP537+AQ537-AR537</f>
        <v>0</v>
      </c>
    </row>
    <row r="538" spans="1:45" s="191" customFormat="1" ht="24.95" customHeight="1">
      <c r="A538" s="1129"/>
      <c r="B538" s="1129"/>
      <c r="C538" s="1128" t="s">
        <v>767</v>
      </c>
      <c r="D538" s="1129"/>
      <c r="E538" s="1129" t="s">
        <v>1068</v>
      </c>
      <c r="F538" s="1129">
        <v>3</v>
      </c>
      <c r="G538" s="1127">
        <v>3414</v>
      </c>
      <c r="H538" s="1127"/>
      <c r="I538" s="1126"/>
      <c r="J538" s="1126"/>
      <c r="K538" s="1126"/>
      <c r="L538" s="1126"/>
      <c r="M538" s="1126"/>
      <c r="N538" s="1127">
        <f>G538+H539+K539</f>
        <v>3414</v>
      </c>
      <c r="O538" s="1127">
        <v>1</v>
      </c>
      <c r="P538" s="1126"/>
      <c r="Q538" s="1126"/>
      <c r="R538" s="1130">
        <v>0.1</v>
      </c>
      <c r="S538" s="1127">
        <f>N538*R538</f>
        <v>341.40000000000003</v>
      </c>
      <c r="T538" s="1129"/>
      <c r="U538" s="1130"/>
      <c r="V538" s="1127"/>
      <c r="W538" s="1127">
        <f>AD538</f>
        <v>3086</v>
      </c>
      <c r="X538" s="1127">
        <f>(N538+V538+Q539+S538)*O538+W538</f>
        <v>6841.4</v>
      </c>
      <c r="Y538" s="1112"/>
      <c r="Z538" s="1112">
        <f>X538+Y538</f>
        <v>6841.4</v>
      </c>
      <c r="AA538" s="1109">
        <f>Z538</f>
        <v>6841.4</v>
      </c>
      <c r="AB538" s="1109">
        <f>AA538-X538</f>
        <v>0</v>
      </c>
      <c r="AC538" s="1127">
        <f>6500*O538</f>
        <v>6500</v>
      </c>
      <c r="AD538" s="1127">
        <f>AC538-(N538*O538)</f>
        <v>3086</v>
      </c>
      <c r="AE538" s="190">
        <f>G538*O538</f>
        <v>3414</v>
      </c>
      <c r="AF538" s="190">
        <f>G538*P538</f>
        <v>0</v>
      </c>
      <c r="AG538" s="190">
        <f>N538*O538</f>
        <v>3414</v>
      </c>
      <c r="AH538" s="190">
        <f>N538*P538</f>
        <v>0</v>
      </c>
      <c r="AI538" s="190">
        <f t="shared" si="212"/>
        <v>0</v>
      </c>
      <c r="AJ538" s="190">
        <f t="shared" si="212"/>
        <v>0</v>
      </c>
      <c r="AK538" s="464">
        <f>V538*O538</f>
        <v>0</v>
      </c>
      <c r="AL538" s="464">
        <f>V538*P538</f>
        <v>0</v>
      </c>
      <c r="AM538" s="464">
        <f>W538</f>
        <v>3086</v>
      </c>
      <c r="AN538" s="464">
        <f>S538*O538</f>
        <v>341.40000000000003</v>
      </c>
      <c r="AO538" s="464">
        <f>S538*P538</f>
        <v>0</v>
      </c>
      <c r="AP538" s="464">
        <f t="shared" si="217"/>
        <v>3414</v>
      </c>
      <c r="AQ538" s="464">
        <f t="shared" si="217"/>
        <v>0</v>
      </c>
      <c r="AR538" s="190"/>
      <c r="AS538" s="464">
        <f>AP538+AQ538-AR538</f>
        <v>3414</v>
      </c>
    </row>
    <row r="539" spans="1:45" s="191" customFormat="1" ht="24.95" customHeight="1">
      <c r="A539" s="1129"/>
      <c r="B539" s="1129"/>
      <c r="C539" s="1128"/>
      <c r="D539" s="1129"/>
      <c r="E539" s="1129"/>
      <c r="F539" s="1129"/>
      <c r="G539" s="1127"/>
      <c r="H539" s="1127"/>
      <c r="I539" s="1126"/>
      <c r="J539" s="1126"/>
      <c r="K539" s="1126"/>
      <c r="L539" s="1126"/>
      <c r="M539" s="1126"/>
      <c r="N539" s="1127"/>
      <c r="O539" s="1127"/>
      <c r="P539" s="1126"/>
      <c r="Q539" s="1126"/>
      <c r="R539" s="1130"/>
      <c r="S539" s="1127"/>
      <c r="T539" s="1129"/>
      <c r="U539" s="1130"/>
      <c r="V539" s="1127"/>
      <c r="W539" s="1127"/>
      <c r="X539" s="1127"/>
      <c r="Y539" s="1112"/>
      <c r="Z539" s="1112"/>
      <c r="AA539" s="1109"/>
      <c r="AB539" s="1109"/>
      <c r="AC539" s="1127"/>
      <c r="AD539" s="1127"/>
      <c r="AE539" s="190">
        <f>G539*O539</f>
        <v>0</v>
      </c>
      <c r="AF539" s="190">
        <f>G539*P539</f>
        <v>0</v>
      </c>
      <c r="AG539" s="190">
        <f>N539*O539</f>
        <v>0</v>
      </c>
      <c r="AH539" s="190">
        <f>N539*P539</f>
        <v>0</v>
      </c>
      <c r="AI539" s="190">
        <f t="shared" si="212"/>
        <v>0</v>
      </c>
      <c r="AJ539" s="190">
        <f t="shared" si="212"/>
        <v>0</v>
      </c>
      <c r="AK539" s="464">
        <f>V539*O539</f>
        <v>0</v>
      </c>
      <c r="AL539" s="464">
        <f>V539*P539</f>
        <v>0</v>
      </c>
      <c r="AM539" s="464">
        <f>W539</f>
        <v>0</v>
      </c>
      <c r="AN539" s="464">
        <f>S539*O539</f>
        <v>0</v>
      </c>
      <c r="AO539" s="464">
        <f>S539*P539</f>
        <v>0</v>
      </c>
      <c r="AP539" s="464">
        <f t="shared" si="217"/>
        <v>0</v>
      </c>
      <c r="AQ539" s="464">
        <f t="shared" si="217"/>
        <v>0</v>
      </c>
      <c r="AR539" s="190"/>
      <c r="AS539" s="464">
        <f>AP539+AQ539-AR539</f>
        <v>0</v>
      </c>
    </row>
    <row r="540" spans="1:45" s="446" customFormat="1" ht="24.95" customHeight="1">
      <c r="A540" s="441"/>
      <c r="B540" s="441"/>
      <c r="C540" s="442" t="s">
        <v>318</v>
      </c>
      <c r="D540" s="443"/>
      <c r="E540" s="441"/>
      <c r="F540" s="441"/>
      <c r="G540" s="444">
        <f>SUM(G538:G539)</f>
        <v>3414</v>
      </c>
      <c r="H540" s="441"/>
      <c r="I540" s="441"/>
      <c r="J540" s="441"/>
      <c r="K540" s="441"/>
      <c r="L540" s="441"/>
      <c r="M540" s="441"/>
      <c r="N540" s="444">
        <f>SUM(N538:N539)</f>
        <v>3414</v>
      </c>
      <c r="O540" s="444">
        <f>SUM(O538:O539)</f>
        <v>1</v>
      </c>
      <c r="P540" s="444">
        <f>SUM(P538:P539)</f>
        <v>0</v>
      </c>
      <c r="Q540" s="444"/>
      <c r="R540" s="444"/>
      <c r="S540" s="444">
        <f>SUM(S538:S539)</f>
        <v>341.40000000000003</v>
      </c>
      <c r="T540" s="444"/>
      <c r="U540" s="444"/>
      <c r="V540" s="444"/>
      <c r="W540" s="444">
        <f t="shared" ref="W540:AD540" si="220">SUM(W538:W539)</f>
        <v>3086</v>
      </c>
      <c r="X540" s="444">
        <f t="shared" si="220"/>
        <v>6841.4</v>
      </c>
      <c r="Y540" s="444">
        <f t="shared" si="220"/>
        <v>0</v>
      </c>
      <c r="Z540" s="444">
        <f t="shared" si="220"/>
        <v>6841.4</v>
      </c>
      <c r="AA540" s="499">
        <f t="shared" si="220"/>
        <v>6841.4</v>
      </c>
      <c r="AB540" s="499">
        <f t="shared" si="220"/>
        <v>0</v>
      </c>
      <c r="AC540" s="444">
        <f t="shared" si="220"/>
        <v>6500</v>
      </c>
      <c r="AD540" s="444">
        <f t="shared" si="220"/>
        <v>3086</v>
      </c>
      <c r="AE540" s="436"/>
      <c r="AF540" s="436"/>
      <c r="AG540" s="436"/>
      <c r="AH540" s="436"/>
      <c r="AI540" s="436"/>
      <c r="AJ540" s="436"/>
      <c r="AK540" s="437"/>
      <c r="AL540" s="437"/>
      <c r="AM540" s="437"/>
      <c r="AN540" s="437"/>
      <c r="AO540" s="437"/>
      <c r="AP540" s="437">
        <f t="shared" si="217"/>
        <v>0</v>
      </c>
      <c r="AQ540" s="437">
        <f t="shared" si="217"/>
        <v>0</v>
      </c>
      <c r="AR540" s="436"/>
      <c r="AS540" s="437">
        <f>AP540+AQ540-AR540</f>
        <v>0</v>
      </c>
    </row>
    <row r="541" spans="1:45" s="456" customFormat="1" ht="24.95" customHeight="1">
      <c r="A541" s="455"/>
      <c r="B541" s="455"/>
      <c r="C541" s="1136" t="s">
        <v>548</v>
      </c>
      <c r="D541" s="1136"/>
      <c r="E541" s="455"/>
      <c r="F541" s="455"/>
      <c r="G541" s="455"/>
      <c r="H541" s="455"/>
      <c r="I541" s="455"/>
      <c r="J541" s="455"/>
      <c r="K541" s="455"/>
      <c r="L541" s="455"/>
      <c r="M541" s="455"/>
      <c r="N541" s="455"/>
      <c r="O541" s="455"/>
      <c r="P541" s="455"/>
      <c r="Q541" s="455"/>
      <c r="R541" s="455"/>
      <c r="S541" s="455"/>
      <c r="T541" s="455"/>
      <c r="U541" s="455"/>
      <c r="V541" s="455"/>
      <c r="W541" s="455"/>
      <c r="X541" s="455"/>
      <c r="Y541" s="455"/>
      <c r="Z541" s="455"/>
      <c r="AA541" s="504"/>
      <c r="AB541" s="504"/>
      <c r="AC541" s="455"/>
      <c r="AD541" s="455"/>
      <c r="AE541" s="436">
        <f t="shared" si="208"/>
        <v>0</v>
      </c>
      <c r="AF541" s="436">
        <f t="shared" si="209"/>
        <v>0</v>
      </c>
      <c r="AG541" s="436">
        <f t="shared" si="210"/>
        <v>0</v>
      </c>
      <c r="AH541" s="436">
        <f t="shared" si="211"/>
        <v>0</v>
      </c>
      <c r="AI541" s="436">
        <f t="shared" si="212"/>
        <v>0</v>
      </c>
      <c r="AJ541" s="436">
        <f t="shared" si="212"/>
        <v>0</v>
      </c>
      <c r="AK541" s="437">
        <f t="shared" si="213"/>
        <v>0</v>
      </c>
      <c r="AL541" s="437">
        <f t="shared" si="214"/>
        <v>0</v>
      </c>
      <c r="AM541" s="437">
        <f t="shared" si="215"/>
        <v>0</v>
      </c>
      <c r="AN541" s="437">
        <f t="shared" si="200"/>
        <v>0</v>
      </c>
      <c r="AO541" s="437">
        <f t="shared" si="201"/>
        <v>0</v>
      </c>
      <c r="AP541" s="437">
        <f t="shared" si="217"/>
        <v>0</v>
      </c>
      <c r="AQ541" s="437">
        <f t="shared" si="217"/>
        <v>0</v>
      </c>
      <c r="AR541" s="436"/>
      <c r="AS541" s="437">
        <f t="shared" si="218"/>
        <v>0</v>
      </c>
    </row>
    <row r="542" spans="1:45" s="191" customFormat="1" ht="24.95" customHeight="1">
      <c r="A542" s="1129"/>
      <c r="B542" s="1129"/>
      <c r="C542" s="1128" t="s">
        <v>767</v>
      </c>
      <c r="D542" s="1129"/>
      <c r="E542" s="1129" t="s">
        <v>770</v>
      </c>
      <c r="F542" s="1129">
        <v>3</v>
      </c>
      <c r="G542" s="1127">
        <v>3414</v>
      </c>
      <c r="H542" s="1127"/>
      <c r="I542" s="1126"/>
      <c r="J542" s="1126"/>
      <c r="K542" s="1126"/>
      <c r="L542" s="1126"/>
      <c r="M542" s="1126"/>
      <c r="N542" s="1127">
        <f>G542+H543+K543</f>
        <v>3414</v>
      </c>
      <c r="O542" s="1127">
        <v>1</v>
      </c>
      <c r="P542" s="1126"/>
      <c r="Q542" s="1126"/>
      <c r="R542" s="1130">
        <v>0.1</v>
      </c>
      <c r="S542" s="1127">
        <f>N542*R542</f>
        <v>341.40000000000003</v>
      </c>
      <c r="T542" s="1129"/>
      <c r="U542" s="1130"/>
      <c r="V542" s="1127"/>
      <c r="W542" s="1127">
        <f>AD542</f>
        <v>3086</v>
      </c>
      <c r="X542" s="1127">
        <f>(N542+V542+Q543+S542)*O542+W542</f>
        <v>6841.4</v>
      </c>
      <c r="Y542" s="1112"/>
      <c r="Z542" s="1112">
        <f>X542+Y542</f>
        <v>6841.4</v>
      </c>
      <c r="AA542" s="1109">
        <f t="shared" ref="AA542:AA550" si="221">Z542</f>
        <v>6841.4</v>
      </c>
      <c r="AB542" s="1109">
        <f>AA542-X542</f>
        <v>0</v>
      </c>
      <c r="AC542" s="1127">
        <f>6500*O542</f>
        <v>6500</v>
      </c>
      <c r="AD542" s="1127">
        <f>AC542-(N542*O542)</f>
        <v>3086</v>
      </c>
      <c r="AE542" s="190">
        <f t="shared" si="208"/>
        <v>3414</v>
      </c>
      <c r="AF542" s="190">
        <f t="shared" si="209"/>
        <v>0</v>
      </c>
      <c r="AG542" s="190">
        <f t="shared" si="210"/>
        <v>3414</v>
      </c>
      <c r="AH542" s="190">
        <f t="shared" si="211"/>
        <v>0</v>
      </c>
      <c r="AI542" s="190">
        <f t="shared" si="212"/>
        <v>0</v>
      </c>
      <c r="AJ542" s="190">
        <f t="shared" si="212"/>
        <v>0</v>
      </c>
      <c r="AK542" s="464">
        <f t="shared" si="213"/>
        <v>0</v>
      </c>
      <c r="AL542" s="464">
        <f t="shared" si="214"/>
        <v>0</v>
      </c>
      <c r="AM542" s="464">
        <f t="shared" si="215"/>
        <v>3086</v>
      </c>
      <c r="AN542" s="464">
        <f t="shared" si="200"/>
        <v>341.40000000000003</v>
      </c>
      <c r="AO542" s="464">
        <f t="shared" si="201"/>
        <v>0</v>
      </c>
      <c r="AP542" s="464">
        <f t="shared" si="217"/>
        <v>3414</v>
      </c>
      <c r="AQ542" s="464">
        <f t="shared" si="217"/>
        <v>0</v>
      </c>
      <c r="AR542" s="190"/>
      <c r="AS542" s="464">
        <f t="shared" si="218"/>
        <v>3414</v>
      </c>
    </row>
    <row r="543" spans="1:45" s="191" customFormat="1" ht="24.95" customHeight="1">
      <c r="A543" s="1129"/>
      <c r="B543" s="1129"/>
      <c r="C543" s="1128"/>
      <c r="D543" s="1129"/>
      <c r="E543" s="1129"/>
      <c r="F543" s="1129"/>
      <c r="G543" s="1127"/>
      <c r="H543" s="1127"/>
      <c r="I543" s="1126"/>
      <c r="J543" s="1126"/>
      <c r="K543" s="1126"/>
      <c r="L543" s="1126"/>
      <c r="M543" s="1126"/>
      <c r="N543" s="1127"/>
      <c r="O543" s="1127"/>
      <c r="P543" s="1126"/>
      <c r="Q543" s="1126"/>
      <c r="R543" s="1130"/>
      <c r="S543" s="1127"/>
      <c r="T543" s="1129"/>
      <c r="U543" s="1130"/>
      <c r="V543" s="1127"/>
      <c r="W543" s="1127"/>
      <c r="X543" s="1127"/>
      <c r="Y543" s="1112"/>
      <c r="Z543" s="1112"/>
      <c r="AA543" s="1109"/>
      <c r="AB543" s="1109"/>
      <c r="AC543" s="1127"/>
      <c r="AD543" s="1127"/>
      <c r="AE543" s="190">
        <f t="shared" si="208"/>
        <v>0</v>
      </c>
      <c r="AF543" s="190">
        <f t="shared" si="209"/>
        <v>0</v>
      </c>
      <c r="AG543" s="190">
        <f t="shared" si="210"/>
        <v>0</v>
      </c>
      <c r="AH543" s="190">
        <f t="shared" si="211"/>
        <v>0</v>
      </c>
      <c r="AI543" s="190">
        <f t="shared" si="212"/>
        <v>0</v>
      </c>
      <c r="AJ543" s="190">
        <f t="shared" si="212"/>
        <v>0</v>
      </c>
      <c r="AK543" s="464">
        <f t="shared" si="213"/>
        <v>0</v>
      </c>
      <c r="AL543" s="464">
        <f t="shared" si="214"/>
        <v>0</v>
      </c>
      <c r="AM543" s="464">
        <f t="shared" si="215"/>
        <v>0</v>
      </c>
      <c r="AN543" s="464">
        <f t="shared" si="200"/>
        <v>0</v>
      </c>
      <c r="AO543" s="464">
        <f t="shared" si="201"/>
        <v>0</v>
      </c>
      <c r="AP543" s="464">
        <f t="shared" si="217"/>
        <v>0</v>
      </c>
      <c r="AQ543" s="464">
        <f t="shared" si="217"/>
        <v>0</v>
      </c>
      <c r="AR543" s="190"/>
      <c r="AS543" s="464">
        <f t="shared" si="218"/>
        <v>0</v>
      </c>
    </row>
    <row r="544" spans="1:45" s="191" customFormat="1" ht="24.95" customHeight="1">
      <c r="A544" s="1129"/>
      <c r="B544" s="1129"/>
      <c r="C544" s="1128" t="s">
        <v>767</v>
      </c>
      <c r="D544" s="1129"/>
      <c r="E544" s="1129" t="s">
        <v>771</v>
      </c>
      <c r="F544" s="1129">
        <v>3</v>
      </c>
      <c r="G544" s="1127">
        <v>3414</v>
      </c>
      <c r="H544" s="1127"/>
      <c r="I544" s="1127"/>
      <c r="J544" s="1127"/>
      <c r="K544" s="1127"/>
      <c r="L544" s="1127"/>
      <c r="M544" s="1127"/>
      <c r="N544" s="1127">
        <f>G544+H545</f>
        <v>3414</v>
      </c>
      <c r="O544" s="1127">
        <v>1</v>
      </c>
      <c r="P544" s="1126"/>
      <c r="Q544" s="1126"/>
      <c r="R544" s="1130">
        <v>0.1</v>
      </c>
      <c r="S544" s="1127">
        <f>N544*R544</f>
        <v>341.40000000000003</v>
      </c>
      <c r="T544" s="1129"/>
      <c r="U544" s="1130"/>
      <c r="V544" s="1127"/>
      <c r="W544" s="1127">
        <f>AD544</f>
        <v>3086</v>
      </c>
      <c r="X544" s="1127">
        <f>(N544+V544+Q545+S544)*O544+W544</f>
        <v>6841.4</v>
      </c>
      <c r="Y544" s="1112"/>
      <c r="Z544" s="1112">
        <f>X544+Y544</f>
        <v>6841.4</v>
      </c>
      <c r="AA544" s="1109">
        <f t="shared" si="221"/>
        <v>6841.4</v>
      </c>
      <c r="AB544" s="1109">
        <f>AA544-X544</f>
        <v>0</v>
      </c>
      <c r="AC544" s="1127">
        <f>6500*O544</f>
        <v>6500</v>
      </c>
      <c r="AD544" s="1127">
        <f>AC544-(N544*O544)</f>
        <v>3086</v>
      </c>
      <c r="AE544" s="190">
        <f t="shared" si="208"/>
        <v>3414</v>
      </c>
      <c r="AF544" s="190">
        <f t="shared" si="209"/>
        <v>0</v>
      </c>
      <c r="AG544" s="190">
        <f t="shared" si="210"/>
        <v>3414</v>
      </c>
      <c r="AH544" s="190">
        <f t="shared" si="211"/>
        <v>0</v>
      </c>
      <c r="AI544" s="190">
        <f t="shared" si="212"/>
        <v>0</v>
      </c>
      <c r="AJ544" s="190">
        <f t="shared" si="212"/>
        <v>0</v>
      </c>
      <c r="AK544" s="464">
        <f t="shared" si="213"/>
        <v>0</v>
      </c>
      <c r="AL544" s="464">
        <f t="shared" si="214"/>
        <v>0</v>
      </c>
      <c r="AM544" s="464">
        <f t="shared" si="215"/>
        <v>3086</v>
      </c>
      <c r="AN544" s="464">
        <f t="shared" si="200"/>
        <v>341.40000000000003</v>
      </c>
      <c r="AO544" s="464">
        <f t="shared" si="201"/>
        <v>0</v>
      </c>
      <c r="AP544" s="464">
        <f t="shared" si="217"/>
        <v>3414</v>
      </c>
      <c r="AQ544" s="464">
        <f t="shared" si="217"/>
        <v>0</v>
      </c>
      <c r="AR544" s="190"/>
      <c r="AS544" s="464">
        <f t="shared" si="218"/>
        <v>3414</v>
      </c>
    </row>
    <row r="545" spans="1:45" s="191" customFormat="1" ht="24.95" customHeight="1">
      <c r="A545" s="1129"/>
      <c r="B545" s="1129"/>
      <c r="C545" s="1128"/>
      <c r="D545" s="1129"/>
      <c r="E545" s="1129"/>
      <c r="F545" s="1129"/>
      <c r="G545" s="1127"/>
      <c r="H545" s="1127"/>
      <c r="I545" s="1127"/>
      <c r="J545" s="1127"/>
      <c r="K545" s="1127"/>
      <c r="L545" s="1127"/>
      <c r="M545" s="1127"/>
      <c r="N545" s="1127"/>
      <c r="O545" s="1127"/>
      <c r="P545" s="1126"/>
      <c r="Q545" s="1126"/>
      <c r="R545" s="1130"/>
      <c r="S545" s="1127"/>
      <c r="T545" s="1129"/>
      <c r="U545" s="1130"/>
      <c r="V545" s="1127"/>
      <c r="W545" s="1127"/>
      <c r="X545" s="1127"/>
      <c r="Y545" s="1112"/>
      <c r="Z545" s="1112"/>
      <c r="AA545" s="1109"/>
      <c r="AB545" s="1109"/>
      <c r="AC545" s="1127"/>
      <c r="AD545" s="1127"/>
      <c r="AE545" s="190">
        <f t="shared" si="208"/>
        <v>0</v>
      </c>
      <c r="AF545" s="190">
        <f t="shared" si="209"/>
        <v>0</v>
      </c>
      <c r="AG545" s="190">
        <f t="shared" si="210"/>
        <v>0</v>
      </c>
      <c r="AH545" s="190">
        <f t="shared" si="211"/>
        <v>0</v>
      </c>
      <c r="AI545" s="190">
        <f t="shared" si="212"/>
        <v>0</v>
      </c>
      <c r="AJ545" s="190">
        <f t="shared" si="212"/>
        <v>0</v>
      </c>
      <c r="AK545" s="464">
        <f t="shared" si="213"/>
        <v>0</v>
      </c>
      <c r="AL545" s="464">
        <f t="shared" si="214"/>
        <v>0</v>
      </c>
      <c r="AM545" s="464">
        <f t="shared" si="215"/>
        <v>0</v>
      </c>
      <c r="AN545" s="464">
        <f t="shared" si="200"/>
        <v>0</v>
      </c>
      <c r="AO545" s="464">
        <f t="shared" si="201"/>
        <v>0</v>
      </c>
      <c r="AP545" s="464">
        <f t="shared" si="217"/>
        <v>0</v>
      </c>
      <c r="AQ545" s="464">
        <f t="shared" si="217"/>
        <v>0</v>
      </c>
      <c r="AR545" s="190"/>
      <c r="AS545" s="464">
        <f t="shared" si="218"/>
        <v>0</v>
      </c>
    </row>
    <row r="546" spans="1:45" s="191" customFormat="1" ht="24.95" customHeight="1">
      <c r="A546" s="1129"/>
      <c r="B546" s="1129"/>
      <c r="C546" s="1128" t="s">
        <v>767</v>
      </c>
      <c r="D546" s="1129"/>
      <c r="E546" s="1129" t="s">
        <v>772</v>
      </c>
      <c r="F546" s="1129">
        <v>3</v>
      </c>
      <c r="G546" s="1127">
        <v>3414</v>
      </c>
      <c r="H546" s="1127"/>
      <c r="I546" s="1127"/>
      <c r="J546" s="1127"/>
      <c r="K546" s="1127"/>
      <c r="L546" s="1127"/>
      <c r="M546" s="1127"/>
      <c r="N546" s="1127">
        <f>G546+H547</f>
        <v>3414</v>
      </c>
      <c r="O546" s="1127">
        <v>1</v>
      </c>
      <c r="P546" s="1127"/>
      <c r="Q546" s="1127"/>
      <c r="R546" s="1130">
        <v>0.1</v>
      </c>
      <c r="S546" s="1127">
        <f>N546*R546</f>
        <v>341.40000000000003</v>
      </c>
      <c r="T546" s="1129"/>
      <c r="U546" s="1130"/>
      <c r="V546" s="1127"/>
      <c r="W546" s="1127">
        <f>AD546</f>
        <v>3086</v>
      </c>
      <c r="X546" s="1127">
        <f>(N546+V546+Q547+S546)*O546+W546</f>
        <v>6841.4</v>
      </c>
      <c r="Y546" s="1112"/>
      <c r="Z546" s="1112">
        <f>X546+Y546</f>
        <v>6841.4</v>
      </c>
      <c r="AA546" s="1109">
        <f t="shared" si="221"/>
        <v>6841.4</v>
      </c>
      <c r="AB546" s="1109">
        <f>AA546-X546</f>
        <v>0</v>
      </c>
      <c r="AC546" s="1127">
        <f>6500*O546</f>
        <v>6500</v>
      </c>
      <c r="AD546" s="1127">
        <f>AC546-(N546*O546)</f>
        <v>3086</v>
      </c>
      <c r="AE546" s="190">
        <f t="shared" si="208"/>
        <v>3414</v>
      </c>
      <c r="AF546" s="190">
        <f t="shared" si="209"/>
        <v>0</v>
      </c>
      <c r="AG546" s="190">
        <f t="shared" si="210"/>
        <v>3414</v>
      </c>
      <c r="AH546" s="190">
        <f t="shared" si="211"/>
        <v>0</v>
      </c>
      <c r="AI546" s="190">
        <f t="shared" si="212"/>
        <v>0</v>
      </c>
      <c r="AJ546" s="190">
        <f t="shared" si="212"/>
        <v>0</v>
      </c>
      <c r="AK546" s="464">
        <f t="shared" si="213"/>
        <v>0</v>
      </c>
      <c r="AL546" s="464">
        <f t="shared" si="214"/>
        <v>0</v>
      </c>
      <c r="AM546" s="464">
        <f t="shared" si="215"/>
        <v>3086</v>
      </c>
      <c r="AN546" s="464">
        <f t="shared" si="200"/>
        <v>341.40000000000003</v>
      </c>
      <c r="AO546" s="464">
        <f t="shared" si="201"/>
        <v>0</v>
      </c>
      <c r="AP546" s="464">
        <f t="shared" si="217"/>
        <v>3414</v>
      </c>
      <c r="AQ546" s="464">
        <f t="shared" si="217"/>
        <v>0</v>
      </c>
      <c r="AR546" s="190"/>
      <c r="AS546" s="464">
        <f t="shared" si="218"/>
        <v>3414</v>
      </c>
    </row>
    <row r="547" spans="1:45" s="191" customFormat="1" ht="24.95" customHeight="1">
      <c r="A547" s="1129"/>
      <c r="B547" s="1129"/>
      <c r="C547" s="1128"/>
      <c r="D547" s="1129"/>
      <c r="E547" s="1129"/>
      <c r="F547" s="1129"/>
      <c r="G547" s="1127"/>
      <c r="H547" s="1127"/>
      <c r="I547" s="1127"/>
      <c r="J547" s="1127"/>
      <c r="K547" s="1127"/>
      <c r="L547" s="1127"/>
      <c r="M547" s="1127"/>
      <c r="N547" s="1127"/>
      <c r="O547" s="1127"/>
      <c r="P547" s="1127"/>
      <c r="Q547" s="1127"/>
      <c r="R547" s="1130"/>
      <c r="S547" s="1127"/>
      <c r="T547" s="1129"/>
      <c r="U547" s="1130"/>
      <c r="V547" s="1127"/>
      <c r="W547" s="1127"/>
      <c r="X547" s="1127"/>
      <c r="Y547" s="1112"/>
      <c r="Z547" s="1112"/>
      <c r="AA547" s="1109"/>
      <c r="AB547" s="1109"/>
      <c r="AC547" s="1127"/>
      <c r="AD547" s="1127"/>
      <c r="AE547" s="190">
        <f t="shared" si="208"/>
        <v>0</v>
      </c>
      <c r="AF547" s="190">
        <f t="shared" si="209"/>
        <v>0</v>
      </c>
      <c r="AG547" s="190">
        <f t="shared" si="210"/>
        <v>0</v>
      </c>
      <c r="AH547" s="190">
        <f t="shared" si="211"/>
        <v>0</v>
      </c>
      <c r="AI547" s="190">
        <f t="shared" si="212"/>
        <v>0</v>
      </c>
      <c r="AJ547" s="190">
        <f t="shared" si="212"/>
        <v>0</v>
      </c>
      <c r="AK547" s="464">
        <f t="shared" si="213"/>
        <v>0</v>
      </c>
      <c r="AL547" s="464">
        <f t="shared" si="214"/>
        <v>0</v>
      </c>
      <c r="AM547" s="464">
        <f t="shared" si="215"/>
        <v>0</v>
      </c>
      <c r="AN547" s="464">
        <f t="shared" si="200"/>
        <v>0</v>
      </c>
      <c r="AO547" s="464">
        <f t="shared" si="201"/>
        <v>0</v>
      </c>
      <c r="AP547" s="464">
        <f t="shared" si="217"/>
        <v>0</v>
      </c>
      <c r="AQ547" s="464">
        <f t="shared" si="217"/>
        <v>0</v>
      </c>
      <c r="AR547" s="190"/>
      <c r="AS547" s="464">
        <f t="shared" si="218"/>
        <v>0</v>
      </c>
    </row>
    <row r="548" spans="1:45" s="191" customFormat="1" ht="24.95" customHeight="1">
      <c r="A548" s="1129"/>
      <c r="B548" s="1129"/>
      <c r="C548" s="1128" t="s">
        <v>767</v>
      </c>
      <c r="D548" s="1129"/>
      <c r="E548" s="1129" t="s">
        <v>773</v>
      </c>
      <c r="F548" s="1129">
        <v>3</v>
      </c>
      <c r="G548" s="1127">
        <v>3414</v>
      </c>
      <c r="H548" s="1127"/>
      <c r="I548" s="1127"/>
      <c r="J548" s="1127"/>
      <c r="K548" s="1127"/>
      <c r="L548" s="1127"/>
      <c r="M548" s="1127"/>
      <c r="N548" s="1127">
        <f>G548+H549</f>
        <v>3414</v>
      </c>
      <c r="O548" s="1127">
        <v>1</v>
      </c>
      <c r="P548" s="1127"/>
      <c r="Q548" s="1127"/>
      <c r="R548" s="1130">
        <v>0.1</v>
      </c>
      <c r="S548" s="1127">
        <f>N548*R548</f>
        <v>341.40000000000003</v>
      </c>
      <c r="T548" s="1129"/>
      <c r="U548" s="1130"/>
      <c r="V548" s="1127"/>
      <c r="W548" s="1127">
        <f>AD548</f>
        <v>3086</v>
      </c>
      <c r="X548" s="1127">
        <f>(N548+V548+Q549+S548)*O548+W548</f>
        <v>6841.4</v>
      </c>
      <c r="Y548" s="1112"/>
      <c r="Z548" s="1112">
        <f>X548+Y548</f>
        <v>6841.4</v>
      </c>
      <c r="AA548" s="1109">
        <f t="shared" si="221"/>
        <v>6841.4</v>
      </c>
      <c r="AB548" s="1109">
        <f>AA548-X548</f>
        <v>0</v>
      </c>
      <c r="AC548" s="1127">
        <f>6500*O548</f>
        <v>6500</v>
      </c>
      <c r="AD548" s="1127">
        <f>AC548-(N548*O548)</f>
        <v>3086</v>
      </c>
      <c r="AE548" s="190">
        <f t="shared" si="208"/>
        <v>3414</v>
      </c>
      <c r="AF548" s="190">
        <f t="shared" si="209"/>
        <v>0</v>
      </c>
      <c r="AG548" s="190">
        <f t="shared" si="210"/>
        <v>3414</v>
      </c>
      <c r="AH548" s="190">
        <f t="shared" si="211"/>
        <v>0</v>
      </c>
      <c r="AI548" s="190">
        <f t="shared" si="212"/>
        <v>0</v>
      </c>
      <c r="AJ548" s="190">
        <f t="shared" si="212"/>
        <v>0</v>
      </c>
      <c r="AK548" s="464">
        <f t="shared" si="213"/>
        <v>0</v>
      </c>
      <c r="AL548" s="464">
        <f t="shared" si="214"/>
        <v>0</v>
      </c>
      <c r="AM548" s="464">
        <f t="shared" si="215"/>
        <v>3086</v>
      </c>
      <c r="AN548" s="464">
        <f t="shared" ref="AN548:AN601" si="222">S548*O548</f>
        <v>341.40000000000003</v>
      </c>
      <c r="AO548" s="464">
        <f t="shared" ref="AO548:AO601" si="223">S548*P548</f>
        <v>0</v>
      </c>
      <c r="AP548" s="464">
        <f t="shared" si="217"/>
        <v>3414</v>
      </c>
      <c r="AQ548" s="464">
        <f t="shared" si="217"/>
        <v>0</v>
      </c>
      <c r="AR548" s="190"/>
      <c r="AS548" s="464">
        <f t="shared" si="218"/>
        <v>3414</v>
      </c>
    </row>
    <row r="549" spans="1:45" s="191" customFormat="1" ht="24.95" customHeight="1">
      <c r="A549" s="1129"/>
      <c r="B549" s="1129"/>
      <c r="C549" s="1128"/>
      <c r="D549" s="1129"/>
      <c r="E549" s="1129"/>
      <c r="F549" s="1129"/>
      <c r="G549" s="1127"/>
      <c r="H549" s="1127"/>
      <c r="I549" s="1127"/>
      <c r="J549" s="1127"/>
      <c r="K549" s="1127"/>
      <c r="L549" s="1127"/>
      <c r="M549" s="1127"/>
      <c r="N549" s="1127"/>
      <c r="O549" s="1127"/>
      <c r="P549" s="1127"/>
      <c r="Q549" s="1127"/>
      <c r="R549" s="1130"/>
      <c r="S549" s="1127"/>
      <c r="T549" s="1129"/>
      <c r="U549" s="1130"/>
      <c r="V549" s="1127"/>
      <c r="W549" s="1127"/>
      <c r="X549" s="1127"/>
      <c r="Y549" s="1112"/>
      <c r="Z549" s="1112"/>
      <c r="AA549" s="1109"/>
      <c r="AB549" s="1109"/>
      <c r="AC549" s="1127"/>
      <c r="AD549" s="1127"/>
      <c r="AE549" s="190">
        <f t="shared" si="208"/>
        <v>0</v>
      </c>
      <c r="AF549" s="190">
        <f t="shared" si="209"/>
        <v>0</v>
      </c>
      <c r="AG549" s="190">
        <f t="shared" si="210"/>
        <v>0</v>
      </c>
      <c r="AH549" s="190">
        <f t="shared" si="211"/>
        <v>0</v>
      </c>
      <c r="AI549" s="190">
        <f t="shared" si="212"/>
        <v>0</v>
      </c>
      <c r="AJ549" s="190">
        <f t="shared" si="212"/>
        <v>0</v>
      </c>
      <c r="AK549" s="464">
        <f t="shared" si="213"/>
        <v>0</v>
      </c>
      <c r="AL549" s="464">
        <f t="shared" si="214"/>
        <v>0</v>
      </c>
      <c r="AM549" s="464">
        <f t="shared" si="215"/>
        <v>0</v>
      </c>
      <c r="AN549" s="464">
        <f t="shared" si="222"/>
        <v>0</v>
      </c>
      <c r="AO549" s="464">
        <f t="shared" si="223"/>
        <v>0</v>
      </c>
      <c r="AP549" s="464">
        <f t="shared" si="217"/>
        <v>0</v>
      </c>
      <c r="AQ549" s="464">
        <f t="shared" si="217"/>
        <v>0</v>
      </c>
      <c r="AR549" s="190"/>
      <c r="AS549" s="464">
        <f t="shared" si="218"/>
        <v>0</v>
      </c>
    </row>
    <row r="550" spans="1:45" s="191" customFormat="1" ht="24.95" customHeight="1">
      <c r="A550" s="1129"/>
      <c r="B550" s="1129"/>
      <c r="C550" s="1128" t="s">
        <v>767</v>
      </c>
      <c r="D550" s="1129"/>
      <c r="E550" s="1129" t="s">
        <v>656</v>
      </c>
      <c r="F550" s="1129">
        <v>3</v>
      </c>
      <c r="G550" s="1127">
        <v>3414</v>
      </c>
      <c r="H550" s="1127"/>
      <c r="I550" s="1127"/>
      <c r="J550" s="1127"/>
      <c r="K550" s="1127"/>
      <c r="L550" s="1127"/>
      <c r="M550" s="1127"/>
      <c r="N550" s="1127">
        <f>G550+H551</f>
        <v>3414</v>
      </c>
      <c r="O550" s="1127">
        <v>1</v>
      </c>
      <c r="P550" s="1127"/>
      <c r="Q550" s="1127"/>
      <c r="R550" s="1130">
        <v>0.1</v>
      </c>
      <c r="S550" s="1127">
        <f>N550*R550</f>
        <v>341.40000000000003</v>
      </c>
      <c r="T550" s="1129"/>
      <c r="U550" s="1130"/>
      <c r="V550" s="1127"/>
      <c r="W550" s="1127">
        <f>AD550</f>
        <v>3086</v>
      </c>
      <c r="X550" s="1127">
        <f>(N550+V550+Q551+S550)*O550+W550</f>
        <v>6841.4</v>
      </c>
      <c r="Y550" s="1112"/>
      <c r="Z550" s="1112">
        <f>X550+Y550</f>
        <v>6841.4</v>
      </c>
      <c r="AA550" s="1109">
        <f t="shared" si="221"/>
        <v>6841.4</v>
      </c>
      <c r="AB550" s="1109">
        <f>AA550-X550</f>
        <v>0</v>
      </c>
      <c r="AC550" s="1127">
        <f>6500*O550</f>
        <v>6500</v>
      </c>
      <c r="AD550" s="1127">
        <f>AC550-(N550*O550)</f>
        <v>3086</v>
      </c>
      <c r="AE550" s="190">
        <f t="shared" si="208"/>
        <v>3414</v>
      </c>
      <c r="AF550" s="190">
        <f t="shared" si="209"/>
        <v>0</v>
      </c>
      <c r="AG550" s="190">
        <f t="shared" si="210"/>
        <v>3414</v>
      </c>
      <c r="AH550" s="190">
        <f t="shared" si="211"/>
        <v>0</v>
      </c>
      <c r="AI550" s="190">
        <f t="shared" si="212"/>
        <v>0</v>
      </c>
      <c r="AJ550" s="190">
        <f t="shared" si="212"/>
        <v>0</v>
      </c>
      <c r="AK550" s="464">
        <f t="shared" si="213"/>
        <v>0</v>
      </c>
      <c r="AL550" s="464">
        <f t="shared" si="214"/>
        <v>0</v>
      </c>
      <c r="AM550" s="464">
        <f t="shared" si="215"/>
        <v>3086</v>
      </c>
      <c r="AN550" s="464">
        <f t="shared" si="222"/>
        <v>341.40000000000003</v>
      </c>
      <c r="AO550" s="464">
        <f t="shared" si="223"/>
        <v>0</v>
      </c>
      <c r="AP550" s="464">
        <f t="shared" si="217"/>
        <v>3414</v>
      </c>
      <c r="AQ550" s="464">
        <f t="shared" si="217"/>
        <v>0</v>
      </c>
      <c r="AR550" s="190"/>
      <c r="AS550" s="464">
        <f t="shared" si="218"/>
        <v>3414</v>
      </c>
    </row>
    <row r="551" spans="1:45" s="191" customFormat="1" ht="24.95" customHeight="1">
      <c r="A551" s="1129"/>
      <c r="B551" s="1129"/>
      <c r="C551" s="1128"/>
      <c r="D551" s="1129"/>
      <c r="E551" s="1129"/>
      <c r="F551" s="1129"/>
      <c r="G551" s="1127"/>
      <c r="H551" s="1127"/>
      <c r="I551" s="1127"/>
      <c r="J551" s="1127"/>
      <c r="K551" s="1127"/>
      <c r="L551" s="1127"/>
      <c r="M551" s="1127"/>
      <c r="N551" s="1127"/>
      <c r="O551" s="1127"/>
      <c r="P551" s="1127"/>
      <c r="Q551" s="1127"/>
      <c r="R551" s="1130"/>
      <c r="S551" s="1127"/>
      <c r="T551" s="1129"/>
      <c r="U551" s="1130"/>
      <c r="V551" s="1127"/>
      <c r="W551" s="1127"/>
      <c r="X551" s="1127"/>
      <c r="Y551" s="1112"/>
      <c r="Z551" s="1112"/>
      <c r="AA551" s="1109"/>
      <c r="AB551" s="1109"/>
      <c r="AC551" s="1127"/>
      <c r="AD551" s="1127"/>
      <c r="AE551" s="190">
        <f t="shared" si="208"/>
        <v>0</v>
      </c>
      <c r="AF551" s="190">
        <f t="shared" si="209"/>
        <v>0</v>
      </c>
      <c r="AG551" s="190">
        <f t="shared" si="210"/>
        <v>0</v>
      </c>
      <c r="AH551" s="190">
        <f t="shared" si="211"/>
        <v>0</v>
      </c>
      <c r="AI551" s="190">
        <f t="shared" si="212"/>
        <v>0</v>
      </c>
      <c r="AJ551" s="190">
        <f t="shared" si="212"/>
        <v>0</v>
      </c>
      <c r="AK551" s="464">
        <f t="shared" si="213"/>
        <v>0</v>
      </c>
      <c r="AL551" s="464">
        <f t="shared" si="214"/>
        <v>0</v>
      </c>
      <c r="AM551" s="464">
        <f t="shared" si="215"/>
        <v>0</v>
      </c>
      <c r="AN551" s="464">
        <f t="shared" si="222"/>
        <v>0</v>
      </c>
      <c r="AO551" s="464">
        <f t="shared" si="223"/>
        <v>0</v>
      </c>
      <c r="AP551" s="464">
        <f t="shared" si="217"/>
        <v>0</v>
      </c>
      <c r="AQ551" s="464">
        <f t="shared" si="217"/>
        <v>0</v>
      </c>
      <c r="AR551" s="190"/>
      <c r="AS551" s="464">
        <f t="shared" si="218"/>
        <v>0</v>
      </c>
    </row>
    <row r="552" spans="1:45" s="446" customFormat="1" ht="24.95" customHeight="1">
      <c r="A552" s="441"/>
      <c r="B552" s="441"/>
      <c r="C552" s="442" t="s">
        <v>318</v>
      </c>
      <c r="D552" s="443"/>
      <c r="E552" s="441"/>
      <c r="F552" s="441"/>
      <c r="G552" s="444">
        <f>SUM(G542:G551)</f>
        <v>17070</v>
      </c>
      <c r="H552" s="441"/>
      <c r="I552" s="441"/>
      <c r="J552" s="441"/>
      <c r="K552" s="441"/>
      <c r="L552" s="441"/>
      <c r="M552" s="441"/>
      <c r="N552" s="444">
        <f>SUM(N542:N551)</f>
        <v>17070</v>
      </c>
      <c r="O552" s="444">
        <f>SUM(O542:O551)</f>
        <v>5</v>
      </c>
      <c r="P552" s="444">
        <f>SUM(P542:P551)</f>
        <v>0</v>
      </c>
      <c r="Q552" s="444"/>
      <c r="R552" s="444"/>
      <c r="S552" s="444">
        <f>SUM(S542:S551)</f>
        <v>1707.0000000000002</v>
      </c>
      <c r="T552" s="444"/>
      <c r="U552" s="444"/>
      <c r="V552" s="444"/>
      <c r="W552" s="444">
        <f t="shared" ref="W552:AD552" si="224">SUM(W542:W551)</f>
        <v>15430</v>
      </c>
      <c r="X552" s="444">
        <f t="shared" si="224"/>
        <v>34207</v>
      </c>
      <c r="Y552" s="444">
        <f t="shared" si="224"/>
        <v>0</v>
      </c>
      <c r="Z552" s="444">
        <f t="shared" si="224"/>
        <v>34207</v>
      </c>
      <c r="AA552" s="499">
        <f t="shared" si="224"/>
        <v>34207</v>
      </c>
      <c r="AB552" s="499">
        <f t="shared" si="224"/>
        <v>0</v>
      </c>
      <c r="AC552" s="444">
        <f t="shared" si="224"/>
        <v>32500</v>
      </c>
      <c r="AD552" s="444">
        <f t="shared" si="224"/>
        <v>15430</v>
      </c>
      <c r="AE552" s="436"/>
      <c r="AF552" s="436"/>
      <c r="AG552" s="436"/>
      <c r="AH552" s="436"/>
      <c r="AI552" s="436"/>
      <c r="AJ552" s="436"/>
      <c r="AK552" s="437"/>
      <c r="AL552" s="437"/>
      <c r="AM552" s="437"/>
      <c r="AN552" s="437"/>
      <c r="AO552" s="437"/>
      <c r="AP552" s="437">
        <f t="shared" si="217"/>
        <v>0</v>
      </c>
      <c r="AQ552" s="437">
        <f t="shared" si="217"/>
        <v>0</v>
      </c>
      <c r="AR552" s="436"/>
      <c r="AS552" s="437">
        <f t="shared" si="218"/>
        <v>0</v>
      </c>
    </row>
    <row r="553" spans="1:45" s="446" customFormat="1" ht="24.95" customHeight="1">
      <c r="A553" s="441"/>
      <c r="B553" s="441"/>
      <c r="C553" s="1136" t="s">
        <v>774</v>
      </c>
      <c r="D553" s="1137"/>
      <c r="E553" s="441"/>
      <c r="F553" s="441"/>
      <c r="G553" s="451">
        <f>G445+G469+G481+G495+G507+G521+G525+G535+G552</f>
        <v>130252</v>
      </c>
      <c r="H553" s="441"/>
      <c r="I553" s="441"/>
      <c r="J553" s="441"/>
      <c r="K553" s="441"/>
      <c r="L553" s="451">
        <f>L445+L469+L481+L495+L507+L521+L525+L535+L552</f>
        <v>5633.1000000000013</v>
      </c>
      <c r="M553" s="441"/>
      <c r="N553" s="444">
        <f>N445+N469+N481+N495+N507+N521+N525+N535+N552+N540</f>
        <v>139299.09999999998</v>
      </c>
      <c r="O553" s="444">
        <f>O445+O469+O481+O495+O507+O521+O525+O535+O552+O540</f>
        <v>39</v>
      </c>
      <c r="P553" s="444">
        <f>P445+P469+P481+P495+P507+P521+P525+P535+P552+P540</f>
        <v>0</v>
      </c>
      <c r="Q553" s="444"/>
      <c r="R553" s="444"/>
      <c r="S553" s="444">
        <f>S445+S469+S481+S495+S507+S521+S525+S535+S552+S540</f>
        <v>13929.91</v>
      </c>
      <c r="T553" s="444"/>
      <c r="U553" s="444"/>
      <c r="V553" s="444"/>
      <c r="W553" s="444">
        <f t="shared" ref="W553:AB553" si="225">W445+W469+W481+W495+W507+W521+W525+W535+W552+W540</f>
        <v>114200.90000000001</v>
      </c>
      <c r="X553" s="444">
        <f t="shared" si="225"/>
        <v>267429.90999999997</v>
      </c>
      <c r="Y553" s="444">
        <f t="shared" si="225"/>
        <v>0</v>
      </c>
      <c r="Z553" s="444">
        <f t="shared" si="225"/>
        <v>267429.90999999997</v>
      </c>
      <c r="AA553" s="499">
        <f t="shared" si="225"/>
        <v>267429.90999999997</v>
      </c>
      <c r="AB553" s="499">
        <f t="shared" si="225"/>
        <v>0</v>
      </c>
      <c r="AC553" s="444">
        <f>AC445+AC469+AC481+AC495+AC507+AC521+AC525+AC535+AC552</f>
        <v>247000</v>
      </c>
      <c r="AD553" s="444">
        <f>AD445+AD469+AD481+AD495+AD507+AD521+AD525+AD535+AD552</f>
        <v>111114.90000000001</v>
      </c>
      <c r="AE553" s="436"/>
      <c r="AF553" s="436"/>
      <c r="AG553" s="436"/>
      <c r="AH553" s="436"/>
      <c r="AI553" s="436"/>
      <c r="AJ553" s="436"/>
      <c r="AK553" s="437"/>
      <c r="AL553" s="437"/>
      <c r="AM553" s="437"/>
      <c r="AN553" s="437"/>
      <c r="AO553" s="437"/>
      <c r="AP553" s="437">
        <f t="shared" si="217"/>
        <v>0</v>
      </c>
      <c r="AQ553" s="437">
        <f t="shared" si="217"/>
        <v>0</v>
      </c>
      <c r="AR553" s="436"/>
      <c r="AS553" s="437">
        <f t="shared" si="218"/>
        <v>0</v>
      </c>
    </row>
    <row r="554" spans="1:45" s="456" customFormat="1" ht="24.95" customHeight="1">
      <c r="A554" s="455"/>
      <c r="B554" s="455"/>
      <c r="C554" s="1135" t="s">
        <v>775</v>
      </c>
      <c r="D554" s="1135"/>
      <c r="E554" s="455"/>
      <c r="F554" s="455"/>
      <c r="G554" s="455"/>
      <c r="H554" s="455"/>
      <c r="I554" s="455"/>
      <c r="J554" s="455"/>
      <c r="K554" s="455"/>
      <c r="L554" s="455"/>
      <c r="M554" s="455"/>
      <c r="N554" s="455"/>
      <c r="O554" s="455"/>
      <c r="P554" s="455"/>
      <c r="Q554" s="455"/>
      <c r="R554" s="455"/>
      <c r="S554" s="455"/>
      <c r="T554" s="455"/>
      <c r="U554" s="455"/>
      <c r="V554" s="455"/>
      <c r="W554" s="455"/>
      <c r="X554" s="455"/>
      <c r="Y554" s="455"/>
      <c r="Z554" s="455"/>
      <c r="AA554" s="504"/>
      <c r="AB554" s="504"/>
      <c r="AC554" s="455"/>
      <c r="AD554" s="455"/>
      <c r="AE554" s="436">
        <f t="shared" si="208"/>
        <v>0</v>
      </c>
      <c r="AF554" s="436">
        <f t="shared" si="209"/>
        <v>0</v>
      </c>
      <c r="AG554" s="436">
        <f t="shared" si="210"/>
        <v>0</v>
      </c>
      <c r="AH554" s="436">
        <f t="shared" si="211"/>
        <v>0</v>
      </c>
      <c r="AI554" s="436">
        <f t="shared" si="212"/>
        <v>0</v>
      </c>
      <c r="AJ554" s="436">
        <f t="shared" si="212"/>
        <v>0</v>
      </c>
      <c r="AK554" s="437">
        <f t="shared" si="213"/>
        <v>0</v>
      </c>
      <c r="AL554" s="437">
        <f t="shared" si="214"/>
        <v>0</v>
      </c>
      <c r="AM554" s="437">
        <f t="shared" si="215"/>
        <v>0</v>
      </c>
      <c r="AN554" s="437">
        <f t="shared" si="222"/>
        <v>0</v>
      </c>
      <c r="AO554" s="437">
        <f t="shared" si="223"/>
        <v>0</v>
      </c>
      <c r="AP554" s="437">
        <f t="shared" si="217"/>
        <v>0</v>
      </c>
      <c r="AQ554" s="437">
        <f t="shared" si="217"/>
        <v>0</v>
      </c>
      <c r="AR554" s="436"/>
      <c r="AS554" s="437">
        <f t="shared" si="218"/>
        <v>0</v>
      </c>
    </row>
    <row r="555" spans="1:45" s="191" customFormat="1" ht="24.95" customHeight="1">
      <c r="A555" s="1129"/>
      <c r="B555" s="1129"/>
      <c r="C555" s="1128" t="s">
        <v>776</v>
      </c>
      <c r="D555" s="1126"/>
      <c r="E555" s="1129" t="s">
        <v>777</v>
      </c>
      <c r="F555" s="1126">
        <v>5</v>
      </c>
      <c r="G555" s="1127">
        <v>3934</v>
      </c>
      <c r="H555" s="1127"/>
      <c r="I555" s="1127"/>
      <c r="J555" s="1127"/>
      <c r="K555" s="1127"/>
      <c r="L555" s="1127"/>
      <c r="M555" s="1127"/>
      <c r="N555" s="1127">
        <f>G555+H556</f>
        <v>3934</v>
      </c>
      <c r="O555" s="1127">
        <v>1</v>
      </c>
      <c r="P555" s="1127"/>
      <c r="Q555" s="1127"/>
      <c r="R555" s="1127"/>
      <c r="S555" s="1127"/>
      <c r="T555" s="1129"/>
      <c r="U555" s="1130"/>
      <c r="V555" s="1127"/>
      <c r="W555" s="1127">
        <f>AD555</f>
        <v>2566</v>
      </c>
      <c r="X555" s="1127">
        <f>(N555+V555+Q556+S555)*O555+W555</f>
        <v>6500</v>
      </c>
      <c r="Y555" s="1112"/>
      <c r="Z555" s="1112">
        <f>X555+Y555</f>
        <v>6500</v>
      </c>
      <c r="AA555" s="1109">
        <f>10000*O555</f>
        <v>10000</v>
      </c>
      <c r="AB555" s="1109"/>
      <c r="AC555" s="1127">
        <f>6500*O555</f>
        <v>6500</v>
      </c>
      <c r="AD555" s="1127">
        <f>AC555-(N555*O555)</f>
        <v>2566</v>
      </c>
      <c r="AE555" s="190">
        <f t="shared" si="208"/>
        <v>3934</v>
      </c>
      <c r="AF555" s="190">
        <f t="shared" si="209"/>
        <v>0</v>
      </c>
      <c r="AG555" s="190">
        <f t="shared" si="210"/>
        <v>3934</v>
      </c>
      <c r="AH555" s="190">
        <f t="shared" si="211"/>
        <v>0</v>
      </c>
      <c r="AI555" s="190">
        <f t="shared" si="212"/>
        <v>0</v>
      </c>
      <c r="AJ555" s="190">
        <f t="shared" si="212"/>
        <v>0</v>
      </c>
      <c r="AK555" s="464">
        <f t="shared" si="213"/>
        <v>0</v>
      </c>
      <c r="AL555" s="464">
        <f t="shared" si="214"/>
        <v>0</v>
      </c>
      <c r="AM555" s="464">
        <f t="shared" si="215"/>
        <v>2566</v>
      </c>
      <c r="AN555" s="464">
        <f t="shared" si="222"/>
        <v>0</v>
      </c>
      <c r="AO555" s="464">
        <f t="shared" si="223"/>
        <v>0</v>
      </c>
      <c r="AP555" s="464">
        <f t="shared" si="217"/>
        <v>3934</v>
      </c>
      <c r="AQ555" s="464">
        <f t="shared" si="217"/>
        <v>0</v>
      </c>
      <c r="AR555" s="190"/>
      <c r="AS555" s="464">
        <f t="shared" si="218"/>
        <v>3934</v>
      </c>
    </row>
    <row r="556" spans="1:45" s="191" customFormat="1" ht="24.95" customHeight="1">
      <c r="A556" s="1129"/>
      <c r="B556" s="1129"/>
      <c r="C556" s="1128"/>
      <c r="D556" s="1126"/>
      <c r="E556" s="1129"/>
      <c r="F556" s="1126"/>
      <c r="G556" s="1127"/>
      <c r="H556" s="1127"/>
      <c r="I556" s="1127"/>
      <c r="J556" s="1127"/>
      <c r="K556" s="1127"/>
      <c r="L556" s="1127"/>
      <c r="M556" s="1127"/>
      <c r="N556" s="1127"/>
      <c r="O556" s="1127"/>
      <c r="P556" s="1127"/>
      <c r="Q556" s="1127"/>
      <c r="R556" s="1127"/>
      <c r="S556" s="1127"/>
      <c r="T556" s="1129"/>
      <c r="U556" s="1130"/>
      <c r="V556" s="1127"/>
      <c r="W556" s="1127"/>
      <c r="X556" s="1127"/>
      <c r="Y556" s="1112"/>
      <c r="Z556" s="1112"/>
      <c r="AA556" s="1109"/>
      <c r="AB556" s="1109"/>
      <c r="AC556" s="1127"/>
      <c r="AD556" s="1127"/>
      <c r="AE556" s="190">
        <f t="shared" si="208"/>
        <v>0</v>
      </c>
      <c r="AF556" s="190">
        <f t="shared" si="209"/>
        <v>0</v>
      </c>
      <c r="AG556" s="190">
        <f t="shared" si="210"/>
        <v>0</v>
      </c>
      <c r="AH556" s="190">
        <f t="shared" si="211"/>
        <v>0</v>
      </c>
      <c r="AI556" s="190">
        <f t="shared" si="212"/>
        <v>0</v>
      </c>
      <c r="AJ556" s="190">
        <f t="shared" si="212"/>
        <v>0</v>
      </c>
      <c r="AK556" s="464">
        <f t="shared" si="213"/>
        <v>0</v>
      </c>
      <c r="AL556" s="464">
        <f t="shared" si="214"/>
        <v>0</v>
      </c>
      <c r="AM556" s="464">
        <f t="shared" si="215"/>
        <v>0</v>
      </c>
      <c r="AN556" s="464">
        <f t="shared" si="222"/>
        <v>0</v>
      </c>
      <c r="AO556" s="464">
        <f t="shared" si="223"/>
        <v>0</v>
      </c>
      <c r="AP556" s="464">
        <f t="shared" si="217"/>
        <v>0</v>
      </c>
      <c r="AQ556" s="464">
        <f t="shared" si="217"/>
        <v>0</v>
      </c>
      <c r="AR556" s="190"/>
      <c r="AS556" s="464">
        <f t="shared" si="218"/>
        <v>0</v>
      </c>
    </row>
    <row r="557" spans="1:45" s="446" customFormat="1" ht="24.95" customHeight="1">
      <c r="A557" s="441"/>
      <c r="B557" s="441"/>
      <c r="C557" s="442" t="s">
        <v>318</v>
      </c>
      <c r="D557" s="443"/>
      <c r="E557" s="441"/>
      <c r="F557" s="441"/>
      <c r="G557" s="444">
        <f>SUM(G555:G556)</f>
        <v>3934</v>
      </c>
      <c r="H557" s="441"/>
      <c r="I557" s="441"/>
      <c r="J557" s="441"/>
      <c r="K557" s="441"/>
      <c r="L557" s="441"/>
      <c r="M557" s="441"/>
      <c r="N557" s="444">
        <f>SUM(N555:N556)</f>
        <v>3934</v>
      </c>
      <c r="O557" s="444">
        <f>SUM(O555:O556)</f>
        <v>1</v>
      </c>
      <c r="P557" s="444">
        <f>SUM(P555:P556)</f>
        <v>0</v>
      </c>
      <c r="Q557" s="444"/>
      <c r="R557" s="444"/>
      <c r="S557" s="444">
        <f>SUM(S555:S556)</f>
        <v>0</v>
      </c>
      <c r="T557" s="444"/>
      <c r="U557" s="444"/>
      <c r="V557" s="444"/>
      <c r="W557" s="444">
        <f t="shared" ref="W557:AD557" si="226">SUM(W555:W556)</f>
        <v>2566</v>
      </c>
      <c r="X557" s="444">
        <f t="shared" si="226"/>
        <v>6500</v>
      </c>
      <c r="Y557" s="444">
        <f t="shared" si="226"/>
        <v>0</v>
      </c>
      <c r="Z557" s="444">
        <f t="shared" si="226"/>
        <v>6500</v>
      </c>
      <c r="AA557" s="499">
        <f t="shared" si="226"/>
        <v>10000</v>
      </c>
      <c r="AB557" s="499">
        <f t="shared" si="226"/>
        <v>0</v>
      </c>
      <c r="AC557" s="444">
        <f t="shared" si="226"/>
        <v>6500</v>
      </c>
      <c r="AD557" s="444">
        <f t="shared" si="226"/>
        <v>2566</v>
      </c>
      <c r="AE557" s="436"/>
      <c r="AF557" s="436"/>
      <c r="AG557" s="436"/>
      <c r="AH557" s="436"/>
      <c r="AI557" s="436"/>
      <c r="AJ557" s="436"/>
      <c r="AK557" s="437"/>
      <c r="AL557" s="437"/>
      <c r="AM557" s="437"/>
      <c r="AN557" s="437"/>
      <c r="AO557" s="437"/>
      <c r="AP557" s="437">
        <f t="shared" si="217"/>
        <v>0</v>
      </c>
      <c r="AQ557" s="437">
        <f t="shared" si="217"/>
        <v>0</v>
      </c>
      <c r="AR557" s="436"/>
      <c r="AS557" s="437">
        <f t="shared" si="218"/>
        <v>0</v>
      </c>
    </row>
    <row r="558" spans="1:45" s="456" customFormat="1" ht="24.95" customHeight="1">
      <c r="A558" s="455"/>
      <c r="B558" s="455"/>
      <c r="C558" s="1135" t="s">
        <v>778</v>
      </c>
      <c r="D558" s="1135"/>
      <c r="E558" s="455"/>
      <c r="F558" s="455"/>
      <c r="G558" s="455"/>
      <c r="H558" s="455"/>
      <c r="I558" s="455"/>
      <c r="J558" s="455"/>
      <c r="K558" s="455"/>
      <c r="L558" s="455"/>
      <c r="M558" s="455"/>
      <c r="N558" s="455"/>
      <c r="O558" s="455"/>
      <c r="P558" s="455"/>
      <c r="Q558" s="455"/>
      <c r="R558" s="455"/>
      <c r="S558" s="455"/>
      <c r="T558" s="455"/>
      <c r="U558" s="455"/>
      <c r="V558" s="455"/>
      <c r="W558" s="455"/>
      <c r="X558" s="455"/>
      <c r="Y558" s="455"/>
      <c r="Z558" s="455"/>
      <c r="AA558" s="504"/>
      <c r="AB558" s="504"/>
      <c r="AC558" s="455"/>
      <c r="AD558" s="455"/>
      <c r="AE558" s="436">
        <f t="shared" si="208"/>
        <v>0</v>
      </c>
      <c r="AF558" s="436">
        <f t="shared" si="209"/>
        <v>0</v>
      </c>
      <c r="AG558" s="436">
        <f t="shared" si="210"/>
        <v>0</v>
      </c>
      <c r="AH558" s="436">
        <f t="shared" si="211"/>
        <v>0</v>
      </c>
      <c r="AI558" s="436">
        <f t="shared" si="212"/>
        <v>0</v>
      </c>
      <c r="AJ558" s="436">
        <f t="shared" si="212"/>
        <v>0</v>
      </c>
      <c r="AK558" s="437">
        <f t="shared" si="213"/>
        <v>0</v>
      </c>
      <c r="AL558" s="437">
        <f t="shared" si="214"/>
        <v>0</v>
      </c>
      <c r="AM558" s="437">
        <f t="shared" si="215"/>
        <v>0</v>
      </c>
      <c r="AN558" s="437">
        <f t="shared" si="222"/>
        <v>0</v>
      </c>
      <c r="AO558" s="437">
        <f t="shared" si="223"/>
        <v>0</v>
      </c>
      <c r="AP558" s="437">
        <f t="shared" si="217"/>
        <v>0</v>
      </c>
      <c r="AQ558" s="437">
        <f t="shared" si="217"/>
        <v>0</v>
      </c>
      <c r="AR558" s="436"/>
      <c r="AS558" s="437">
        <f t="shared" si="218"/>
        <v>0</v>
      </c>
    </row>
    <row r="559" spans="1:45" s="456" customFormat="1" ht="24.95" customHeight="1">
      <c r="A559" s="455"/>
      <c r="B559" s="455"/>
      <c r="C559" s="1135" t="s">
        <v>779</v>
      </c>
      <c r="D559" s="1135"/>
      <c r="E559" s="455"/>
      <c r="F559" s="455"/>
      <c r="G559" s="455"/>
      <c r="H559" s="455"/>
      <c r="I559" s="455"/>
      <c r="J559" s="455"/>
      <c r="K559" s="455"/>
      <c r="L559" s="455"/>
      <c r="M559" s="455"/>
      <c r="N559" s="455"/>
      <c r="O559" s="455"/>
      <c r="P559" s="455"/>
      <c r="Q559" s="455"/>
      <c r="R559" s="455"/>
      <c r="S559" s="455"/>
      <c r="T559" s="455"/>
      <c r="U559" s="455"/>
      <c r="V559" s="455"/>
      <c r="W559" s="455"/>
      <c r="X559" s="455"/>
      <c r="Y559" s="455"/>
      <c r="Z559" s="455"/>
      <c r="AA559" s="504"/>
      <c r="AB559" s="504"/>
      <c r="AC559" s="455"/>
      <c r="AD559" s="455"/>
      <c r="AE559" s="436">
        <f t="shared" si="208"/>
        <v>0</v>
      </c>
      <c r="AF559" s="436">
        <f t="shared" si="209"/>
        <v>0</v>
      </c>
      <c r="AG559" s="436">
        <f t="shared" si="210"/>
        <v>0</v>
      </c>
      <c r="AH559" s="436">
        <f t="shared" si="211"/>
        <v>0</v>
      </c>
      <c r="AI559" s="436">
        <f t="shared" si="212"/>
        <v>0</v>
      </c>
      <c r="AJ559" s="436">
        <f t="shared" si="212"/>
        <v>0</v>
      </c>
      <c r="AK559" s="437">
        <f t="shared" si="213"/>
        <v>0</v>
      </c>
      <c r="AL559" s="437">
        <f t="shared" si="214"/>
        <v>0</v>
      </c>
      <c r="AM559" s="437">
        <f t="shared" si="215"/>
        <v>0</v>
      </c>
      <c r="AN559" s="437">
        <f t="shared" si="222"/>
        <v>0</v>
      </c>
      <c r="AO559" s="437">
        <f t="shared" si="223"/>
        <v>0</v>
      </c>
      <c r="AP559" s="437">
        <f t="shared" si="217"/>
        <v>0</v>
      </c>
      <c r="AQ559" s="437">
        <f t="shared" si="217"/>
        <v>0</v>
      </c>
      <c r="AR559" s="436"/>
      <c r="AS559" s="437">
        <f t="shared" si="218"/>
        <v>0</v>
      </c>
    </row>
    <row r="560" spans="1:45" s="191" customFormat="1" ht="24.95" customHeight="1">
      <c r="A560" s="1129"/>
      <c r="B560" s="1129"/>
      <c r="C560" s="1128" t="s">
        <v>780</v>
      </c>
      <c r="D560" s="1129" t="s">
        <v>314</v>
      </c>
      <c r="E560" s="1129" t="s">
        <v>781</v>
      </c>
      <c r="F560" s="1126">
        <v>15</v>
      </c>
      <c r="G560" s="1127">
        <f>G15*90%</f>
        <v>11026.575000000001</v>
      </c>
      <c r="H560" s="1127"/>
      <c r="I560" s="1126"/>
      <c r="J560" s="1126"/>
      <c r="K560" s="302">
        <v>0.15</v>
      </c>
      <c r="L560" s="1126"/>
      <c r="M560" s="1126"/>
      <c r="N560" s="1127">
        <f>G560+H561+K561</f>
        <v>12680.561250000001</v>
      </c>
      <c r="O560" s="1127">
        <v>1</v>
      </c>
      <c r="P560" s="1126"/>
      <c r="Q560" s="1126"/>
      <c r="R560" s="1126"/>
      <c r="S560" s="1126"/>
      <c r="T560" s="1129"/>
      <c r="U560" s="1130"/>
      <c r="V560" s="1127"/>
      <c r="W560" s="1127"/>
      <c r="X560" s="1127">
        <f>(N560+V560)*O560</f>
        <v>12680.561250000001</v>
      </c>
      <c r="Y560" s="1112"/>
      <c r="Z560" s="1112">
        <f>X560+Y560</f>
        <v>12680.561250000001</v>
      </c>
      <c r="AA560" s="1109">
        <f>Z560</f>
        <v>12680.561250000001</v>
      </c>
      <c r="AB560" s="1109">
        <f>AA560-X560</f>
        <v>0</v>
      </c>
      <c r="AC560" s="1127">
        <f>6500*O560</f>
        <v>6500</v>
      </c>
      <c r="AD560" s="1127"/>
      <c r="AE560" s="465">
        <f t="shared" si="208"/>
        <v>11026.575000000001</v>
      </c>
      <c r="AF560" s="465">
        <f t="shared" si="209"/>
        <v>0</v>
      </c>
      <c r="AG560" s="465">
        <f t="shared" si="210"/>
        <v>12680.561250000001</v>
      </c>
      <c r="AH560" s="465">
        <f t="shared" si="211"/>
        <v>0</v>
      </c>
      <c r="AI560" s="465">
        <f t="shared" si="212"/>
        <v>1653.9862499999999</v>
      </c>
      <c r="AJ560" s="465">
        <f t="shared" si="212"/>
        <v>0</v>
      </c>
      <c r="AK560" s="465">
        <f t="shared" si="213"/>
        <v>0</v>
      </c>
      <c r="AL560" s="465">
        <f t="shared" si="214"/>
        <v>0</v>
      </c>
      <c r="AM560" s="464">
        <f t="shared" si="215"/>
        <v>0</v>
      </c>
      <c r="AN560" s="464">
        <f t="shared" si="222"/>
        <v>0</v>
      </c>
      <c r="AO560" s="464">
        <f t="shared" si="223"/>
        <v>0</v>
      </c>
      <c r="AP560" s="464">
        <f t="shared" si="217"/>
        <v>12680.561250000001</v>
      </c>
      <c r="AQ560" s="464">
        <f t="shared" si="217"/>
        <v>0</v>
      </c>
      <c r="AR560" s="465"/>
      <c r="AS560" s="464">
        <f t="shared" si="218"/>
        <v>12680.561250000001</v>
      </c>
    </row>
    <row r="561" spans="1:45" s="191" customFormat="1" ht="24.95" customHeight="1">
      <c r="A561" s="1129"/>
      <c r="B561" s="1129"/>
      <c r="C561" s="1128"/>
      <c r="D561" s="1129"/>
      <c r="E561" s="1129"/>
      <c r="F561" s="1126"/>
      <c r="G561" s="1127"/>
      <c r="H561" s="1127"/>
      <c r="I561" s="1126"/>
      <c r="J561" s="1126"/>
      <c r="K561" s="466">
        <f>G560*K560</f>
        <v>1653.9862500000002</v>
      </c>
      <c r="L561" s="1126"/>
      <c r="M561" s="1126"/>
      <c r="N561" s="1127"/>
      <c r="O561" s="1127"/>
      <c r="P561" s="1126"/>
      <c r="Q561" s="1126"/>
      <c r="R561" s="1126"/>
      <c r="S561" s="1126"/>
      <c r="T561" s="1129"/>
      <c r="U561" s="1130"/>
      <c r="V561" s="1127"/>
      <c r="W561" s="1127"/>
      <c r="X561" s="1127"/>
      <c r="Y561" s="1112"/>
      <c r="Z561" s="1112"/>
      <c r="AA561" s="1109"/>
      <c r="AB561" s="1109"/>
      <c r="AC561" s="1127"/>
      <c r="AD561" s="1127"/>
      <c r="AE561" s="465">
        <f t="shared" si="208"/>
        <v>0</v>
      </c>
      <c r="AF561" s="465">
        <f t="shared" si="209"/>
        <v>0</v>
      </c>
      <c r="AG561" s="465">
        <f t="shared" si="210"/>
        <v>0</v>
      </c>
      <c r="AH561" s="465">
        <f t="shared" si="211"/>
        <v>0</v>
      </c>
      <c r="AI561" s="465">
        <f t="shared" si="212"/>
        <v>0</v>
      </c>
      <c r="AJ561" s="465">
        <f t="shared" si="212"/>
        <v>0</v>
      </c>
      <c r="AK561" s="465">
        <f t="shared" si="213"/>
        <v>0</v>
      </c>
      <c r="AL561" s="465">
        <f t="shared" si="214"/>
        <v>0</v>
      </c>
      <c r="AM561" s="464">
        <f t="shared" si="215"/>
        <v>0</v>
      </c>
      <c r="AN561" s="464">
        <f t="shared" si="222"/>
        <v>0</v>
      </c>
      <c r="AO561" s="464">
        <f t="shared" si="223"/>
        <v>0</v>
      </c>
      <c r="AP561" s="464">
        <f t="shared" si="217"/>
        <v>0</v>
      </c>
      <c r="AQ561" s="464">
        <f t="shared" si="217"/>
        <v>0</v>
      </c>
      <c r="AR561" s="465"/>
      <c r="AS561" s="464">
        <f t="shared" si="218"/>
        <v>0</v>
      </c>
    </row>
    <row r="562" spans="1:45" s="191" customFormat="1" ht="24.95" customHeight="1">
      <c r="A562" s="1129"/>
      <c r="B562" s="1129"/>
      <c r="C562" s="1128" t="s">
        <v>782</v>
      </c>
      <c r="D562" s="1129" t="s">
        <v>314</v>
      </c>
      <c r="E562" s="1129" t="s">
        <v>783</v>
      </c>
      <c r="F562" s="1126">
        <v>15</v>
      </c>
      <c r="G562" s="1127">
        <f>G560*90%</f>
        <v>9923.9175000000014</v>
      </c>
      <c r="H562" s="1127"/>
      <c r="I562" s="1127"/>
      <c r="J562" s="1127"/>
      <c r="K562" s="302">
        <v>0.15</v>
      </c>
      <c r="L562" s="1127"/>
      <c r="M562" s="1127"/>
      <c r="N562" s="1127">
        <f>G562+H563+K563</f>
        <v>11412.505125000001</v>
      </c>
      <c r="O562" s="1127">
        <v>1</v>
      </c>
      <c r="P562" s="1126"/>
      <c r="Q562" s="1126"/>
      <c r="R562" s="1126"/>
      <c r="S562" s="1126"/>
      <c r="T562" s="1129"/>
      <c r="U562" s="1130"/>
      <c r="V562" s="1127"/>
      <c r="W562" s="1127"/>
      <c r="X562" s="1127">
        <f>(N562+V562)*O562</f>
        <v>11412.505125000001</v>
      </c>
      <c r="Y562" s="1112"/>
      <c r="Z562" s="1112">
        <f>X562+Y562</f>
        <v>11412.505125000001</v>
      </c>
      <c r="AA562" s="1109">
        <f>Z562</f>
        <v>11412.505125000001</v>
      </c>
      <c r="AB562" s="1109">
        <f>AA562-X562</f>
        <v>0</v>
      </c>
      <c r="AC562" s="1127">
        <f>6500*O562</f>
        <v>6500</v>
      </c>
      <c r="AD562" s="1127"/>
      <c r="AE562" s="465">
        <f t="shared" si="208"/>
        <v>9923.9175000000014</v>
      </c>
      <c r="AF562" s="465">
        <f t="shared" si="209"/>
        <v>0</v>
      </c>
      <c r="AG562" s="465">
        <f t="shared" si="210"/>
        <v>11412.505125000001</v>
      </c>
      <c r="AH562" s="465">
        <f t="shared" si="211"/>
        <v>0</v>
      </c>
      <c r="AI562" s="465">
        <f t="shared" si="212"/>
        <v>1488.5876250000001</v>
      </c>
      <c r="AJ562" s="465">
        <f t="shared" si="212"/>
        <v>0</v>
      </c>
      <c r="AK562" s="465">
        <f t="shared" si="213"/>
        <v>0</v>
      </c>
      <c r="AL562" s="465">
        <f t="shared" si="214"/>
        <v>0</v>
      </c>
      <c r="AM562" s="464">
        <f t="shared" si="215"/>
        <v>0</v>
      </c>
      <c r="AN562" s="464">
        <f t="shared" si="222"/>
        <v>0</v>
      </c>
      <c r="AO562" s="464">
        <f t="shared" si="223"/>
        <v>0</v>
      </c>
      <c r="AP562" s="464">
        <f t="shared" si="217"/>
        <v>11412.505125000001</v>
      </c>
      <c r="AQ562" s="464">
        <f t="shared" si="217"/>
        <v>0</v>
      </c>
      <c r="AR562" s="465"/>
      <c r="AS562" s="464">
        <f t="shared" si="218"/>
        <v>11412.505125000001</v>
      </c>
    </row>
    <row r="563" spans="1:45" s="191" customFormat="1" ht="24.95" customHeight="1">
      <c r="A563" s="1129"/>
      <c r="B563" s="1129"/>
      <c r="C563" s="1128"/>
      <c r="D563" s="1129"/>
      <c r="E563" s="1129"/>
      <c r="F563" s="1126"/>
      <c r="G563" s="1127"/>
      <c r="H563" s="1127"/>
      <c r="I563" s="1127"/>
      <c r="J563" s="1127"/>
      <c r="K563" s="466">
        <f>G562*K562</f>
        <v>1488.5876250000001</v>
      </c>
      <c r="L563" s="1127"/>
      <c r="M563" s="1127"/>
      <c r="N563" s="1127"/>
      <c r="O563" s="1127"/>
      <c r="P563" s="1126"/>
      <c r="Q563" s="1126"/>
      <c r="R563" s="1126"/>
      <c r="S563" s="1126"/>
      <c r="T563" s="1129"/>
      <c r="U563" s="1130"/>
      <c r="V563" s="1127"/>
      <c r="W563" s="1127"/>
      <c r="X563" s="1127"/>
      <c r="Y563" s="1112"/>
      <c r="Z563" s="1112"/>
      <c r="AA563" s="1109"/>
      <c r="AB563" s="1109"/>
      <c r="AC563" s="1127"/>
      <c r="AD563" s="1127"/>
      <c r="AE563" s="190">
        <f t="shared" si="208"/>
        <v>0</v>
      </c>
      <c r="AF563" s="190">
        <f t="shared" si="209"/>
        <v>0</v>
      </c>
      <c r="AG563" s="190">
        <f t="shared" si="210"/>
        <v>0</v>
      </c>
      <c r="AH563" s="190">
        <f t="shared" si="211"/>
        <v>0</v>
      </c>
      <c r="AI563" s="190">
        <f t="shared" si="212"/>
        <v>0</v>
      </c>
      <c r="AJ563" s="190">
        <f t="shared" si="212"/>
        <v>0</v>
      </c>
      <c r="AK563" s="464">
        <f t="shared" si="213"/>
        <v>0</v>
      </c>
      <c r="AL563" s="464">
        <f t="shared" si="214"/>
        <v>0</v>
      </c>
      <c r="AM563" s="464">
        <f t="shared" si="215"/>
        <v>0</v>
      </c>
      <c r="AN563" s="464">
        <f t="shared" si="222"/>
        <v>0</v>
      </c>
      <c r="AO563" s="464">
        <f t="shared" si="223"/>
        <v>0</v>
      </c>
      <c r="AP563" s="464">
        <f t="shared" si="217"/>
        <v>0</v>
      </c>
      <c r="AQ563" s="464">
        <f t="shared" si="217"/>
        <v>0</v>
      </c>
      <c r="AR563" s="190"/>
      <c r="AS563" s="464">
        <f t="shared" si="218"/>
        <v>0</v>
      </c>
    </row>
    <row r="564" spans="1:45" s="191" customFormat="1" ht="24.95" customHeight="1">
      <c r="A564" s="1129"/>
      <c r="B564" s="1129"/>
      <c r="C564" s="1128" t="s">
        <v>784</v>
      </c>
      <c r="D564" s="1129" t="s">
        <v>785</v>
      </c>
      <c r="E564" s="1129" t="s">
        <v>786</v>
      </c>
      <c r="F564" s="1129">
        <v>8</v>
      </c>
      <c r="G564" s="1127">
        <v>4745</v>
      </c>
      <c r="H564" s="1127"/>
      <c r="I564" s="1127"/>
      <c r="J564" s="1127"/>
      <c r="K564" s="1127"/>
      <c r="L564" s="1127"/>
      <c r="M564" s="1127"/>
      <c r="N564" s="1127">
        <f>G564+H565</f>
        <v>4745</v>
      </c>
      <c r="O564" s="1127">
        <v>1</v>
      </c>
      <c r="P564" s="1127"/>
      <c r="Q564" s="1126"/>
      <c r="R564" s="1126"/>
      <c r="S564" s="1126"/>
      <c r="T564" s="1129"/>
      <c r="U564" s="1130"/>
      <c r="V564" s="1127"/>
      <c r="W564" s="1127">
        <f>AD564</f>
        <v>1755</v>
      </c>
      <c r="X564" s="1127">
        <f>(N564+V564+Q565+S564)*O564+W564</f>
        <v>6500</v>
      </c>
      <c r="Y564" s="1112"/>
      <c r="Z564" s="1112">
        <f>X564+Y564</f>
        <v>6500</v>
      </c>
      <c r="AA564" s="1109">
        <f>Z564</f>
        <v>6500</v>
      </c>
      <c r="AB564" s="1109">
        <f>AA564-X564</f>
        <v>0</v>
      </c>
      <c r="AC564" s="1127">
        <f>6500*O564</f>
        <v>6500</v>
      </c>
      <c r="AD564" s="1127">
        <f>AC564-(N564*O564)</f>
        <v>1755</v>
      </c>
      <c r="AE564" s="190">
        <f>G564*O564</f>
        <v>4745</v>
      </c>
      <c r="AF564" s="190">
        <f>G564*P564</f>
        <v>0</v>
      </c>
      <c r="AG564" s="190">
        <f>N564*O564</f>
        <v>4745</v>
      </c>
      <c r="AH564" s="190">
        <f>N564*P564</f>
        <v>0</v>
      </c>
      <c r="AI564" s="190">
        <f t="shared" ref="AI564:AJ579" si="227">AG564-AE564</f>
        <v>0</v>
      </c>
      <c r="AJ564" s="190">
        <f t="shared" si="227"/>
        <v>0</v>
      </c>
      <c r="AK564" s="464">
        <f>V564*O564</f>
        <v>0</v>
      </c>
      <c r="AL564" s="464">
        <f>V564*P564</f>
        <v>0</v>
      </c>
      <c r="AM564" s="464">
        <f>W564</f>
        <v>1755</v>
      </c>
      <c r="AN564" s="464">
        <f>S564*O564</f>
        <v>0</v>
      </c>
      <c r="AO564" s="464">
        <f>S564*P564</f>
        <v>0</v>
      </c>
      <c r="AP564" s="464">
        <f t="shared" si="217"/>
        <v>4745</v>
      </c>
      <c r="AQ564" s="464">
        <f t="shared" si="217"/>
        <v>0</v>
      </c>
      <c r="AR564" s="190"/>
      <c r="AS564" s="464">
        <f>AP564+AQ564-AR564</f>
        <v>4745</v>
      </c>
    </row>
    <row r="565" spans="1:45" s="191" customFormat="1" ht="24.95" customHeight="1">
      <c r="A565" s="1129"/>
      <c r="B565" s="1129"/>
      <c r="C565" s="1128"/>
      <c r="D565" s="1129"/>
      <c r="E565" s="1129"/>
      <c r="F565" s="1129"/>
      <c r="G565" s="1127"/>
      <c r="H565" s="1127"/>
      <c r="I565" s="1127"/>
      <c r="J565" s="1127"/>
      <c r="K565" s="1127"/>
      <c r="L565" s="1127"/>
      <c r="M565" s="1127"/>
      <c r="N565" s="1127"/>
      <c r="O565" s="1127"/>
      <c r="P565" s="1126"/>
      <c r="Q565" s="1126"/>
      <c r="R565" s="1126"/>
      <c r="S565" s="1126"/>
      <c r="T565" s="1129"/>
      <c r="U565" s="1130"/>
      <c r="V565" s="1127"/>
      <c r="W565" s="1127"/>
      <c r="X565" s="1127"/>
      <c r="Y565" s="1112"/>
      <c r="Z565" s="1112"/>
      <c r="AA565" s="1109"/>
      <c r="AB565" s="1109"/>
      <c r="AC565" s="1127"/>
      <c r="AD565" s="1127"/>
      <c r="AE565" s="190">
        <f>G565*O565</f>
        <v>0</v>
      </c>
      <c r="AF565" s="190">
        <f>G565*P565</f>
        <v>0</v>
      </c>
      <c r="AG565" s="190">
        <f>N565*O565</f>
        <v>0</v>
      </c>
      <c r="AH565" s="190">
        <f>N565*P565</f>
        <v>0</v>
      </c>
      <c r="AI565" s="190">
        <f t="shared" si="227"/>
        <v>0</v>
      </c>
      <c r="AJ565" s="190">
        <f t="shared" si="227"/>
        <v>0</v>
      </c>
      <c r="AK565" s="464">
        <f>V565*O565</f>
        <v>0</v>
      </c>
      <c r="AL565" s="464">
        <f>V565*P565</f>
        <v>0</v>
      </c>
      <c r="AM565" s="464">
        <f>W565</f>
        <v>0</v>
      </c>
      <c r="AN565" s="464">
        <f>S565*O565</f>
        <v>0</v>
      </c>
      <c r="AO565" s="464">
        <f>S565*P565</f>
        <v>0</v>
      </c>
      <c r="AP565" s="464">
        <f t="shared" si="217"/>
        <v>0</v>
      </c>
      <c r="AQ565" s="464">
        <f t="shared" si="217"/>
        <v>0</v>
      </c>
      <c r="AR565" s="190"/>
      <c r="AS565" s="464">
        <f>AP565+AQ565-AR565</f>
        <v>0</v>
      </c>
    </row>
    <row r="566" spans="1:45" s="191" customFormat="1" ht="24.95" customHeight="1">
      <c r="A566" s="1129"/>
      <c r="B566" s="1129"/>
      <c r="C566" s="1128" t="s">
        <v>784</v>
      </c>
      <c r="D566" s="1129"/>
      <c r="E566" s="1129" t="s">
        <v>787</v>
      </c>
      <c r="F566" s="1129">
        <v>7</v>
      </c>
      <c r="G566" s="1127">
        <v>4455</v>
      </c>
      <c r="H566" s="1127"/>
      <c r="I566" s="1127"/>
      <c r="J566" s="1127"/>
      <c r="K566" s="1127"/>
      <c r="L566" s="1127"/>
      <c r="M566" s="1127"/>
      <c r="N566" s="1127">
        <f>G566+H567</f>
        <v>4455</v>
      </c>
      <c r="O566" s="1127">
        <v>1</v>
      </c>
      <c r="P566" s="1127"/>
      <c r="Q566" s="1126"/>
      <c r="R566" s="1126"/>
      <c r="S566" s="1126"/>
      <c r="T566" s="1129"/>
      <c r="U566" s="1130"/>
      <c r="V566" s="1127"/>
      <c r="W566" s="1127">
        <f>AD566</f>
        <v>2045</v>
      </c>
      <c r="X566" s="1127">
        <f>(N566+V566+Q567+S566)*O566+W566</f>
        <v>6500</v>
      </c>
      <c r="Y566" s="1112"/>
      <c r="Z566" s="1112">
        <f>X566+Y566</f>
        <v>6500</v>
      </c>
      <c r="AA566" s="1109">
        <f>Z566</f>
        <v>6500</v>
      </c>
      <c r="AB566" s="1109">
        <f>AA566-X566</f>
        <v>0</v>
      </c>
      <c r="AC566" s="1127">
        <f>6500*O566</f>
        <v>6500</v>
      </c>
      <c r="AD566" s="1127">
        <f>AC566-(N566*O566)</f>
        <v>2045</v>
      </c>
      <c r="AE566" s="190">
        <f>G566*O566</f>
        <v>4455</v>
      </c>
      <c r="AF566" s="190">
        <f>G566*P566</f>
        <v>0</v>
      </c>
      <c r="AG566" s="190">
        <f>N566*O566</f>
        <v>4455</v>
      </c>
      <c r="AH566" s="190">
        <f>N566*P566</f>
        <v>0</v>
      </c>
      <c r="AI566" s="190">
        <f t="shared" si="227"/>
        <v>0</v>
      </c>
      <c r="AJ566" s="190">
        <f t="shared" si="227"/>
        <v>0</v>
      </c>
      <c r="AK566" s="464">
        <f>V566*O566</f>
        <v>0</v>
      </c>
      <c r="AL566" s="464">
        <f>V566*P566</f>
        <v>0</v>
      </c>
      <c r="AM566" s="464">
        <f>W566</f>
        <v>2045</v>
      </c>
      <c r="AN566" s="464">
        <f>S566*O566</f>
        <v>0</v>
      </c>
      <c r="AO566" s="464">
        <f>S566*P566</f>
        <v>0</v>
      </c>
      <c r="AP566" s="464">
        <f t="shared" si="217"/>
        <v>4455</v>
      </c>
      <c r="AQ566" s="464">
        <f t="shared" si="217"/>
        <v>0</v>
      </c>
      <c r="AR566" s="190"/>
      <c r="AS566" s="464">
        <f>AP566+AQ566-AR566</f>
        <v>4455</v>
      </c>
    </row>
    <row r="567" spans="1:45" s="191" customFormat="1" ht="24.95" customHeight="1">
      <c r="A567" s="1129"/>
      <c r="B567" s="1129"/>
      <c r="C567" s="1128"/>
      <c r="D567" s="1129"/>
      <c r="E567" s="1129"/>
      <c r="F567" s="1129"/>
      <c r="G567" s="1127"/>
      <c r="H567" s="1127"/>
      <c r="I567" s="1127"/>
      <c r="J567" s="1127"/>
      <c r="K567" s="1127"/>
      <c r="L567" s="1127"/>
      <c r="M567" s="1127"/>
      <c r="N567" s="1127"/>
      <c r="O567" s="1127"/>
      <c r="P567" s="1126"/>
      <c r="Q567" s="1126"/>
      <c r="R567" s="1126"/>
      <c r="S567" s="1126"/>
      <c r="T567" s="1129"/>
      <c r="U567" s="1130"/>
      <c r="V567" s="1127"/>
      <c r="W567" s="1127"/>
      <c r="X567" s="1127"/>
      <c r="Y567" s="1112"/>
      <c r="Z567" s="1112"/>
      <c r="AA567" s="1109"/>
      <c r="AB567" s="1109"/>
      <c r="AC567" s="1127"/>
      <c r="AD567" s="1127"/>
      <c r="AE567" s="190">
        <f>G567*O567</f>
        <v>0</v>
      </c>
      <c r="AF567" s="190">
        <f>G567*P567</f>
        <v>0</v>
      </c>
      <c r="AG567" s="190">
        <f>N567*O567</f>
        <v>0</v>
      </c>
      <c r="AH567" s="190">
        <f>N567*P567</f>
        <v>0</v>
      </c>
      <c r="AI567" s="190">
        <f t="shared" si="227"/>
        <v>0</v>
      </c>
      <c r="AJ567" s="190">
        <f t="shared" si="227"/>
        <v>0</v>
      </c>
      <c r="AK567" s="464">
        <f>V567*O567</f>
        <v>0</v>
      </c>
      <c r="AL567" s="464">
        <f>V567*P567</f>
        <v>0</v>
      </c>
      <c r="AM567" s="464">
        <f>W567</f>
        <v>0</v>
      </c>
      <c r="AN567" s="464">
        <f>S567*O567</f>
        <v>0</v>
      </c>
      <c r="AO567" s="464">
        <f>S567*P567</f>
        <v>0</v>
      </c>
      <c r="AP567" s="464">
        <f t="shared" si="217"/>
        <v>0</v>
      </c>
      <c r="AQ567" s="464">
        <f t="shared" si="217"/>
        <v>0</v>
      </c>
      <c r="AR567" s="190"/>
      <c r="AS567" s="464">
        <f>AP567+AQ567-AR567</f>
        <v>0</v>
      </c>
    </row>
    <row r="568" spans="1:45" s="191" customFormat="1" ht="24.95" customHeight="1">
      <c r="A568" s="1129"/>
      <c r="B568" s="1129"/>
      <c r="C568" s="1128" t="s">
        <v>789</v>
      </c>
      <c r="D568" s="1129" t="s">
        <v>788</v>
      </c>
      <c r="E568" s="1129" t="s">
        <v>790</v>
      </c>
      <c r="F568" s="1129">
        <v>10</v>
      </c>
      <c r="G568" s="1127">
        <v>5265</v>
      </c>
      <c r="H568" s="1127"/>
      <c r="I568" s="1127"/>
      <c r="J568" s="1127"/>
      <c r="K568" s="1127"/>
      <c r="L568" s="1127"/>
      <c r="M568" s="1127"/>
      <c r="N568" s="1127">
        <f>G568+H569</f>
        <v>5265</v>
      </c>
      <c r="O568" s="1127"/>
      <c r="P568" s="1126">
        <v>0.5</v>
      </c>
      <c r="Q568" s="1126"/>
      <c r="R568" s="1126"/>
      <c r="S568" s="1126"/>
      <c r="T568" s="1129"/>
      <c r="U568" s="1130"/>
      <c r="V568" s="1127"/>
      <c r="W568" s="1127">
        <f>AD568</f>
        <v>617.5</v>
      </c>
      <c r="X568" s="1127">
        <f>(N568+V568+Q569+S568)*P568+W568</f>
        <v>3250</v>
      </c>
      <c r="Y568" s="1112"/>
      <c r="Z568" s="1112">
        <f>X568+Y568</f>
        <v>3250</v>
      </c>
      <c r="AA568" s="1109">
        <f>Z568</f>
        <v>3250</v>
      </c>
      <c r="AB568" s="1109">
        <f>AA568-X568</f>
        <v>0</v>
      </c>
      <c r="AC568" s="1127">
        <f>6500*P568</f>
        <v>3250</v>
      </c>
      <c r="AD568" s="1127">
        <f>AC568-(N568*P568)</f>
        <v>617.5</v>
      </c>
      <c r="AE568" s="190">
        <f t="shared" ref="AE568:AE601" si="228">G568*O568</f>
        <v>0</v>
      </c>
      <c r="AF568" s="190">
        <f t="shared" ref="AF568:AF601" si="229">G568*P568</f>
        <v>2632.5</v>
      </c>
      <c r="AG568" s="190">
        <f t="shared" ref="AG568:AG601" si="230">N568*O568</f>
        <v>0</v>
      </c>
      <c r="AH568" s="190">
        <f t="shared" ref="AH568:AH601" si="231">N568*P568</f>
        <v>2632.5</v>
      </c>
      <c r="AI568" s="190">
        <f t="shared" si="227"/>
        <v>0</v>
      </c>
      <c r="AJ568" s="190">
        <f t="shared" si="227"/>
        <v>0</v>
      </c>
      <c r="AK568" s="464">
        <f t="shared" ref="AK568:AK601" si="232">V568*O568</f>
        <v>0</v>
      </c>
      <c r="AL568" s="464">
        <f t="shared" ref="AL568:AL601" si="233">V568*P568</f>
        <v>0</v>
      </c>
      <c r="AM568" s="464">
        <f t="shared" ref="AM568:AM601" si="234">W568</f>
        <v>617.5</v>
      </c>
      <c r="AN568" s="464">
        <f t="shared" si="222"/>
        <v>0</v>
      </c>
      <c r="AO568" s="464">
        <f t="shared" si="223"/>
        <v>0</v>
      </c>
      <c r="AP568" s="464">
        <f t="shared" si="217"/>
        <v>0</v>
      </c>
      <c r="AQ568" s="464">
        <f t="shared" si="217"/>
        <v>2632.5</v>
      </c>
      <c r="AR568" s="190"/>
      <c r="AS568" s="464">
        <f t="shared" si="218"/>
        <v>2632.5</v>
      </c>
    </row>
    <row r="569" spans="1:45" s="191" customFormat="1" ht="24.95" customHeight="1">
      <c r="A569" s="1129"/>
      <c r="B569" s="1129"/>
      <c r="C569" s="1128"/>
      <c r="D569" s="1129"/>
      <c r="E569" s="1129"/>
      <c r="F569" s="1129"/>
      <c r="G569" s="1127"/>
      <c r="H569" s="1127"/>
      <c r="I569" s="1127"/>
      <c r="J569" s="1127"/>
      <c r="K569" s="1127"/>
      <c r="L569" s="1127"/>
      <c r="M569" s="1127"/>
      <c r="N569" s="1127"/>
      <c r="O569" s="1127"/>
      <c r="P569" s="1126"/>
      <c r="Q569" s="1126"/>
      <c r="R569" s="1126"/>
      <c r="S569" s="1126"/>
      <c r="T569" s="1129"/>
      <c r="U569" s="1130"/>
      <c r="V569" s="1127"/>
      <c r="W569" s="1127"/>
      <c r="X569" s="1127"/>
      <c r="Y569" s="1112"/>
      <c r="Z569" s="1112"/>
      <c r="AA569" s="1109"/>
      <c r="AB569" s="1109"/>
      <c r="AC569" s="1127"/>
      <c r="AD569" s="1127"/>
      <c r="AE569" s="190">
        <f t="shared" si="228"/>
        <v>0</v>
      </c>
      <c r="AF569" s="190">
        <f t="shared" si="229"/>
        <v>0</v>
      </c>
      <c r="AG569" s="190">
        <f t="shared" si="230"/>
        <v>0</v>
      </c>
      <c r="AH569" s="190">
        <f t="shared" si="231"/>
        <v>0</v>
      </c>
      <c r="AI569" s="190">
        <f t="shared" si="227"/>
        <v>0</v>
      </c>
      <c r="AJ569" s="190">
        <f t="shared" si="227"/>
        <v>0</v>
      </c>
      <c r="AK569" s="464">
        <f t="shared" si="232"/>
        <v>0</v>
      </c>
      <c r="AL569" s="464">
        <f t="shared" si="233"/>
        <v>0</v>
      </c>
      <c r="AM569" s="464">
        <f t="shared" si="234"/>
        <v>0</v>
      </c>
      <c r="AN569" s="464">
        <f t="shared" si="222"/>
        <v>0</v>
      </c>
      <c r="AO569" s="464">
        <f t="shared" si="223"/>
        <v>0</v>
      </c>
      <c r="AP569" s="464">
        <f t="shared" si="217"/>
        <v>0</v>
      </c>
      <c r="AQ569" s="464">
        <f t="shared" si="217"/>
        <v>0</v>
      </c>
      <c r="AR569" s="190"/>
      <c r="AS569" s="464">
        <f t="shared" si="218"/>
        <v>0</v>
      </c>
    </row>
    <row r="570" spans="1:45" s="191" customFormat="1" ht="24.95" customHeight="1">
      <c r="A570" s="1129"/>
      <c r="B570" s="1129"/>
      <c r="C570" s="1128" t="s">
        <v>791</v>
      </c>
      <c r="D570" s="1129" t="s">
        <v>788</v>
      </c>
      <c r="E570" s="1129" t="s">
        <v>792</v>
      </c>
      <c r="F570" s="1126">
        <v>10</v>
      </c>
      <c r="G570" s="1127">
        <v>5265</v>
      </c>
      <c r="H570" s="1127"/>
      <c r="I570" s="1127"/>
      <c r="J570" s="1127"/>
      <c r="K570" s="1127"/>
      <c r="L570" s="1127"/>
      <c r="M570" s="1127"/>
      <c r="N570" s="1127">
        <f>G570+H571</f>
        <v>5265</v>
      </c>
      <c r="O570" s="1127"/>
      <c r="P570" s="1126"/>
      <c r="Q570" s="1126"/>
      <c r="R570" s="1126"/>
      <c r="S570" s="1126"/>
      <c r="T570" s="1129"/>
      <c r="U570" s="1130"/>
      <c r="V570" s="1127"/>
      <c r="W570" s="1127">
        <f>AD570</f>
        <v>0</v>
      </c>
      <c r="X570" s="1127">
        <f>(N570+V570)*O570+W570</f>
        <v>0</v>
      </c>
      <c r="Y570" s="1112"/>
      <c r="Z570" s="1112">
        <f>X570+Y570</f>
        <v>0</v>
      </c>
      <c r="AA570" s="1109">
        <f>Z570</f>
        <v>0</v>
      </c>
      <c r="AB570" s="1109">
        <f>AA570-X570</f>
        <v>0</v>
      </c>
      <c r="AC570" s="1127">
        <f>6500*O570</f>
        <v>0</v>
      </c>
      <c r="AD570" s="1127">
        <f>AC570-(N570*O570)</f>
        <v>0</v>
      </c>
      <c r="AE570" s="190">
        <f t="shared" si="228"/>
        <v>0</v>
      </c>
      <c r="AF570" s="190">
        <f t="shared" si="229"/>
        <v>0</v>
      </c>
      <c r="AG570" s="190">
        <f t="shared" si="230"/>
        <v>0</v>
      </c>
      <c r="AH570" s="190">
        <f t="shared" si="231"/>
        <v>0</v>
      </c>
      <c r="AI570" s="190">
        <f t="shared" si="227"/>
        <v>0</v>
      </c>
      <c r="AJ570" s="190">
        <f t="shared" si="227"/>
        <v>0</v>
      </c>
      <c r="AK570" s="464">
        <f t="shared" si="232"/>
        <v>0</v>
      </c>
      <c r="AL570" s="464">
        <f t="shared" si="233"/>
        <v>0</v>
      </c>
      <c r="AM570" s="464">
        <f t="shared" si="234"/>
        <v>0</v>
      </c>
      <c r="AN570" s="464">
        <f t="shared" si="222"/>
        <v>0</v>
      </c>
      <c r="AO570" s="464">
        <f t="shared" si="223"/>
        <v>0</v>
      </c>
      <c r="AP570" s="464">
        <f t="shared" ref="AP570:AQ607" si="235">AG570</f>
        <v>0</v>
      </c>
      <c r="AQ570" s="464">
        <f t="shared" si="235"/>
        <v>0</v>
      </c>
      <c r="AR570" s="190"/>
      <c r="AS570" s="464">
        <f t="shared" si="218"/>
        <v>0</v>
      </c>
    </row>
    <row r="571" spans="1:45" s="191" customFormat="1" ht="24.95" customHeight="1">
      <c r="A571" s="1129"/>
      <c r="B571" s="1129"/>
      <c r="C571" s="1128"/>
      <c r="D571" s="1129"/>
      <c r="E571" s="1129"/>
      <c r="F571" s="1126"/>
      <c r="G571" s="1127"/>
      <c r="H571" s="1127"/>
      <c r="I571" s="1127"/>
      <c r="J571" s="1127"/>
      <c r="K571" s="1127"/>
      <c r="L571" s="1127"/>
      <c r="M571" s="1127"/>
      <c r="N571" s="1127"/>
      <c r="O571" s="1127"/>
      <c r="P571" s="1126"/>
      <c r="Q571" s="1126"/>
      <c r="R571" s="1126"/>
      <c r="S571" s="1126"/>
      <c r="T571" s="1129"/>
      <c r="U571" s="1130"/>
      <c r="V571" s="1127"/>
      <c r="W571" s="1127"/>
      <c r="X571" s="1127"/>
      <c r="Y571" s="1112"/>
      <c r="Z571" s="1112"/>
      <c r="AA571" s="1109"/>
      <c r="AB571" s="1109"/>
      <c r="AC571" s="1127"/>
      <c r="AD571" s="1127"/>
      <c r="AE571" s="190">
        <f t="shared" si="228"/>
        <v>0</v>
      </c>
      <c r="AF571" s="190">
        <f t="shared" si="229"/>
        <v>0</v>
      </c>
      <c r="AG571" s="190">
        <f t="shared" si="230"/>
        <v>0</v>
      </c>
      <c r="AH571" s="190">
        <f t="shared" si="231"/>
        <v>0</v>
      </c>
      <c r="AI571" s="190">
        <f t="shared" si="227"/>
        <v>0</v>
      </c>
      <c r="AJ571" s="190">
        <f t="shared" si="227"/>
        <v>0</v>
      </c>
      <c r="AK571" s="464">
        <f t="shared" si="232"/>
        <v>0</v>
      </c>
      <c r="AL571" s="464">
        <f t="shared" si="233"/>
        <v>0</v>
      </c>
      <c r="AM571" s="464">
        <f t="shared" si="234"/>
        <v>0</v>
      </c>
      <c r="AN571" s="464">
        <f t="shared" si="222"/>
        <v>0</v>
      </c>
      <c r="AO571" s="464">
        <f t="shared" si="223"/>
        <v>0</v>
      </c>
      <c r="AP571" s="464">
        <f t="shared" si="235"/>
        <v>0</v>
      </c>
      <c r="AQ571" s="464">
        <f t="shared" si="235"/>
        <v>0</v>
      </c>
      <c r="AR571" s="190"/>
      <c r="AS571" s="464">
        <f t="shared" si="218"/>
        <v>0</v>
      </c>
    </row>
    <row r="572" spans="1:45" s="191" customFormat="1" ht="24.95" customHeight="1">
      <c r="A572" s="1129"/>
      <c r="B572" s="1129"/>
      <c r="C572" s="1128" t="s">
        <v>793</v>
      </c>
      <c r="D572" s="1129"/>
      <c r="E572" s="1129" t="s">
        <v>794</v>
      </c>
      <c r="F572" s="1129">
        <v>7</v>
      </c>
      <c r="G572" s="1127">
        <v>4455</v>
      </c>
      <c r="H572" s="1127"/>
      <c r="I572" s="1127"/>
      <c r="J572" s="1127"/>
      <c r="K572" s="1127"/>
      <c r="L572" s="1127"/>
      <c r="M572" s="1127"/>
      <c r="N572" s="1127">
        <f>G572+H573+K573</f>
        <v>4455</v>
      </c>
      <c r="O572" s="1127">
        <v>1</v>
      </c>
      <c r="P572" s="1126"/>
      <c r="Q572" s="1126"/>
      <c r="R572" s="1126"/>
      <c r="S572" s="1126"/>
      <c r="T572" s="1129"/>
      <c r="U572" s="1130"/>
      <c r="V572" s="1127"/>
      <c r="W572" s="1127">
        <f>AD572</f>
        <v>2045</v>
      </c>
      <c r="X572" s="1127">
        <f>(N572+V572+Q573+S572)*O572+W572</f>
        <v>6500</v>
      </c>
      <c r="Y572" s="1112"/>
      <c r="Z572" s="1112">
        <f>X572+Y572</f>
        <v>6500</v>
      </c>
      <c r="AA572" s="1109">
        <f>Z572</f>
        <v>6500</v>
      </c>
      <c r="AB572" s="1109">
        <f>AA572-X572</f>
        <v>0</v>
      </c>
      <c r="AC572" s="1127">
        <f>6500*O572</f>
        <v>6500</v>
      </c>
      <c r="AD572" s="1127">
        <f>AC572-(N572*O572)</f>
        <v>2045</v>
      </c>
      <c r="AE572" s="190">
        <f t="shared" si="228"/>
        <v>4455</v>
      </c>
      <c r="AF572" s="190">
        <f t="shared" si="229"/>
        <v>0</v>
      </c>
      <c r="AG572" s="190">
        <f t="shared" si="230"/>
        <v>4455</v>
      </c>
      <c r="AH572" s="190">
        <f t="shared" si="231"/>
        <v>0</v>
      </c>
      <c r="AI572" s="190">
        <f t="shared" si="227"/>
        <v>0</v>
      </c>
      <c r="AJ572" s="190">
        <f t="shared" si="227"/>
        <v>0</v>
      </c>
      <c r="AK572" s="464">
        <f t="shared" si="232"/>
        <v>0</v>
      </c>
      <c r="AL572" s="464">
        <f t="shared" si="233"/>
        <v>0</v>
      </c>
      <c r="AM572" s="464">
        <f t="shared" si="234"/>
        <v>2045</v>
      </c>
      <c r="AN572" s="464">
        <f t="shared" si="222"/>
        <v>0</v>
      </c>
      <c r="AO572" s="464">
        <f t="shared" si="223"/>
        <v>0</v>
      </c>
      <c r="AP572" s="464">
        <f t="shared" si="235"/>
        <v>4455</v>
      </c>
      <c r="AQ572" s="464">
        <f t="shared" si="235"/>
        <v>0</v>
      </c>
      <c r="AR572" s="190"/>
      <c r="AS572" s="464">
        <f t="shared" si="218"/>
        <v>4455</v>
      </c>
    </row>
    <row r="573" spans="1:45" s="191" customFormat="1" ht="24.95" customHeight="1">
      <c r="A573" s="1129"/>
      <c r="B573" s="1129"/>
      <c r="C573" s="1128"/>
      <c r="D573" s="1129"/>
      <c r="E573" s="1129"/>
      <c r="F573" s="1129"/>
      <c r="G573" s="1127"/>
      <c r="H573" s="1127"/>
      <c r="I573" s="1127"/>
      <c r="J573" s="1127"/>
      <c r="K573" s="1127"/>
      <c r="L573" s="1127"/>
      <c r="M573" s="1127"/>
      <c r="N573" s="1127"/>
      <c r="O573" s="1127"/>
      <c r="P573" s="1126"/>
      <c r="Q573" s="1126"/>
      <c r="R573" s="1126"/>
      <c r="S573" s="1126"/>
      <c r="T573" s="1129"/>
      <c r="U573" s="1130"/>
      <c r="V573" s="1127"/>
      <c r="W573" s="1127"/>
      <c r="X573" s="1127"/>
      <c r="Y573" s="1112"/>
      <c r="Z573" s="1112"/>
      <c r="AA573" s="1109"/>
      <c r="AB573" s="1109"/>
      <c r="AC573" s="1127"/>
      <c r="AD573" s="1127"/>
      <c r="AE573" s="190">
        <f t="shared" si="228"/>
        <v>0</v>
      </c>
      <c r="AF573" s="190">
        <f t="shared" si="229"/>
        <v>0</v>
      </c>
      <c r="AG573" s="190">
        <f t="shared" si="230"/>
        <v>0</v>
      </c>
      <c r="AH573" s="190">
        <f t="shared" si="231"/>
        <v>0</v>
      </c>
      <c r="AI573" s="190">
        <f t="shared" si="227"/>
        <v>0</v>
      </c>
      <c r="AJ573" s="190">
        <f t="shared" si="227"/>
        <v>0</v>
      </c>
      <c r="AK573" s="464">
        <f t="shared" si="232"/>
        <v>0</v>
      </c>
      <c r="AL573" s="464">
        <f t="shared" si="233"/>
        <v>0</v>
      </c>
      <c r="AM573" s="464">
        <f t="shared" si="234"/>
        <v>0</v>
      </c>
      <c r="AN573" s="464">
        <f t="shared" si="222"/>
        <v>0</v>
      </c>
      <c r="AO573" s="464">
        <f t="shared" si="223"/>
        <v>0</v>
      </c>
      <c r="AP573" s="464">
        <f t="shared" si="235"/>
        <v>0</v>
      </c>
      <c r="AQ573" s="464">
        <f t="shared" si="235"/>
        <v>0</v>
      </c>
      <c r="AR573" s="190"/>
      <c r="AS573" s="464">
        <f t="shared" si="218"/>
        <v>0</v>
      </c>
    </row>
    <row r="574" spans="1:45" s="191" customFormat="1" ht="24.95" customHeight="1">
      <c r="A574" s="1129"/>
      <c r="B574" s="1129"/>
      <c r="C574" s="1128" t="s">
        <v>795</v>
      </c>
      <c r="D574" s="1129"/>
      <c r="E574" s="1129" t="s">
        <v>1069</v>
      </c>
      <c r="F574" s="1129">
        <v>6</v>
      </c>
      <c r="G574" s="1127">
        <v>4195</v>
      </c>
      <c r="H574" s="1127"/>
      <c r="I574" s="1127"/>
      <c r="J574" s="1127"/>
      <c r="K574" s="1127"/>
      <c r="L574" s="1127"/>
      <c r="M574" s="1127"/>
      <c r="N574" s="1127">
        <f>G574+H575</f>
        <v>4195</v>
      </c>
      <c r="O574" s="1127">
        <v>1</v>
      </c>
      <c r="P574" s="1126"/>
      <c r="Q574" s="1126"/>
      <c r="R574" s="1126"/>
      <c r="S574" s="1126"/>
      <c r="T574" s="1129"/>
      <c r="U574" s="1130"/>
      <c r="V574" s="1127"/>
      <c r="W574" s="1127">
        <f>AD574</f>
        <v>2305</v>
      </c>
      <c r="X574" s="1127">
        <f>(N574+V574+Q575+S574)*O574+W574</f>
        <v>6500</v>
      </c>
      <c r="Y574" s="1112"/>
      <c r="Z574" s="1112">
        <f>X574+Y574</f>
        <v>6500</v>
      </c>
      <c r="AA574" s="1109">
        <f>Z574</f>
        <v>6500</v>
      </c>
      <c r="AB574" s="1109">
        <f>AA574-X574</f>
        <v>0</v>
      </c>
      <c r="AC574" s="1127">
        <f>6500*O574</f>
        <v>6500</v>
      </c>
      <c r="AD574" s="1127">
        <f>AC574-(N574*O574)</f>
        <v>2305</v>
      </c>
      <c r="AE574" s="190">
        <f>G574*O574</f>
        <v>4195</v>
      </c>
      <c r="AF574" s="190">
        <f>G574*P574</f>
        <v>0</v>
      </c>
      <c r="AG574" s="190">
        <f>N574*O574</f>
        <v>4195</v>
      </c>
      <c r="AH574" s="190">
        <f>N574*P574</f>
        <v>0</v>
      </c>
      <c r="AI574" s="190">
        <f>AG574-AE574</f>
        <v>0</v>
      </c>
      <c r="AJ574" s="190">
        <f>AH574-AF574</f>
        <v>0</v>
      </c>
      <c r="AK574" s="464">
        <f>V574*O574</f>
        <v>0</v>
      </c>
      <c r="AL574" s="464">
        <f>V574*P574</f>
        <v>0</v>
      </c>
      <c r="AM574" s="464">
        <f>W574</f>
        <v>2305</v>
      </c>
      <c r="AN574" s="464">
        <f>S574*O574</f>
        <v>0</v>
      </c>
      <c r="AO574" s="464">
        <f>S574*P574</f>
        <v>0</v>
      </c>
      <c r="AP574" s="464">
        <f>AG574</f>
        <v>4195</v>
      </c>
      <c r="AQ574" s="464">
        <f>AH574</f>
        <v>0</v>
      </c>
      <c r="AR574" s="190"/>
      <c r="AS574" s="464">
        <f>AP574+AQ574-AR574</f>
        <v>4195</v>
      </c>
    </row>
    <row r="575" spans="1:45" s="191" customFormat="1" ht="24.95" customHeight="1">
      <c r="A575" s="1129"/>
      <c r="B575" s="1129"/>
      <c r="C575" s="1128"/>
      <c r="D575" s="1129"/>
      <c r="E575" s="1129"/>
      <c r="F575" s="1129"/>
      <c r="G575" s="1133"/>
      <c r="H575" s="1127"/>
      <c r="I575" s="1127"/>
      <c r="J575" s="1127"/>
      <c r="K575" s="1127"/>
      <c r="L575" s="1127"/>
      <c r="M575" s="1127"/>
      <c r="N575" s="1127"/>
      <c r="O575" s="1127"/>
      <c r="P575" s="1126"/>
      <c r="Q575" s="1126"/>
      <c r="R575" s="1126"/>
      <c r="S575" s="1126"/>
      <c r="T575" s="1129"/>
      <c r="U575" s="1130"/>
      <c r="V575" s="1127"/>
      <c r="W575" s="1127"/>
      <c r="X575" s="1127"/>
      <c r="Y575" s="1112"/>
      <c r="Z575" s="1112"/>
      <c r="AA575" s="1109"/>
      <c r="AB575" s="1109"/>
      <c r="AC575" s="1127"/>
      <c r="AD575" s="1127"/>
      <c r="AE575" s="190">
        <f>G575*O575</f>
        <v>0</v>
      </c>
      <c r="AF575" s="190">
        <f>G575*P575</f>
        <v>0</v>
      </c>
      <c r="AG575" s="190">
        <f>N575*O575</f>
        <v>0</v>
      </c>
      <c r="AH575" s="190">
        <f>N575*P575</f>
        <v>0</v>
      </c>
      <c r="AI575" s="190">
        <f>AG575-AE575</f>
        <v>0</v>
      </c>
      <c r="AJ575" s="190">
        <f>AH575-AF575</f>
        <v>0</v>
      </c>
      <c r="AK575" s="464">
        <f>V575*O575</f>
        <v>0</v>
      </c>
      <c r="AL575" s="464">
        <f>V575*P575</f>
        <v>0</v>
      </c>
      <c r="AM575" s="464">
        <f>W575</f>
        <v>0</v>
      </c>
      <c r="AN575" s="464">
        <f>S575*O575</f>
        <v>0</v>
      </c>
      <c r="AO575" s="464">
        <f>S575*P575</f>
        <v>0</v>
      </c>
      <c r="AP575" s="464">
        <f>AG575</f>
        <v>0</v>
      </c>
      <c r="AQ575" s="464">
        <f>AH575</f>
        <v>0</v>
      </c>
      <c r="AR575" s="190"/>
      <c r="AS575" s="464">
        <f>AP575+AQ575-AR575</f>
        <v>0</v>
      </c>
    </row>
    <row r="576" spans="1:45" s="191" customFormat="1" ht="24.95" customHeight="1">
      <c r="A576" s="1129"/>
      <c r="B576" s="1129"/>
      <c r="C576" s="1128" t="s">
        <v>795</v>
      </c>
      <c r="D576" s="1129"/>
      <c r="E576" s="1129" t="s">
        <v>796</v>
      </c>
      <c r="F576" s="1129">
        <v>6</v>
      </c>
      <c r="G576" s="1127">
        <v>4195</v>
      </c>
      <c r="H576" s="1127"/>
      <c r="I576" s="1127"/>
      <c r="J576" s="1127"/>
      <c r="K576" s="1127"/>
      <c r="L576" s="1127"/>
      <c r="M576" s="1127"/>
      <c r="N576" s="1127">
        <f>G576+H577</f>
        <v>4195</v>
      </c>
      <c r="O576" s="1127">
        <v>1</v>
      </c>
      <c r="P576" s="1126"/>
      <c r="Q576" s="1126"/>
      <c r="R576" s="1126"/>
      <c r="S576" s="1126"/>
      <c r="T576" s="1129"/>
      <c r="U576" s="1130"/>
      <c r="V576" s="1127"/>
      <c r="W576" s="1127">
        <f>AD576</f>
        <v>2305</v>
      </c>
      <c r="X576" s="1127">
        <f>(N576+V576+Q577+S576)*O576+W576</f>
        <v>6500</v>
      </c>
      <c r="Y576" s="1112"/>
      <c r="Z576" s="1112">
        <f>X576+Y576</f>
        <v>6500</v>
      </c>
      <c r="AA576" s="1109">
        <f>Z576</f>
        <v>6500</v>
      </c>
      <c r="AB576" s="1109">
        <f>AA576-X576</f>
        <v>0</v>
      </c>
      <c r="AC576" s="1127">
        <f>6500*O576</f>
        <v>6500</v>
      </c>
      <c r="AD576" s="1127">
        <f>AC576-(N576*O576)</f>
        <v>2305</v>
      </c>
      <c r="AE576" s="190">
        <f t="shared" si="228"/>
        <v>4195</v>
      </c>
      <c r="AF576" s="190">
        <f t="shared" si="229"/>
        <v>0</v>
      </c>
      <c r="AG576" s="190">
        <f t="shared" si="230"/>
        <v>4195</v>
      </c>
      <c r="AH576" s="190">
        <f t="shared" si="231"/>
        <v>0</v>
      </c>
      <c r="AI576" s="190">
        <f t="shared" si="227"/>
        <v>0</v>
      </c>
      <c r="AJ576" s="190">
        <f t="shared" si="227"/>
        <v>0</v>
      </c>
      <c r="AK576" s="464">
        <f t="shared" si="232"/>
        <v>0</v>
      </c>
      <c r="AL576" s="464">
        <f t="shared" si="233"/>
        <v>0</v>
      </c>
      <c r="AM576" s="464">
        <f t="shared" si="234"/>
        <v>2305</v>
      </c>
      <c r="AN576" s="464">
        <f t="shared" si="222"/>
        <v>0</v>
      </c>
      <c r="AO576" s="464">
        <f t="shared" si="223"/>
        <v>0</v>
      </c>
      <c r="AP576" s="464">
        <f t="shared" si="235"/>
        <v>4195</v>
      </c>
      <c r="AQ576" s="464">
        <f t="shared" si="235"/>
        <v>0</v>
      </c>
      <c r="AR576" s="190"/>
      <c r="AS576" s="464">
        <f t="shared" si="218"/>
        <v>4195</v>
      </c>
    </row>
    <row r="577" spans="1:45" s="191" customFormat="1" ht="24.95" customHeight="1">
      <c r="A577" s="1129"/>
      <c r="B577" s="1129"/>
      <c r="C577" s="1128"/>
      <c r="D577" s="1129"/>
      <c r="E577" s="1129"/>
      <c r="F577" s="1129"/>
      <c r="G577" s="1133"/>
      <c r="H577" s="1127"/>
      <c r="I577" s="1127"/>
      <c r="J577" s="1127"/>
      <c r="K577" s="1127"/>
      <c r="L577" s="1127"/>
      <c r="M577" s="1127"/>
      <c r="N577" s="1127"/>
      <c r="O577" s="1127"/>
      <c r="P577" s="1126"/>
      <c r="Q577" s="1126"/>
      <c r="R577" s="1126"/>
      <c r="S577" s="1126"/>
      <c r="T577" s="1129"/>
      <c r="U577" s="1130"/>
      <c r="V577" s="1127"/>
      <c r="W577" s="1127"/>
      <c r="X577" s="1127"/>
      <c r="Y577" s="1112"/>
      <c r="Z577" s="1112"/>
      <c r="AA577" s="1109"/>
      <c r="AB577" s="1109"/>
      <c r="AC577" s="1127"/>
      <c r="AD577" s="1127"/>
      <c r="AE577" s="190">
        <f t="shared" si="228"/>
        <v>0</v>
      </c>
      <c r="AF577" s="190">
        <f t="shared" si="229"/>
        <v>0</v>
      </c>
      <c r="AG577" s="190">
        <f t="shared" si="230"/>
        <v>0</v>
      </c>
      <c r="AH577" s="190">
        <f t="shared" si="231"/>
        <v>0</v>
      </c>
      <c r="AI577" s="190">
        <f t="shared" si="227"/>
        <v>0</v>
      </c>
      <c r="AJ577" s="190">
        <f t="shared" si="227"/>
        <v>0</v>
      </c>
      <c r="AK577" s="464">
        <f t="shared" si="232"/>
        <v>0</v>
      </c>
      <c r="AL577" s="464">
        <f t="shared" si="233"/>
        <v>0</v>
      </c>
      <c r="AM577" s="464">
        <f t="shared" si="234"/>
        <v>0</v>
      </c>
      <c r="AN577" s="464">
        <f t="shared" si="222"/>
        <v>0</v>
      </c>
      <c r="AO577" s="464">
        <f t="shared" si="223"/>
        <v>0</v>
      </c>
      <c r="AP577" s="464">
        <f t="shared" si="235"/>
        <v>0</v>
      </c>
      <c r="AQ577" s="464">
        <f t="shared" si="235"/>
        <v>0</v>
      </c>
      <c r="AR577" s="190"/>
      <c r="AS577" s="464">
        <f t="shared" si="218"/>
        <v>0</v>
      </c>
    </row>
    <row r="578" spans="1:45" s="191" customFormat="1" ht="24.95" customHeight="1">
      <c r="A578" s="1129"/>
      <c r="B578" s="1129"/>
      <c r="C578" s="1132" t="s">
        <v>797</v>
      </c>
      <c r="D578" s="1129"/>
      <c r="E578" s="1126" t="s">
        <v>1070</v>
      </c>
      <c r="F578" s="1129">
        <v>7</v>
      </c>
      <c r="G578" s="1127">
        <v>4455</v>
      </c>
      <c r="H578" s="1127"/>
      <c r="I578" s="1127"/>
      <c r="J578" s="1127"/>
      <c r="K578" s="1127"/>
      <c r="L578" s="1127"/>
      <c r="M578" s="1127"/>
      <c r="N578" s="1127">
        <f>G578+H579</f>
        <v>4455</v>
      </c>
      <c r="O578" s="1127">
        <v>1</v>
      </c>
      <c r="P578" s="1126"/>
      <c r="Q578" s="1126"/>
      <c r="R578" s="1126"/>
      <c r="S578" s="1126"/>
      <c r="T578" s="1129"/>
      <c r="U578" s="1130"/>
      <c r="V578" s="1127"/>
      <c r="W578" s="1127">
        <f>AD578</f>
        <v>2045</v>
      </c>
      <c r="X578" s="1127">
        <f>(N578+V578+Q579+S578)*O578+W578</f>
        <v>6500</v>
      </c>
      <c r="Y578" s="1112"/>
      <c r="Z578" s="1112">
        <f>X578+Y578</f>
        <v>6500</v>
      </c>
      <c r="AA578" s="1109">
        <f>Z578</f>
        <v>6500</v>
      </c>
      <c r="AB578" s="1109">
        <f>AA578-X578</f>
        <v>0</v>
      </c>
      <c r="AC578" s="1127">
        <f>6500*O578</f>
        <v>6500</v>
      </c>
      <c r="AD578" s="1127">
        <f>AC578-(N578*O578)</f>
        <v>2045</v>
      </c>
      <c r="AE578" s="190">
        <f t="shared" si="228"/>
        <v>4455</v>
      </c>
      <c r="AF578" s="190">
        <f t="shared" si="229"/>
        <v>0</v>
      </c>
      <c r="AG578" s="190">
        <f t="shared" si="230"/>
        <v>4455</v>
      </c>
      <c r="AH578" s="190">
        <f t="shared" si="231"/>
        <v>0</v>
      </c>
      <c r="AI578" s="190">
        <f t="shared" si="227"/>
        <v>0</v>
      </c>
      <c r="AJ578" s="190">
        <f t="shared" si="227"/>
        <v>0</v>
      </c>
      <c r="AK578" s="464">
        <f t="shared" si="232"/>
        <v>0</v>
      </c>
      <c r="AL578" s="464">
        <f t="shared" si="233"/>
        <v>0</v>
      </c>
      <c r="AM578" s="464">
        <f t="shared" si="234"/>
        <v>2045</v>
      </c>
      <c r="AN578" s="464">
        <f t="shared" si="222"/>
        <v>0</v>
      </c>
      <c r="AO578" s="464">
        <f t="shared" si="223"/>
        <v>0</v>
      </c>
      <c r="AP578" s="464">
        <f t="shared" si="235"/>
        <v>4455</v>
      </c>
      <c r="AQ578" s="464">
        <f t="shared" si="235"/>
        <v>0</v>
      </c>
      <c r="AR578" s="190"/>
      <c r="AS578" s="464">
        <f t="shared" si="218"/>
        <v>4455</v>
      </c>
    </row>
    <row r="579" spans="1:45" s="191" customFormat="1" ht="24.95" customHeight="1">
      <c r="A579" s="1129"/>
      <c r="B579" s="1129"/>
      <c r="C579" s="1132"/>
      <c r="D579" s="1129"/>
      <c r="E579" s="1126"/>
      <c r="F579" s="1129"/>
      <c r="G579" s="1127"/>
      <c r="H579" s="1127"/>
      <c r="I579" s="1127"/>
      <c r="J579" s="1127"/>
      <c r="K579" s="1127"/>
      <c r="L579" s="1127"/>
      <c r="M579" s="1127"/>
      <c r="N579" s="1127"/>
      <c r="O579" s="1127"/>
      <c r="P579" s="1126"/>
      <c r="Q579" s="1126"/>
      <c r="R579" s="1126"/>
      <c r="S579" s="1126"/>
      <c r="T579" s="1129"/>
      <c r="U579" s="1130"/>
      <c r="V579" s="1127"/>
      <c r="W579" s="1127"/>
      <c r="X579" s="1127"/>
      <c r="Y579" s="1112"/>
      <c r="Z579" s="1112"/>
      <c r="AA579" s="1109"/>
      <c r="AB579" s="1109"/>
      <c r="AC579" s="1127"/>
      <c r="AD579" s="1127"/>
      <c r="AE579" s="190">
        <f t="shared" si="228"/>
        <v>0</v>
      </c>
      <c r="AF579" s="190">
        <f t="shared" si="229"/>
        <v>0</v>
      </c>
      <c r="AG579" s="190">
        <f t="shared" si="230"/>
        <v>0</v>
      </c>
      <c r="AH579" s="190">
        <f t="shared" si="231"/>
        <v>0</v>
      </c>
      <c r="AI579" s="190">
        <f t="shared" si="227"/>
        <v>0</v>
      </c>
      <c r="AJ579" s="190">
        <f t="shared" si="227"/>
        <v>0</v>
      </c>
      <c r="AK579" s="464">
        <f t="shared" si="232"/>
        <v>0</v>
      </c>
      <c r="AL579" s="464">
        <f t="shared" si="233"/>
        <v>0</v>
      </c>
      <c r="AM579" s="464">
        <f t="shared" si="234"/>
        <v>0</v>
      </c>
      <c r="AN579" s="464">
        <f t="shared" si="222"/>
        <v>0</v>
      </c>
      <c r="AO579" s="464">
        <f t="shared" si="223"/>
        <v>0</v>
      </c>
      <c r="AP579" s="464">
        <f t="shared" si="235"/>
        <v>0</v>
      </c>
      <c r="AQ579" s="464">
        <f t="shared" si="235"/>
        <v>0</v>
      </c>
      <c r="AR579" s="190"/>
      <c r="AS579" s="464">
        <f t="shared" si="218"/>
        <v>0</v>
      </c>
    </row>
    <row r="580" spans="1:45" s="191" customFormat="1" ht="24.95" customHeight="1">
      <c r="A580" s="1129"/>
      <c r="B580" s="1129"/>
      <c r="C580" s="1128" t="s">
        <v>798</v>
      </c>
      <c r="D580" s="1129" t="s">
        <v>799</v>
      </c>
      <c r="E580" s="1129" t="s">
        <v>800</v>
      </c>
      <c r="F580" s="1129">
        <v>11</v>
      </c>
      <c r="G580" s="1127">
        <v>5699</v>
      </c>
      <c r="H580" s="1127"/>
      <c r="I580" s="1127"/>
      <c r="J580" s="1127"/>
      <c r="K580" s="1127"/>
      <c r="L580" s="1127"/>
      <c r="M580" s="1127"/>
      <c r="N580" s="1127">
        <f>G580+H581+K581</f>
        <v>5699</v>
      </c>
      <c r="O580" s="1127">
        <v>0.5</v>
      </c>
      <c r="P580" s="1126"/>
      <c r="Q580" s="1126"/>
      <c r="R580" s="1126"/>
      <c r="S580" s="1126"/>
      <c r="T580" s="1129"/>
      <c r="U580" s="1130"/>
      <c r="V580" s="1127"/>
      <c r="W580" s="1127">
        <f>AD580</f>
        <v>400.5</v>
      </c>
      <c r="X580" s="1127">
        <f>(N580+V580+Q581+S580)*O580+W580</f>
        <v>3250</v>
      </c>
      <c r="Y580" s="1112"/>
      <c r="Z580" s="1112">
        <f>X580+Y580</f>
        <v>3250</v>
      </c>
      <c r="AA580" s="1109">
        <f>Z580</f>
        <v>3250</v>
      </c>
      <c r="AB580" s="1109">
        <f>AA580-X580</f>
        <v>0</v>
      </c>
      <c r="AC580" s="1127">
        <f>6500*O580</f>
        <v>3250</v>
      </c>
      <c r="AD580" s="1127">
        <f>AC580-(N580*O580)</f>
        <v>400.5</v>
      </c>
      <c r="AE580" s="190">
        <f t="shared" si="228"/>
        <v>2849.5</v>
      </c>
      <c r="AF580" s="190">
        <f t="shared" si="229"/>
        <v>0</v>
      </c>
      <c r="AG580" s="190">
        <f t="shared" si="230"/>
        <v>2849.5</v>
      </c>
      <c r="AH580" s="190">
        <f t="shared" si="231"/>
        <v>0</v>
      </c>
      <c r="AI580" s="190">
        <f t="shared" ref="AI580:AJ601" si="236">AG580-AE580</f>
        <v>0</v>
      </c>
      <c r="AJ580" s="190">
        <f t="shared" si="236"/>
        <v>0</v>
      </c>
      <c r="AK580" s="464">
        <f t="shared" si="232"/>
        <v>0</v>
      </c>
      <c r="AL580" s="464">
        <f t="shared" si="233"/>
        <v>0</v>
      </c>
      <c r="AM580" s="464">
        <f t="shared" si="234"/>
        <v>400.5</v>
      </c>
      <c r="AN580" s="464">
        <f t="shared" si="222"/>
        <v>0</v>
      </c>
      <c r="AO580" s="464">
        <f t="shared" si="223"/>
        <v>0</v>
      </c>
      <c r="AP580" s="464">
        <f t="shared" si="235"/>
        <v>2849.5</v>
      </c>
      <c r="AQ580" s="464">
        <f t="shared" si="235"/>
        <v>0</v>
      </c>
      <c r="AR580" s="190"/>
      <c r="AS580" s="464">
        <f t="shared" si="218"/>
        <v>2849.5</v>
      </c>
    </row>
    <row r="581" spans="1:45" s="191" customFormat="1" ht="24.95" customHeight="1">
      <c r="A581" s="1129"/>
      <c r="B581" s="1129"/>
      <c r="C581" s="1128"/>
      <c r="D581" s="1129"/>
      <c r="E581" s="1129"/>
      <c r="F581" s="1129"/>
      <c r="G581" s="1133"/>
      <c r="H581" s="1127"/>
      <c r="I581" s="1127"/>
      <c r="J581" s="1127"/>
      <c r="K581" s="1127"/>
      <c r="L581" s="1127"/>
      <c r="M581" s="1127"/>
      <c r="N581" s="1127"/>
      <c r="O581" s="1127"/>
      <c r="P581" s="1126"/>
      <c r="Q581" s="1126"/>
      <c r="R581" s="1126"/>
      <c r="S581" s="1126"/>
      <c r="T581" s="1129"/>
      <c r="U581" s="1130"/>
      <c r="V581" s="1127"/>
      <c r="W581" s="1127"/>
      <c r="X581" s="1127"/>
      <c r="Y581" s="1112"/>
      <c r="Z581" s="1112"/>
      <c r="AA581" s="1109"/>
      <c r="AB581" s="1109"/>
      <c r="AC581" s="1127"/>
      <c r="AD581" s="1127"/>
      <c r="AE581" s="190">
        <f t="shared" si="228"/>
        <v>0</v>
      </c>
      <c r="AF581" s="190">
        <f t="shared" si="229"/>
        <v>0</v>
      </c>
      <c r="AG581" s="190">
        <f t="shared" si="230"/>
        <v>0</v>
      </c>
      <c r="AH581" s="190">
        <f t="shared" si="231"/>
        <v>0</v>
      </c>
      <c r="AI581" s="190">
        <f t="shared" si="236"/>
        <v>0</v>
      </c>
      <c r="AJ581" s="190">
        <f t="shared" si="236"/>
        <v>0</v>
      </c>
      <c r="AK581" s="464">
        <f t="shared" si="232"/>
        <v>0</v>
      </c>
      <c r="AL581" s="464">
        <f t="shared" si="233"/>
        <v>0</v>
      </c>
      <c r="AM581" s="464">
        <f t="shared" si="234"/>
        <v>0</v>
      </c>
      <c r="AN581" s="464">
        <f t="shared" si="222"/>
        <v>0</v>
      </c>
      <c r="AO581" s="464">
        <f t="shared" si="223"/>
        <v>0</v>
      </c>
      <c r="AP581" s="464">
        <f t="shared" si="235"/>
        <v>0</v>
      </c>
      <c r="AQ581" s="464">
        <f t="shared" si="235"/>
        <v>0</v>
      </c>
      <c r="AR581" s="190"/>
      <c r="AS581" s="464">
        <f t="shared" si="218"/>
        <v>0</v>
      </c>
    </row>
    <row r="582" spans="1:45" s="191" customFormat="1" ht="24.95" customHeight="1">
      <c r="A582" s="1129"/>
      <c r="B582" s="1129"/>
      <c r="C582" s="1132" t="s">
        <v>801</v>
      </c>
      <c r="D582" s="1129" t="s">
        <v>802</v>
      </c>
      <c r="E582" s="1126" t="s">
        <v>803</v>
      </c>
      <c r="F582" s="1129">
        <v>9</v>
      </c>
      <c r="G582" s="1127">
        <v>5005</v>
      </c>
      <c r="H582" s="1127"/>
      <c r="I582" s="1127"/>
      <c r="J582" s="1127"/>
      <c r="K582" s="1127"/>
      <c r="L582" s="1127"/>
      <c r="M582" s="1127"/>
      <c r="N582" s="1127">
        <f>G582+H583</f>
        <v>5005</v>
      </c>
      <c r="O582" s="1127">
        <v>1</v>
      </c>
      <c r="P582" s="1126"/>
      <c r="Q582" s="1126"/>
      <c r="R582" s="1126"/>
      <c r="S582" s="1126"/>
      <c r="T582" s="1129"/>
      <c r="U582" s="1130"/>
      <c r="V582" s="1127"/>
      <c r="W582" s="1127">
        <f>AD582</f>
        <v>1495</v>
      </c>
      <c r="X582" s="1127">
        <f>(N582+V582+Q583+S582)*O582+W582</f>
        <v>6500</v>
      </c>
      <c r="Y582" s="1112"/>
      <c r="Z582" s="1112">
        <f>X582+Y582</f>
        <v>6500</v>
      </c>
      <c r="AA582" s="1109">
        <f>Z582</f>
        <v>6500</v>
      </c>
      <c r="AB582" s="1109">
        <f>AA582-X582</f>
        <v>0</v>
      </c>
      <c r="AC582" s="1127">
        <f>6500*O582</f>
        <v>6500</v>
      </c>
      <c r="AD582" s="1127">
        <f>AC582-(N582*O582)</f>
        <v>1495</v>
      </c>
      <c r="AE582" s="190">
        <f t="shared" si="228"/>
        <v>5005</v>
      </c>
      <c r="AF582" s="190">
        <f t="shared" si="229"/>
        <v>0</v>
      </c>
      <c r="AG582" s="190">
        <f t="shared" si="230"/>
        <v>5005</v>
      </c>
      <c r="AH582" s="190">
        <f t="shared" si="231"/>
        <v>0</v>
      </c>
      <c r="AI582" s="190">
        <f t="shared" si="236"/>
        <v>0</v>
      </c>
      <c r="AJ582" s="190">
        <f t="shared" si="236"/>
        <v>0</v>
      </c>
      <c r="AK582" s="464">
        <f t="shared" si="232"/>
        <v>0</v>
      </c>
      <c r="AL582" s="464">
        <f t="shared" si="233"/>
        <v>0</v>
      </c>
      <c r="AM582" s="464">
        <f t="shared" si="234"/>
        <v>1495</v>
      </c>
      <c r="AN582" s="464">
        <f t="shared" si="222"/>
        <v>0</v>
      </c>
      <c r="AO582" s="464">
        <f t="shared" si="223"/>
        <v>0</v>
      </c>
      <c r="AP582" s="464">
        <f t="shared" si="235"/>
        <v>5005</v>
      </c>
      <c r="AQ582" s="464">
        <f t="shared" si="235"/>
        <v>0</v>
      </c>
      <c r="AR582" s="190"/>
      <c r="AS582" s="464">
        <f t="shared" si="218"/>
        <v>5005</v>
      </c>
    </row>
    <row r="583" spans="1:45" s="191" customFormat="1" ht="24.95" customHeight="1">
      <c r="A583" s="1129"/>
      <c r="B583" s="1129"/>
      <c r="C583" s="1132"/>
      <c r="D583" s="1129"/>
      <c r="E583" s="1126"/>
      <c r="F583" s="1129"/>
      <c r="G583" s="1127"/>
      <c r="H583" s="1127"/>
      <c r="I583" s="1127"/>
      <c r="J583" s="1127"/>
      <c r="K583" s="1127"/>
      <c r="L583" s="1127"/>
      <c r="M583" s="1127"/>
      <c r="N583" s="1127"/>
      <c r="O583" s="1127"/>
      <c r="P583" s="1126"/>
      <c r="Q583" s="1126"/>
      <c r="R583" s="1126"/>
      <c r="S583" s="1126"/>
      <c r="T583" s="1129"/>
      <c r="U583" s="1130"/>
      <c r="V583" s="1127"/>
      <c r="W583" s="1127"/>
      <c r="X583" s="1127"/>
      <c r="Y583" s="1112"/>
      <c r="Z583" s="1112"/>
      <c r="AA583" s="1109"/>
      <c r="AB583" s="1109"/>
      <c r="AC583" s="1127"/>
      <c r="AD583" s="1127"/>
      <c r="AE583" s="190">
        <f t="shared" si="228"/>
        <v>0</v>
      </c>
      <c r="AF583" s="190">
        <f t="shared" si="229"/>
        <v>0</v>
      </c>
      <c r="AG583" s="190">
        <f t="shared" si="230"/>
        <v>0</v>
      </c>
      <c r="AH583" s="190">
        <f t="shared" si="231"/>
        <v>0</v>
      </c>
      <c r="AI583" s="190">
        <f t="shared" si="236"/>
        <v>0</v>
      </c>
      <c r="AJ583" s="190">
        <f t="shared" si="236"/>
        <v>0</v>
      </c>
      <c r="AK583" s="464">
        <f t="shared" si="232"/>
        <v>0</v>
      </c>
      <c r="AL583" s="464">
        <f t="shared" si="233"/>
        <v>0</v>
      </c>
      <c r="AM583" s="464">
        <f t="shared" si="234"/>
        <v>0</v>
      </c>
      <c r="AN583" s="464">
        <f t="shared" si="222"/>
        <v>0</v>
      </c>
      <c r="AO583" s="464">
        <f t="shared" si="223"/>
        <v>0</v>
      </c>
      <c r="AP583" s="464">
        <f t="shared" si="235"/>
        <v>0</v>
      </c>
      <c r="AQ583" s="464">
        <f t="shared" si="235"/>
        <v>0</v>
      </c>
      <c r="AR583" s="190"/>
      <c r="AS583" s="464">
        <f t="shared" si="218"/>
        <v>0</v>
      </c>
    </row>
    <row r="584" spans="1:45" s="191" customFormat="1" ht="24.95" customHeight="1">
      <c r="A584" s="1129"/>
      <c r="B584" s="1129"/>
      <c r="C584" s="1128" t="s">
        <v>804</v>
      </c>
      <c r="D584" s="1129"/>
      <c r="E584" s="1129" t="s">
        <v>790</v>
      </c>
      <c r="F584" s="1129">
        <v>4</v>
      </c>
      <c r="G584" s="1127">
        <v>3674</v>
      </c>
      <c r="H584" s="1127"/>
      <c r="I584" s="1127"/>
      <c r="J584" s="1127"/>
      <c r="K584" s="1127"/>
      <c r="L584" s="1127"/>
      <c r="M584" s="1127"/>
      <c r="N584" s="1127">
        <f>G584+H585</f>
        <v>3674</v>
      </c>
      <c r="O584" s="1127">
        <v>1</v>
      </c>
      <c r="P584" s="1127"/>
      <c r="Q584" s="1126"/>
      <c r="R584" s="1126"/>
      <c r="S584" s="1126"/>
      <c r="T584" s="1129"/>
      <c r="U584" s="1130"/>
      <c r="V584" s="1127"/>
      <c r="W584" s="1127">
        <f>AD584</f>
        <v>2826</v>
      </c>
      <c r="X584" s="1127">
        <f>(N584+V584+Q585+S584)*O584+W584</f>
        <v>6500</v>
      </c>
      <c r="Y584" s="1112"/>
      <c r="Z584" s="1112">
        <f>X584+Y584</f>
        <v>6500</v>
      </c>
      <c r="AA584" s="1109">
        <f>Z584</f>
        <v>6500</v>
      </c>
      <c r="AB584" s="1109">
        <f>AA584-X584</f>
        <v>0</v>
      </c>
      <c r="AC584" s="1127">
        <f>6500*O584</f>
        <v>6500</v>
      </c>
      <c r="AD584" s="1127">
        <f>AC584-(N584*O584)</f>
        <v>2826</v>
      </c>
      <c r="AE584" s="190">
        <f t="shared" si="228"/>
        <v>3674</v>
      </c>
      <c r="AF584" s="190">
        <f t="shared" si="229"/>
        <v>0</v>
      </c>
      <c r="AG584" s="190">
        <f t="shared" si="230"/>
        <v>3674</v>
      </c>
      <c r="AH584" s="190">
        <f t="shared" si="231"/>
        <v>0</v>
      </c>
      <c r="AI584" s="190">
        <f t="shared" si="236"/>
        <v>0</v>
      </c>
      <c r="AJ584" s="190">
        <f t="shared" si="236"/>
        <v>0</v>
      </c>
      <c r="AK584" s="464">
        <f t="shared" si="232"/>
        <v>0</v>
      </c>
      <c r="AL584" s="464">
        <f t="shared" si="233"/>
        <v>0</v>
      </c>
      <c r="AM584" s="464">
        <f t="shared" si="234"/>
        <v>2826</v>
      </c>
      <c r="AN584" s="464">
        <f t="shared" si="222"/>
        <v>0</v>
      </c>
      <c r="AO584" s="464">
        <f t="shared" si="223"/>
        <v>0</v>
      </c>
      <c r="AP584" s="464">
        <f t="shared" si="235"/>
        <v>3674</v>
      </c>
      <c r="AQ584" s="464">
        <f t="shared" si="235"/>
        <v>0</v>
      </c>
      <c r="AR584" s="190"/>
      <c r="AS584" s="464">
        <f t="shared" si="218"/>
        <v>3674</v>
      </c>
    </row>
    <row r="585" spans="1:45" s="191" customFormat="1" ht="24.95" customHeight="1">
      <c r="A585" s="1129"/>
      <c r="B585" s="1129"/>
      <c r="C585" s="1128"/>
      <c r="D585" s="1129"/>
      <c r="E585" s="1129"/>
      <c r="F585" s="1129"/>
      <c r="G585" s="1127"/>
      <c r="H585" s="1127"/>
      <c r="I585" s="1127"/>
      <c r="J585" s="1127"/>
      <c r="K585" s="1127"/>
      <c r="L585" s="1127"/>
      <c r="M585" s="1127"/>
      <c r="N585" s="1127"/>
      <c r="O585" s="1127"/>
      <c r="P585" s="1126"/>
      <c r="Q585" s="1126"/>
      <c r="R585" s="1126"/>
      <c r="S585" s="1126"/>
      <c r="T585" s="1129"/>
      <c r="U585" s="1130"/>
      <c r="V585" s="1127"/>
      <c r="W585" s="1127"/>
      <c r="X585" s="1127"/>
      <c r="Y585" s="1112"/>
      <c r="Z585" s="1112"/>
      <c r="AA585" s="1109"/>
      <c r="AB585" s="1109"/>
      <c r="AC585" s="1127"/>
      <c r="AD585" s="1127"/>
      <c r="AE585" s="190">
        <f t="shared" si="228"/>
        <v>0</v>
      </c>
      <c r="AF585" s="190">
        <f t="shared" si="229"/>
        <v>0</v>
      </c>
      <c r="AG585" s="190">
        <f t="shared" si="230"/>
        <v>0</v>
      </c>
      <c r="AH585" s="190">
        <f t="shared" si="231"/>
        <v>0</v>
      </c>
      <c r="AI585" s="190">
        <f t="shared" si="236"/>
        <v>0</v>
      </c>
      <c r="AJ585" s="190">
        <f t="shared" si="236"/>
        <v>0</v>
      </c>
      <c r="AK585" s="464">
        <f t="shared" si="232"/>
        <v>0</v>
      </c>
      <c r="AL585" s="464">
        <f t="shared" si="233"/>
        <v>0</v>
      </c>
      <c r="AM585" s="464">
        <f t="shared" si="234"/>
        <v>0</v>
      </c>
      <c r="AN585" s="464">
        <f t="shared" si="222"/>
        <v>0</v>
      </c>
      <c r="AO585" s="464">
        <f t="shared" si="223"/>
        <v>0</v>
      </c>
      <c r="AP585" s="464">
        <f t="shared" si="235"/>
        <v>0</v>
      </c>
      <c r="AQ585" s="464">
        <f t="shared" si="235"/>
        <v>0</v>
      </c>
      <c r="AR585" s="190"/>
      <c r="AS585" s="464">
        <f t="shared" si="218"/>
        <v>0</v>
      </c>
    </row>
    <row r="586" spans="1:45" s="191" customFormat="1" ht="24.95" customHeight="1">
      <c r="A586" s="1129"/>
      <c r="B586" s="1129"/>
      <c r="C586" s="1128" t="s">
        <v>805</v>
      </c>
      <c r="D586" s="1129"/>
      <c r="E586" s="1129" t="s">
        <v>806</v>
      </c>
      <c r="F586" s="1129">
        <v>6</v>
      </c>
      <c r="G586" s="1127">
        <v>4195</v>
      </c>
      <c r="H586" s="1127"/>
      <c r="I586" s="1127"/>
      <c r="J586" s="1127"/>
      <c r="K586" s="1127"/>
      <c r="L586" s="1127"/>
      <c r="M586" s="1127"/>
      <c r="N586" s="1127">
        <f>G586+H587</f>
        <v>4195</v>
      </c>
      <c r="O586" s="1127">
        <v>1</v>
      </c>
      <c r="P586" s="1127"/>
      <c r="Q586" s="1126"/>
      <c r="R586" s="1126"/>
      <c r="S586" s="1126"/>
      <c r="T586" s="1129"/>
      <c r="U586" s="1130"/>
      <c r="V586" s="1127"/>
      <c r="W586" s="1127">
        <f>AD586</f>
        <v>2305</v>
      </c>
      <c r="X586" s="1127">
        <f>(N586+V586+Q587+S586)*O586+W586</f>
        <v>6500</v>
      </c>
      <c r="Y586" s="1112"/>
      <c r="Z586" s="1112">
        <f>X586+Y586</f>
        <v>6500</v>
      </c>
      <c r="AA586" s="1109">
        <f>Z586</f>
        <v>6500</v>
      </c>
      <c r="AB586" s="1109">
        <f>AA586-X586</f>
        <v>0</v>
      </c>
      <c r="AC586" s="1127">
        <f>6500*O586</f>
        <v>6500</v>
      </c>
      <c r="AD586" s="1127">
        <f>AC586-(N586*O586)</f>
        <v>2305</v>
      </c>
      <c r="AE586" s="190">
        <f t="shared" si="228"/>
        <v>4195</v>
      </c>
      <c r="AF586" s="190">
        <f t="shared" si="229"/>
        <v>0</v>
      </c>
      <c r="AG586" s="190">
        <f t="shared" si="230"/>
        <v>4195</v>
      </c>
      <c r="AH586" s="190">
        <f t="shared" si="231"/>
        <v>0</v>
      </c>
      <c r="AI586" s="190">
        <f t="shared" si="236"/>
        <v>0</v>
      </c>
      <c r="AJ586" s="190">
        <f t="shared" si="236"/>
        <v>0</v>
      </c>
      <c r="AK586" s="464">
        <f t="shared" si="232"/>
        <v>0</v>
      </c>
      <c r="AL586" s="464">
        <f t="shared" si="233"/>
        <v>0</v>
      </c>
      <c r="AM586" s="464">
        <f t="shared" si="234"/>
        <v>2305</v>
      </c>
      <c r="AN586" s="464">
        <f t="shared" si="222"/>
        <v>0</v>
      </c>
      <c r="AO586" s="464">
        <f t="shared" si="223"/>
        <v>0</v>
      </c>
      <c r="AP586" s="464">
        <f t="shared" si="235"/>
        <v>4195</v>
      </c>
      <c r="AQ586" s="464">
        <f t="shared" si="235"/>
        <v>0</v>
      </c>
      <c r="AR586" s="190"/>
      <c r="AS586" s="464">
        <f t="shared" si="218"/>
        <v>4195</v>
      </c>
    </row>
    <row r="587" spans="1:45" s="191" customFormat="1" ht="24.95" customHeight="1">
      <c r="A587" s="1129"/>
      <c r="B587" s="1129"/>
      <c r="C587" s="1128"/>
      <c r="D587" s="1129"/>
      <c r="E587" s="1129"/>
      <c r="F587" s="1129"/>
      <c r="G587" s="1127"/>
      <c r="H587" s="1127"/>
      <c r="I587" s="1127"/>
      <c r="J587" s="1127"/>
      <c r="K587" s="1127"/>
      <c r="L587" s="1127"/>
      <c r="M587" s="1127"/>
      <c r="N587" s="1127"/>
      <c r="O587" s="1127"/>
      <c r="P587" s="1127"/>
      <c r="Q587" s="1126"/>
      <c r="R587" s="1126"/>
      <c r="S587" s="1126"/>
      <c r="T587" s="1129"/>
      <c r="U587" s="1130"/>
      <c r="V587" s="1127"/>
      <c r="W587" s="1127"/>
      <c r="X587" s="1127"/>
      <c r="Y587" s="1112"/>
      <c r="Z587" s="1112"/>
      <c r="AA587" s="1109"/>
      <c r="AB587" s="1109"/>
      <c r="AC587" s="1127"/>
      <c r="AD587" s="1127"/>
      <c r="AE587" s="190">
        <f t="shared" si="228"/>
        <v>0</v>
      </c>
      <c r="AF587" s="190">
        <f t="shared" si="229"/>
        <v>0</v>
      </c>
      <c r="AG587" s="190">
        <f t="shared" si="230"/>
        <v>0</v>
      </c>
      <c r="AH587" s="190">
        <f t="shared" si="231"/>
        <v>0</v>
      </c>
      <c r="AI587" s="190">
        <f t="shared" si="236"/>
        <v>0</v>
      </c>
      <c r="AJ587" s="190">
        <f t="shared" si="236"/>
        <v>0</v>
      </c>
      <c r="AK587" s="464">
        <f t="shared" si="232"/>
        <v>0</v>
      </c>
      <c r="AL587" s="464">
        <f t="shared" si="233"/>
        <v>0</v>
      </c>
      <c r="AM587" s="464">
        <f t="shared" si="234"/>
        <v>0</v>
      </c>
      <c r="AN587" s="464">
        <f t="shared" si="222"/>
        <v>0</v>
      </c>
      <c r="AO587" s="464">
        <f t="shared" si="223"/>
        <v>0</v>
      </c>
      <c r="AP587" s="464">
        <f t="shared" si="235"/>
        <v>0</v>
      </c>
      <c r="AQ587" s="464">
        <f t="shared" si="235"/>
        <v>0</v>
      </c>
      <c r="AR587" s="190"/>
      <c r="AS587" s="464">
        <f t="shared" si="218"/>
        <v>0</v>
      </c>
    </row>
    <row r="588" spans="1:45" s="191" customFormat="1" ht="24.95" customHeight="1">
      <c r="A588" s="1129"/>
      <c r="B588" s="1129"/>
      <c r="C588" s="1128" t="s">
        <v>807</v>
      </c>
      <c r="D588" s="1129"/>
      <c r="E588" s="1129" t="s">
        <v>1071</v>
      </c>
      <c r="F588" s="1129">
        <v>7</v>
      </c>
      <c r="G588" s="1127">
        <v>4455</v>
      </c>
      <c r="H588" s="1127"/>
      <c r="I588" s="1127"/>
      <c r="J588" s="1127"/>
      <c r="K588" s="1127"/>
      <c r="L588" s="1127"/>
      <c r="M588" s="1127"/>
      <c r="N588" s="1127">
        <f>G588+H589</f>
        <v>4455</v>
      </c>
      <c r="O588" s="1127">
        <v>1</v>
      </c>
      <c r="P588" s="1126"/>
      <c r="Q588" s="1126"/>
      <c r="R588" s="1126"/>
      <c r="S588" s="1126"/>
      <c r="T588" s="1129"/>
      <c r="U588" s="1130"/>
      <c r="V588" s="1127"/>
      <c r="W588" s="1127">
        <f>AD588</f>
        <v>2045</v>
      </c>
      <c r="X588" s="1127">
        <f>(N588+V588+Q589+S588)*O588+W588</f>
        <v>6500</v>
      </c>
      <c r="Y588" s="1112"/>
      <c r="Z588" s="1112">
        <f>X588+Y588</f>
        <v>6500</v>
      </c>
      <c r="AA588" s="1109">
        <f>Z588</f>
        <v>6500</v>
      </c>
      <c r="AB588" s="1109">
        <f>AA588-X588</f>
        <v>0</v>
      </c>
      <c r="AC588" s="1127">
        <f>6500*O588</f>
        <v>6500</v>
      </c>
      <c r="AD588" s="1127">
        <f>AC588-(N588*O588)</f>
        <v>2045</v>
      </c>
      <c r="AE588" s="190">
        <f t="shared" si="228"/>
        <v>4455</v>
      </c>
      <c r="AF588" s="190">
        <f t="shared" si="229"/>
        <v>0</v>
      </c>
      <c r="AG588" s="190">
        <f t="shared" si="230"/>
        <v>4455</v>
      </c>
      <c r="AH588" s="190">
        <f t="shared" si="231"/>
        <v>0</v>
      </c>
      <c r="AI588" s="190">
        <f t="shared" si="236"/>
        <v>0</v>
      </c>
      <c r="AJ588" s="190">
        <f t="shared" si="236"/>
        <v>0</v>
      </c>
      <c r="AK588" s="464">
        <f t="shared" si="232"/>
        <v>0</v>
      </c>
      <c r="AL588" s="464">
        <f t="shared" si="233"/>
        <v>0</v>
      </c>
      <c r="AM588" s="464">
        <f t="shared" si="234"/>
        <v>2045</v>
      </c>
      <c r="AN588" s="464">
        <f t="shared" si="222"/>
        <v>0</v>
      </c>
      <c r="AO588" s="464">
        <f t="shared" si="223"/>
        <v>0</v>
      </c>
      <c r="AP588" s="464">
        <f t="shared" si="235"/>
        <v>4455</v>
      </c>
      <c r="AQ588" s="464">
        <f t="shared" si="235"/>
        <v>0</v>
      </c>
      <c r="AR588" s="190"/>
      <c r="AS588" s="464">
        <f t="shared" si="218"/>
        <v>4455</v>
      </c>
    </row>
    <row r="589" spans="1:45" s="191" customFormat="1" ht="24.95" customHeight="1">
      <c r="A589" s="1129"/>
      <c r="B589" s="1129"/>
      <c r="C589" s="1128"/>
      <c r="D589" s="1129"/>
      <c r="E589" s="1129"/>
      <c r="F589" s="1129"/>
      <c r="G589" s="1133"/>
      <c r="H589" s="1127"/>
      <c r="I589" s="1127"/>
      <c r="J589" s="1127"/>
      <c r="K589" s="1127"/>
      <c r="L589" s="1127"/>
      <c r="M589" s="1127"/>
      <c r="N589" s="1127"/>
      <c r="O589" s="1127"/>
      <c r="P589" s="1126"/>
      <c r="Q589" s="1126"/>
      <c r="R589" s="1126"/>
      <c r="S589" s="1126"/>
      <c r="T589" s="1129"/>
      <c r="U589" s="1130"/>
      <c r="V589" s="1127"/>
      <c r="W589" s="1127"/>
      <c r="X589" s="1127"/>
      <c r="Y589" s="1112"/>
      <c r="Z589" s="1112"/>
      <c r="AA589" s="1109"/>
      <c r="AB589" s="1109"/>
      <c r="AC589" s="1127"/>
      <c r="AD589" s="1127"/>
      <c r="AE589" s="190">
        <f t="shared" si="228"/>
        <v>0</v>
      </c>
      <c r="AF589" s="190">
        <f t="shared" si="229"/>
        <v>0</v>
      </c>
      <c r="AG589" s="190">
        <f t="shared" si="230"/>
        <v>0</v>
      </c>
      <c r="AH589" s="190">
        <f t="shared" si="231"/>
        <v>0</v>
      </c>
      <c r="AI589" s="190">
        <f t="shared" si="236"/>
        <v>0</v>
      </c>
      <c r="AJ589" s="190">
        <f t="shared" si="236"/>
        <v>0</v>
      </c>
      <c r="AK589" s="464">
        <f t="shared" si="232"/>
        <v>0</v>
      </c>
      <c r="AL589" s="464">
        <f t="shared" si="233"/>
        <v>0</v>
      </c>
      <c r="AM589" s="464">
        <f t="shared" si="234"/>
        <v>0</v>
      </c>
      <c r="AN589" s="464">
        <f t="shared" si="222"/>
        <v>0</v>
      </c>
      <c r="AO589" s="464">
        <f t="shared" si="223"/>
        <v>0</v>
      </c>
      <c r="AP589" s="464">
        <f t="shared" si="235"/>
        <v>0</v>
      </c>
      <c r="AQ589" s="464">
        <f t="shared" si="235"/>
        <v>0</v>
      </c>
      <c r="AR589" s="190"/>
      <c r="AS589" s="464">
        <f t="shared" si="218"/>
        <v>0</v>
      </c>
    </row>
    <row r="590" spans="1:45" s="191" customFormat="1" ht="24.95" customHeight="1">
      <c r="A590" s="1129"/>
      <c r="B590" s="1129"/>
      <c r="C590" s="1128" t="s">
        <v>808</v>
      </c>
      <c r="D590" s="1129"/>
      <c r="E590" s="1129" t="s">
        <v>809</v>
      </c>
      <c r="F590" s="1129">
        <v>6</v>
      </c>
      <c r="G590" s="1127">
        <v>4195</v>
      </c>
      <c r="H590" s="1127"/>
      <c r="I590" s="1127"/>
      <c r="J590" s="1127"/>
      <c r="K590" s="1127"/>
      <c r="L590" s="1127"/>
      <c r="M590" s="1127"/>
      <c r="N590" s="1127">
        <f>G590+H591+K591</f>
        <v>4195</v>
      </c>
      <c r="O590" s="1127">
        <v>1</v>
      </c>
      <c r="P590" s="1126"/>
      <c r="Q590" s="1126"/>
      <c r="R590" s="1126"/>
      <c r="S590" s="1126"/>
      <c r="T590" s="1129"/>
      <c r="U590" s="1130"/>
      <c r="V590" s="1127"/>
      <c r="W590" s="1127">
        <f>AD590</f>
        <v>2305</v>
      </c>
      <c r="X590" s="1127">
        <f>(N590+V590+Q591+S590)*O590+W590</f>
        <v>6500</v>
      </c>
      <c r="Y590" s="1112"/>
      <c r="Z590" s="1112">
        <f>X590+Y590</f>
        <v>6500</v>
      </c>
      <c r="AA590" s="1109">
        <f>Z590</f>
        <v>6500</v>
      </c>
      <c r="AB590" s="1109">
        <f>AA590-X590</f>
        <v>0</v>
      </c>
      <c r="AC590" s="1127">
        <f>6500*O590</f>
        <v>6500</v>
      </c>
      <c r="AD590" s="1127">
        <f>AC590-(N590*O590)</f>
        <v>2305</v>
      </c>
      <c r="AE590" s="190">
        <f t="shared" si="228"/>
        <v>4195</v>
      </c>
      <c r="AF590" s="190">
        <f t="shared" si="229"/>
        <v>0</v>
      </c>
      <c r="AG590" s="190">
        <f t="shared" si="230"/>
        <v>4195</v>
      </c>
      <c r="AH590" s="190">
        <f t="shared" si="231"/>
        <v>0</v>
      </c>
      <c r="AI590" s="190">
        <f t="shared" si="236"/>
        <v>0</v>
      </c>
      <c r="AJ590" s="190">
        <f t="shared" si="236"/>
        <v>0</v>
      </c>
      <c r="AK590" s="464">
        <f t="shared" si="232"/>
        <v>0</v>
      </c>
      <c r="AL590" s="464">
        <f t="shared" si="233"/>
        <v>0</v>
      </c>
      <c r="AM590" s="464">
        <f t="shared" si="234"/>
        <v>2305</v>
      </c>
      <c r="AN590" s="464">
        <f t="shared" si="222"/>
        <v>0</v>
      </c>
      <c r="AO590" s="464">
        <f t="shared" si="223"/>
        <v>0</v>
      </c>
      <c r="AP590" s="464">
        <f t="shared" si="235"/>
        <v>4195</v>
      </c>
      <c r="AQ590" s="464">
        <f t="shared" si="235"/>
        <v>0</v>
      </c>
      <c r="AR590" s="190"/>
      <c r="AS590" s="464">
        <f t="shared" si="218"/>
        <v>4195</v>
      </c>
    </row>
    <row r="591" spans="1:45" s="191" customFormat="1" ht="24.95" customHeight="1">
      <c r="A591" s="1129"/>
      <c r="B591" s="1129"/>
      <c r="C591" s="1128"/>
      <c r="D591" s="1129"/>
      <c r="E591" s="1129"/>
      <c r="F591" s="1129"/>
      <c r="G591" s="1133"/>
      <c r="H591" s="1127"/>
      <c r="I591" s="1127"/>
      <c r="J591" s="1127"/>
      <c r="K591" s="1127"/>
      <c r="L591" s="1127"/>
      <c r="M591" s="1127"/>
      <c r="N591" s="1127"/>
      <c r="O591" s="1127"/>
      <c r="P591" s="1126"/>
      <c r="Q591" s="1126"/>
      <c r="R591" s="1126"/>
      <c r="S591" s="1126"/>
      <c r="T591" s="1129"/>
      <c r="U591" s="1130"/>
      <c r="V591" s="1127"/>
      <c r="W591" s="1127"/>
      <c r="X591" s="1127"/>
      <c r="Y591" s="1112"/>
      <c r="Z591" s="1112"/>
      <c r="AA591" s="1109"/>
      <c r="AB591" s="1109"/>
      <c r="AC591" s="1127"/>
      <c r="AD591" s="1127"/>
      <c r="AE591" s="190">
        <f t="shared" si="228"/>
        <v>0</v>
      </c>
      <c r="AF591" s="190">
        <f t="shared" si="229"/>
        <v>0</v>
      </c>
      <c r="AG591" s="190">
        <f t="shared" si="230"/>
        <v>0</v>
      </c>
      <c r="AH591" s="190">
        <f t="shared" si="231"/>
        <v>0</v>
      </c>
      <c r="AI591" s="190">
        <f t="shared" si="236"/>
        <v>0</v>
      </c>
      <c r="AJ591" s="190">
        <f t="shared" si="236"/>
        <v>0</v>
      </c>
      <c r="AK591" s="464">
        <f t="shared" si="232"/>
        <v>0</v>
      </c>
      <c r="AL591" s="464">
        <f t="shared" si="233"/>
        <v>0</v>
      </c>
      <c r="AM591" s="464">
        <f t="shared" si="234"/>
        <v>0</v>
      </c>
      <c r="AN591" s="464">
        <f t="shared" si="222"/>
        <v>0</v>
      </c>
      <c r="AO591" s="464">
        <f t="shared" si="223"/>
        <v>0</v>
      </c>
      <c r="AP591" s="464">
        <f t="shared" si="235"/>
        <v>0</v>
      </c>
      <c r="AQ591" s="464">
        <f t="shared" si="235"/>
        <v>0</v>
      </c>
      <c r="AR591" s="190"/>
      <c r="AS591" s="464">
        <f t="shared" si="218"/>
        <v>0</v>
      </c>
    </row>
    <row r="592" spans="1:45" s="191" customFormat="1" ht="24.95" customHeight="1">
      <c r="A592" s="1129"/>
      <c r="B592" s="1129"/>
      <c r="C592" s="1128" t="s">
        <v>810</v>
      </c>
      <c r="D592" s="1129" t="s">
        <v>811</v>
      </c>
      <c r="E592" s="1129" t="s">
        <v>812</v>
      </c>
      <c r="F592" s="1129">
        <v>10</v>
      </c>
      <c r="G592" s="1127">
        <v>5265</v>
      </c>
      <c r="H592" s="1127"/>
      <c r="I592" s="1127"/>
      <c r="J592" s="1127"/>
      <c r="K592" s="1127"/>
      <c r="L592" s="1127"/>
      <c r="M592" s="1127"/>
      <c r="N592" s="1127">
        <f>G592+H593</f>
        <v>5265</v>
      </c>
      <c r="O592" s="1127">
        <v>0.5</v>
      </c>
      <c r="P592" s="1126"/>
      <c r="Q592" s="1126"/>
      <c r="R592" s="1126"/>
      <c r="S592" s="1126"/>
      <c r="T592" s="1129"/>
      <c r="U592" s="1130"/>
      <c r="V592" s="1127"/>
      <c r="W592" s="1127">
        <f>AD592</f>
        <v>617.5</v>
      </c>
      <c r="X592" s="1127">
        <f>(N592+V592+Q593+S592)*O592+W592</f>
        <v>3250</v>
      </c>
      <c r="Y592" s="1112"/>
      <c r="Z592" s="1112">
        <f>X592+Y592</f>
        <v>3250</v>
      </c>
      <c r="AA592" s="1109">
        <f>Z592</f>
        <v>3250</v>
      </c>
      <c r="AB592" s="1109">
        <f>AA592-X592</f>
        <v>0</v>
      </c>
      <c r="AC592" s="1127">
        <f>6500*O592</f>
        <v>3250</v>
      </c>
      <c r="AD592" s="1127">
        <f>AC592-(N592*O592)</f>
        <v>617.5</v>
      </c>
      <c r="AE592" s="190">
        <f t="shared" si="228"/>
        <v>2632.5</v>
      </c>
      <c r="AF592" s="190">
        <f t="shared" si="229"/>
        <v>0</v>
      </c>
      <c r="AG592" s="190">
        <f t="shared" si="230"/>
        <v>2632.5</v>
      </c>
      <c r="AH592" s="190">
        <f t="shared" si="231"/>
        <v>0</v>
      </c>
      <c r="AI592" s="190">
        <f t="shared" si="236"/>
        <v>0</v>
      </c>
      <c r="AJ592" s="190">
        <f t="shared" si="236"/>
        <v>0</v>
      </c>
      <c r="AK592" s="464">
        <f t="shared" si="232"/>
        <v>0</v>
      </c>
      <c r="AL592" s="464">
        <f t="shared" si="233"/>
        <v>0</v>
      </c>
      <c r="AM592" s="464">
        <f t="shared" si="234"/>
        <v>617.5</v>
      </c>
      <c r="AN592" s="464">
        <f t="shared" si="222"/>
        <v>0</v>
      </c>
      <c r="AO592" s="464">
        <f t="shared" si="223"/>
        <v>0</v>
      </c>
      <c r="AP592" s="464">
        <f t="shared" si="235"/>
        <v>2632.5</v>
      </c>
      <c r="AQ592" s="464">
        <f t="shared" si="235"/>
        <v>0</v>
      </c>
      <c r="AR592" s="190"/>
      <c r="AS592" s="464">
        <f t="shared" si="218"/>
        <v>2632.5</v>
      </c>
    </row>
    <row r="593" spans="1:45" s="191" customFormat="1" ht="24.95" customHeight="1">
      <c r="A593" s="1129"/>
      <c r="B593" s="1129"/>
      <c r="C593" s="1128"/>
      <c r="D593" s="1129"/>
      <c r="E593" s="1129"/>
      <c r="F593" s="1129"/>
      <c r="G593" s="1133"/>
      <c r="H593" s="1127"/>
      <c r="I593" s="1127"/>
      <c r="J593" s="1127"/>
      <c r="K593" s="1127"/>
      <c r="L593" s="1127"/>
      <c r="M593" s="1127"/>
      <c r="N593" s="1127"/>
      <c r="O593" s="1127"/>
      <c r="P593" s="1126"/>
      <c r="Q593" s="1126"/>
      <c r="R593" s="1126"/>
      <c r="S593" s="1126"/>
      <c r="T593" s="1129"/>
      <c r="U593" s="1130"/>
      <c r="V593" s="1127"/>
      <c r="W593" s="1127"/>
      <c r="X593" s="1127"/>
      <c r="Y593" s="1112"/>
      <c r="Z593" s="1112"/>
      <c r="AA593" s="1109"/>
      <c r="AB593" s="1109"/>
      <c r="AC593" s="1127"/>
      <c r="AD593" s="1127"/>
      <c r="AE593" s="190">
        <f t="shared" si="228"/>
        <v>0</v>
      </c>
      <c r="AF593" s="190">
        <f t="shared" si="229"/>
        <v>0</v>
      </c>
      <c r="AG593" s="190">
        <f t="shared" si="230"/>
        <v>0</v>
      </c>
      <c r="AH593" s="190">
        <f t="shared" si="231"/>
        <v>0</v>
      </c>
      <c r="AI593" s="190">
        <f t="shared" si="236"/>
        <v>0</v>
      </c>
      <c r="AJ593" s="190">
        <f t="shared" si="236"/>
        <v>0</v>
      </c>
      <c r="AK593" s="464">
        <f t="shared" si="232"/>
        <v>0</v>
      </c>
      <c r="AL593" s="464">
        <f t="shared" si="233"/>
        <v>0</v>
      </c>
      <c r="AM593" s="464">
        <f t="shared" si="234"/>
        <v>0</v>
      </c>
      <c r="AN593" s="464">
        <f t="shared" si="222"/>
        <v>0</v>
      </c>
      <c r="AO593" s="464">
        <f t="shared" si="223"/>
        <v>0</v>
      </c>
      <c r="AP593" s="464">
        <f t="shared" si="235"/>
        <v>0</v>
      </c>
      <c r="AQ593" s="464">
        <f t="shared" si="235"/>
        <v>0</v>
      </c>
      <c r="AR593" s="190"/>
      <c r="AS593" s="464">
        <f t="shared" si="218"/>
        <v>0</v>
      </c>
    </row>
    <row r="594" spans="1:45" s="191" customFormat="1" ht="24.95" customHeight="1">
      <c r="A594" s="1129"/>
      <c r="B594" s="1129"/>
      <c r="C594" s="1128" t="s">
        <v>1072</v>
      </c>
      <c r="D594" s="1129"/>
      <c r="E594" s="1129" t="s">
        <v>732</v>
      </c>
      <c r="F594" s="1129">
        <v>10</v>
      </c>
      <c r="G594" s="1127">
        <v>5265</v>
      </c>
      <c r="H594" s="1127"/>
      <c r="I594" s="1127"/>
      <c r="J594" s="1127"/>
      <c r="K594" s="1127"/>
      <c r="L594" s="1127"/>
      <c r="M594" s="1127"/>
      <c r="N594" s="1127">
        <f>G594+H595</f>
        <v>5265</v>
      </c>
      <c r="O594" s="1127">
        <v>0.5</v>
      </c>
      <c r="P594" s="1127"/>
      <c r="Q594" s="1126"/>
      <c r="R594" s="1126"/>
      <c r="S594" s="1126"/>
      <c r="T594" s="1129"/>
      <c r="U594" s="1130"/>
      <c r="V594" s="1127"/>
      <c r="W594" s="1127">
        <f>AD594</f>
        <v>617.5</v>
      </c>
      <c r="X594" s="1127">
        <f>(N594+V594+Q595+S594)*O594+W594</f>
        <v>3250</v>
      </c>
      <c r="Y594" s="1112"/>
      <c r="Z594" s="1112">
        <f>X594+Y594</f>
        <v>3250</v>
      </c>
      <c r="AA594" s="1109">
        <f>Z594</f>
        <v>3250</v>
      </c>
      <c r="AB594" s="1109">
        <f>AA594-X594</f>
        <v>0</v>
      </c>
      <c r="AC594" s="1127">
        <f>6500*O594</f>
        <v>3250</v>
      </c>
      <c r="AD594" s="1127">
        <f>AC594-(N594*O594)</f>
        <v>617.5</v>
      </c>
      <c r="AE594" s="190">
        <f t="shared" ref="AE594:AE599" si="237">G594*O594</f>
        <v>2632.5</v>
      </c>
      <c r="AF594" s="190">
        <f t="shared" ref="AF594:AF599" si="238">G594*P594</f>
        <v>0</v>
      </c>
      <c r="AG594" s="190">
        <f t="shared" ref="AG594:AG599" si="239">N594*O594</f>
        <v>2632.5</v>
      </c>
      <c r="AH594" s="190">
        <f t="shared" ref="AH594:AH599" si="240">N594*P594</f>
        <v>0</v>
      </c>
      <c r="AI594" s="190">
        <f t="shared" ref="AI594:AJ599" si="241">AG594-AE594</f>
        <v>0</v>
      </c>
      <c r="AJ594" s="190">
        <f t="shared" si="241"/>
        <v>0</v>
      </c>
      <c r="AK594" s="464">
        <f t="shared" ref="AK594:AK599" si="242">V594*O594</f>
        <v>0</v>
      </c>
      <c r="AL594" s="464">
        <f t="shared" ref="AL594:AL599" si="243">V594*P594</f>
        <v>0</v>
      </c>
      <c r="AM594" s="464">
        <f t="shared" ref="AM594:AM599" si="244">W594</f>
        <v>617.5</v>
      </c>
      <c r="AN594" s="464">
        <f t="shared" ref="AN594:AN599" si="245">S594*O594</f>
        <v>0</v>
      </c>
      <c r="AO594" s="464">
        <f t="shared" ref="AO594:AO599" si="246">S594*P594</f>
        <v>0</v>
      </c>
      <c r="AP594" s="464">
        <f t="shared" ref="AP594:AQ599" si="247">AG594</f>
        <v>2632.5</v>
      </c>
      <c r="AQ594" s="464">
        <f t="shared" si="247"/>
        <v>0</v>
      </c>
      <c r="AR594" s="190"/>
      <c r="AS594" s="464">
        <f t="shared" ref="AS594:AS599" si="248">AP594+AQ594-AR594</f>
        <v>2632.5</v>
      </c>
    </row>
    <row r="595" spans="1:45" s="191" customFormat="1" ht="24.95" customHeight="1">
      <c r="A595" s="1129"/>
      <c r="B595" s="1129"/>
      <c r="C595" s="1128"/>
      <c r="D595" s="1129"/>
      <c r="E595" s="1129"/>
      <c r="F595" s="1129"/>
      <c r="G595" s="1127"/>
      <c r="H595" s="1127"/>
      <c r="I595" s="1127"/>
      <c r="J595" s="1127"/>
      <c r="K595" s="1127"/>
      <c r="L595" s="1127"/>
      <c r="M595" s="1127"/>
      <c r="N595" s="1127"/>
      <c r="O595" s="1127"/>
      <c r="P595" s="1127"/>
      <c r="Q595" s="1126"/>
      <c r="R595" s="1126"/>
      <c r="S595" s="1126"/>
      <c r="T595" s="1129"/>
      <c r="U595" s="1130"/>
      <c r="V595" s="1127"/>
      <c r="W595" s="1127"/>
      <c r="X595" s="1127"/>
      <c r="Y595" s="1112"/>
      <c r="Z595" s="1112"/>
      <c r="AA595" s="1109"/>
      <c r="AB595" s="1109"/>
      <c r="AC595" s="1127"/>
      <c r="AD595" s="1127"/>
      <c r="AE595" s="190">
        <f t="shared" si="237"/>
        <v>0</v>
      </c>
      <c r="AF595" s="190">
        <f t="shared" si="238"/>
        <v>0</v>
      </c>
      <c r="AG595" s="190">
        <f t="shared" si="239"/>
        <v>0</v>
      </c>
      <c r="AH595" s="190">
        <f t="shared" si="240"/>
        <v>0</v>
      </c>
      <c r="AI595" s="190">
        <f t="shared" si="241"/>
        <v>0</v>
      </c>
      <c r="AJ595" s="190">
        <f t="shared" si="241"/>
        <v>0</v>
      </c>
      <c r="AK595" s="464">
        <f t="shared" si="242"/>
        <v>0</v>
      </c>
      <c r="AL595" s="464">
        <f t="shared" si="243"/>
        <v>0</v>
      </c>
      <c r="AM595" s="464">
        <f t="shared" si="244"/>
        <v>0</v>
      </c>
      <c r="AN595" s="464">
        <f t="shared" si="245"/>
        <v>0</v>
      </c>
      <c r="AO595" s="464">
        <f t="shared" si="246"/>
        <v>0</v>
      </c>
      <c r="AP595" s="464">
        <f t="shared" si="247"/>
        <v>0</v>
      </c>
      <c r="AQ595" s="464">
        <f t="shared" si="247"/>
        <v>0</v>
      </c>
      <c r="AR595" s="190"/>
      <c r="AS595" s="464">
        <f t="shared" si="248"/>
        <v>0</v>
      </c>
    </row>
    <row r="596" spans="1:45" s="191" customFormat="1" ht="24.95" customHeight="1">
      <c r="A596" s="1129"/>
      <c r="B596" s="1129"/>
      <c r="C596" s="1139" t="s">
        <v>1153</v>
      </c>
      <c r="D596" s="1129"/>
      <c r="E596" s="1129"/>
      <c r="F596" s="1129">
        <v>8</v>
      </c>
      <c r="G596" s="1127">
        <v>4745</v>
      </c>
      <c r="H596" s="1127"/>
      <c r="I596" s="1127"/>
      <c r="J596" s="1127"/>
      <c r="K596" s="1127"/>
      <c r="L596" s="1127"/>
      <c r="M596" s="1127"/>
      <c r="N596" s="1127">
        <f>G596+H597</f>
        <v>4745</v>
      </c>
      <c r="O596" s="1127">
        <v>1</v>
      </c>
      <c r="P596" s="1127"/>
      <c r="Q596" s="1126"/>
      <c r="R596" s="1126"/>
      <c r="S596" s="1126"/>
      <c r="T596" s="1129"/>
      <c r="U596" s="1130"/>
      <c r="V596" s="1127"/>
      <c r="W596" s="1127">
        <f>AD596</f>
        <v>1755</v>
      </c>
      <c r="X596" s="1127">
        <f>(N596+V596+Q597+S596)*O596+W596</f>
        <v>6500</v>
      </c>
      <c r="Y596" s="1112"/>
      <c r="Z596" s="1112">
        <f>X596+Y596</f>
        <v>6500</v>
      </c>
      <c r="AA596" s="1109">
        <f>Z596</f>
        <v>6500</v>
      </c>
      <c r="AB596" s="1109">
        <f>AA596-X596</f>
        <v>0</v>
      </c>
      <c r="AC596" s="1127">
        <f>6500*O596</f>
        <v>6500</v>
      </c>
      <c r="AD596" s="1127">
        <f>AC596-(N596*O596)</f>
        <v>1755</v>
      </c>
      <c r="AE596" s="190">
        <f t="shared" si="237"/>
        <v>4745</v>
      </c>
      <c r="AF596" s="190">
        <f t="shared" si="238"/>
        <v>0</v>
      </c>
      <c r="AG596" s="190">
        <f t="shared" si="239"/>
        <v>4745</v>
      </c>
      <c r="AH596" s="190">
        <f t="shared" si="240"/>
        <v>0</v>
      </c>
      <c r="AI596" s="190">
        <f t="shared" si="241"/>
        <v>0</v>
      </c>
      <c r="AJ596" s="190">
        <f t="shared" si="241"/>
        <v>0</v>
      </c>
      <c r="AK596" s="464">
        <f t="shared" si="242"/>
        <v>0</v>
      </c>
      <c r="AL596" s="464">
        <f t="shared" si="243"/>
        <v>0</v>
      </c>
      <c r="AM596" s="464">
        <f t="shared" si="244"/>
        <v>1755</v>
      </c>
      <c r="AN596" s="464">
        <f t="shared" si="245"/>
        <v>0</v>
      </c>
      <c r="AO596" s="464">
        <f t="shared" si="246"/>
        <v>0</v>
      </c>
      <c r="AP596" s="464">
        <f t="shared" si="247"/>
        <v>4745</v>
      </c>
      <c r="AQ596" s="464">
        <f t="shared" si="247"/>
        <v>0</v>
      </c>
      <c r="AR596" s="190"/>
      <c r="AS596" s="464">
        <f t="shared" si="248"/>
        <v>4745</v>
      </c>
    </row>
    <row r="597" spans="1:45" s="191" customFormat="1" ht="24.95" customHeight="1">
      <c r="A597" s="1129"/>
      <c r="B597" s="1129"/>
      <c r="C597" s="1139"/>
      <c r="D597" s="1129"/>
      <c r="E597" s="1129"/>
      <c r="F597" s="1129"/>
      <c r="G597" s="1127"/>
      <c r="H597" s="1127"/>
      <c r="I597" s="1127"/>
      <c r="J597" s="1127"/>
      <c r="K597" s="1127"/>
      <c r="L597" s="1127"/>
      <c r="M597" s="1127"/>
      <c r="N597" s="1127"/>
      <c r="O597" s="1127"/>
      <c r="P597" s="1127"/>
      <c r="Q597" s="1126"/>
      <c r="R597" s="1126"/>
      <c r="S597" s="1126"/>
      <c r="T597" s="1129"/>
      <c r="U597" s="1130"/>
      <c r="V597" s="1127"/>
      <c r="W597" s="1127"/>
      <c r="X597" s="1127"/>
      <c r="Y597" s="1112"/>
      <c r="Z597" s="1112"/>
      <c r="AA597" s="1109"/>
      <c r="AB597" s="1109"/>
      <c r="AC597" s="1127"/>
      <c r="AD597" s="1127"/>
      <c r="AE597" s="190">
        <f t="shared" si="237"/>
        <v>0</v>
      </c>
      <c r="AF597" s="190">
        <f t="shared" si="238"/>
        <v>0</v>
      </c>
      <c r="AG597" s="190">
        <f t="shared" si="239"/>
        <v>0</v>
      </c>
      <c r="AH597" s="190">
        <f t="shared" si="240"/>
        <v>0</v>
      </c>
      <c r="AI597" s="190">
        <f t="shared" si="241"/>
        <v>0</v>
      </c>
      <c r="AJ597" s="190">
        <f t="shared" si="241"/>
        <v>0</v>
      </c>
      <c r="AK597" s="464">
        <f t="shared" si="242"/>
        <v>0</v>
      </c>
      <c r="AL597" s="464">
        <f t="shared" si="243"/>
        <v>0</v>
      </c>
      <c r="AM597" s="464">
        <f t="shared" si="244"/>
        <v>0</v>
      </c>
      <c r="AN597" s="464">
        <f t="shared" si="245"/>
        <v>0</v>
      </c>
      <c r="AO597" s="464">
        <f t="shared" si="246"/>
        <v>0</v>
      </c>
      <c r="AP597" s="464">
        <f t="shared" si="247"/>
        <v>0</v>
      </c>
      <c r="AQ597" s="464">
        <f t="shared" si="247"/>
        <v>0</v>
      </c>
      <c r="AR597" s="190"/>
      <c r="AS597" s="464">
        <f t="shared" si="248"/>
        <v>0</v>
      </c>
    </row>
    <row r="598" spans="1:45" s="191" customFormat="1" ht="24.95" customHeight="1">
      <c r="A598" s="1129"/>
      <c r="B598" s="1129"/>
      <c r="C598" s="1128" t="s">
        <v>813</v>
      </c>
      <c r="D598" s="1129"/>
      <c r="E598" s="1129"/>
      <c r="F598" s="1129">
        <v>8</v>
      </c>
      <c r="G598" s="1127">
        <v>4745</v>
      </c>
      <c r="H598" s="1127"/>
      <c r="I598" s="1127"/>
      <c r="J598" s="1127"/>
      <c r="K598" s="1127"/>
      <c r="L598" s="1127"/>
      <c r="M598" s="1127"/>
      <c r="N598" s="1127">
        <f>G598+H599</f>
        <v>4745</v>
      </c>
      <c r="O598" s="1127">
        <v>1</v>
      </c>
      <c r="P598" s="1127"/>
      <c r="Q598" s="1126"/>
      <c r="R598" s="1126"/>
      <c r="S598" s="1126"/>
      <c r="T598" s="1129"/>
      <c r="U598" s="1130"/>
      <c r="V598" s="1127"/>
      <c r="W598" s="1127">
        <f>AD598</f>
        <v>1755</v>
      </c>
      <c r="X598" s="1127">
        <f>(N598+V598+Q599+S598)*O598+W598</f>
        <v>6500</v>
      </c>
      <c r="Y598" s="1112"/>
      <c r="Z598" s="1112">
        <f>X598+Y598</f>
        <v>6500</v>
      </c>
      <c r="AA598" s="1109">
        <f>Z598</f>
        <v>6500</v>
      </c>
      <c r="AB598" s="1109">
        <f>AA598-X598</f>
        <v>0</v>
      </c>
      <c r="AC598" s="1127">
        <f>6500*O598</f>
        <v>6500</v>
      </c>
      <c r="AD598" s="1127">
        <f>AC598-(N598*O598)</f>
        <v>1755</v>
      </c>
      <c r="AE598" s="190">
        <f t="shared" si="237"/>
        <v>4745</v>
      </c>
      <c r="AF598" s="190">
        <f t="shared" si="238"/>
        <v>0</v>
      </c>
      <c r="AG598" s="190">
        <f t="shared" si="239"/>
        <v>4745</v>
      </c>
      <c r="AH598" s="190">
        <f t="shared" si="240"/>
        <v>0</v>
      </c>
      <c r="AI598" s="190">
        <f t="shared" si="241"/>
        <v>0</v>
      </c>
      <c r="AJ598" s="190">
        <f t="shared" si="241"/>
        <v>0</v>
      </c>
      <c r="AK598" s="464">
        <f t="shared" si="242"/>
        <v>0</v>
      </c>
      <c r="AL598" s="464">
        <f t="shared" si="243"/>
        <v>0</v>
      </c>
      <c r="AM598" s="464">
        <f t="shared" si="244"/>
        <v>1755</v>
      </c>
      <c r="AN598" s="464">
        <f t="shared" si="245"/>
        <v>0</v>
      </c>
      <c r="AO598" s="464">
        <f t="shared" si="246"/>
        <v>0</v>
      </c>
      <c r="AP598" s="464">
        <f t="shared" si="247"/>
        <v>4745</v>
      </c>
      <c r="AQ598" s="464">
        <f t="shared" si="247"/>
        <v>0</v>
      </c>
      <c r="AR598" s="190"/>
      <c r="AS598" s="464">
        <f t="shared" si="248"/>
        <v>4745</v>
      </c>
    </row>
    <row r="599" spans="1:45" s="191" customFormat="1" ht="24.95" customHeight="1">
      <c r="A599" s="1129"/>
      <c r="B599" s="1129"/>
      <c r="C599" s="1128"/>
      <c r="D599" s="1129"/>
      <c r="E599" s="1129"/>
      <c r="F599" s="1129"/>
      <c r="G599" s="1127"/>
      <c r="H599" s="1127"/>
      <c r="I599" s="1127"/>
      <c r="J599" s="1127"/>
      <c r="K599" s="1127"/>
      <c r="L599" s="1127"/>
      <c r="M599" s="1127"/>
      <c r="N599" s="1127"/>
      <c r="O599" s="1127"/>
      <c r="P599" s="1127"/>
      <c r="Q599" s="1126"/>
      <c r="R599" s="1126"/>
      <c r="S599" s="1126"/>
      <c r="T599" s="1129"/>
      <c r="U599" s="1130"/>
      <c r="V599" s="1127"/>
      <c r="W599" s="1127"/>
      <c r="X599" s="1127"/>
      <c r="Y599" s="1112"/>
      <c r="Z599" s="1112"/>
      <c r="AA599" s="1109"/>
      <c r="AB599" s="1109"/>
      <c r="AC599" s="1127"/>
      <c r="AD599" s="1127"/>
      <c r="AE599" s="190">
        <f t="shared" si="237"/>
        <v>0</v>
      </c>
      <c r="AF599" s="190">
        <f t="shared" si="238"/>
        <v>0</v>
      </c>
      <c r="AG599" s="190">
        <f t="shared" si="239"/>
        <v>0</v>
      </c>
      <c r="AH599" s="190">
        <f t="shared" si="240"/>
        <v>0</v>
      </c>
      <c r="AI599" s="190">
        <f t="shared" si="241"/>
        <v>0</v>
      </c>
      <c r="AJ599" s="190">
        <f t="shared" si="241"/>
        <v>0</v>
      </c>
      <c r="AK599" s="464">
        <f t="shared" si="242"/>
        <v>0</v>
      </c>
      <c r="AL599" s="464">
        <f t="shared" si="243"/>
        <v>0</v>
      </c>
      <c r="AM599" s="464">
        <f t="shared" si="244"/>
        <v>0</v>
      </c>
      <c r="AN599" s="464">
        <f t="shared" si="245"/>
        <v>0</v>
      </c>
      <c r="AO599" s="464">
        <f t="shared" si="246"/>
        <v>0</v>
      </c>
      <c r="AP599" s="464">
        <f t="shared" si="247"/>
        <v>0</v>
      </c>
      <c r="AQ599" s="464">
        <f t="shared" si="247"/>
        <v>0</v>
      </c>
      <c r="AR599" s="190"/>
      <c r="AS599" s="464">
        <f t="shared" si="248"/>
        <v>0</v>
      </c>
    </row>
    <row r="600" spans="1:45" s="191" customFormat="1" ht="24.95" customHeight="1">
      <c r="A600" s="1129"/>
      <c r="B600" s="1129"/>
      <c r="C600" s="1128" t="s">
        <v>813</v>
      </c>
      <c r="D600" s="1129" t="s">
        <v>814</v>
      </c>
      <c r="E600" s="1129" t="s">
        <v>815</v>
      </c>
      <c r="F600" s="1129">
        <v>8</v>
      </c>
      <c r="G600" s="1127">
        <v>4745</v>
      </c>
      <c r="H600" s="1127"/>
      <c r="I600" s="1127"/>
      <c r="J600" s="1127"/>
      <c r="K600" s="1127"/>
      <c r="L600" s="1127"/>
      <c r="M600" s="1127"/>
      <c r="N600" s="1127">
        <f>G600+H601</f>
        <v>4745</v>
      </c>
      <c r="O600" s="1127">
        <v>1</v>
      </c>
      <c r="P600" s="1127"/>
      <c r="Q600" s="1126"/>
      <c r="R600" s="1126"/>
      <c r="S600" s="1126"/>
      <c r="T600" s="1129"/>
      <c r="U600" s="1130"/>
      <c r="V600" s="1127"/>
      <c r="W600" s="1127">
        <f>AD600</f>
        <v>1755</v>
      </c>
      <c r="X600" s="1127">
        <f>(N600+V600+Q601+S600)*O600+W600</f>
        <v>6500</v>
      </c>
      <c r="Y600" s="1112"/>
      <c r="Z600" s="1112">
        <f>X600+Y600</f>
        <v>6500</v>
      </c>
      <c r="AA600" s="1109">
        <f>Z600</f>
        <v>6500</v>
      </c>
      <c r="AB600" s="1109">
        <f>AA600-X600</f>
        <v>0</v>
      </c>
      <c r="AC600" s="1127">
        <f>6500*O600</f>
        <v>6500</v>
      </c>
      <c r="AD600" s="1127">
        <f>AC600-(N600*O600)</f>
        <v>1755</v>
      </c>
      <c r="AE600" s="190">
        <f t="shared" si="228"/>
        <v>4745</v>
      </c>
      <c r="AF600" s="190">
        <f t="shared" si="229"/>
        <v>0</v>
      </c>
      <c r="AG600" s="190">
        <f t="shared" si="230"/>
        <v>4745</v>
      </c>
      <c r="AH600" s="190">
        <f t="shared" si="231"/>
        <v>0</v>
      </c>
      <c r="AI600" s="190">
        <f t="shared" si="236"/>
        <v>0</v>
      </c>
      <c r="AJ600" s="190">
        <f t="shared" si="236"/>
        <v>0</v>
      </c>
      <c r="AK600" s="464">
        <f t="shared" si="232"/>
        <v>0</v>
      </c>
      <c r="AL600" s="464">
        <f t="shared" si="233"/>
        <v>0</v>
      </c>
      <c r="AM600" s="464">
        <f t="shared" si="234"/>
        <v>1755</v>
      </c>
      <c r="AN600" s="464">
        <f t="shared" si="222"/>
        <v>0</v>
      </c>
      <c r="AO600" s="464">
        <f t="shared" si="223"/>
        <v>0</v>
      </c>
      <c r="AP600" s="464">
        <f t="shared" si="235"/>
        <v>4745</v>
      </c>
      <c r="AQ600" s="464">
        <f t="shared" si="235"/>
        <v>0</v>
      </c>
      <c r="AR600" s="190"/>
      <c r="AS600" s="464">
        <f t="shared" si="218"/>
        <v>4745</v>
      </c>
    </row>
    <row r="601" spans="1:45" s="191" customFormat="1" ht="24.95" customHeight="1">
      <c r="A601" s="1129"/>
      <c r="B601" s="1129"/>
      <c r="C601" s="1128"/>
      <c r="D601" s="1129"/>
      <c r="E601" s="1129"/>
      <c r="F601" s="1129"/>
      <c r="G601" s="1127"/>
      <c r="H601" s="1127"/>
      <c r="I601" s="1127"/>
      <c r="J601" s="1127"/>
      <c r="K601" s="1127"/>
      <c r="L601" s="1127"/>
      <c r="M601" s="1127"/>
      <c r="N601" s="1127"/>
      <c r="O601" s="1127"/>
      <c r="P601" s="1127"/>
      <c r="Q601" s="1126"/>
      <c r="R601" s="1126"/>
      <c r="S601" s="1126"/>
      <c r="T601" s="1129"/>
      <c r="U601" s="1130"/>
      <c r="V601" s="1127"/>
      <c r="W601" s="1127"/>
      <c r="X601" s="1127"/>
      <c r="Y601" s="1112"/>
      <c r="Z601" s="1112"/>
      <c r="AA601" s="1109"/>
      <c r="AB601" s="1109"/>
      <c r="AC601" s="1127"/>
      <c r="AD601" s="1127"/>
      <c r="AE601" s="190">
        <f t="shared" si="228"/>
        <v>0</v>
      </c>
      <c r="AF601" s="190">
        <f t="shared" si="229"/>
        <v>0</v>
      </c>
      <c r="AG601" s="190">
        <f t="shared" si="230"/>
        <v>0</v>
      </c>
      <c r="AH601" s="190">
        <f t="shared" si="231"/>
        <v>0</v>
      </c>
      <c r="AI601" s="190">
        <f t="shared" si="236"/>
        <v>0</v>
      </c>
      <c r="AJ601" s="190">
        <f t="shared" si="236"/>
        <v>0</v>
      </c>
      <c r="AK601" s="464">
        <f t="shared" si="232"/>
        <v>0</v>
      </c>
      <c r="AL601" s="464">
        <f t="shared" si="233"/>
        <v>0</v>
      </c>
      <c r="AM601" s="464">
        <f t="shared" si="234"/>
        <v>0</v>
      </c>
      <c r="AN601" s="464">
        <f t="shared" si="222"/>
        <v>0</v>
      </c>
      <c r="AO601" s="464">
        <f t="shared" si="223"/>
        <v>0</v>
      </c>
      <c r="AP601" s="464">
        <f t="shared" si="235"/>
        <v>0</v>
      </c>
      <c r="AQ601" s="464">
        <f t="shared" si="235"/>
        <v>0</v>
      </c>
      <c r="AR601" s="190"/>
      <c r="AS601" s="464">
        <f t="shared" si="218"/>
        <v>0</v>
      </c>
    </row>
    <row r="602" spans="1:45" s="446" customFormat="1" ht="24.95" customHeight="1">
      <c r="A602" s="1134"/>
      <c r="B602" s="441"/>
      <c r="C602" s="442" t="s">
        <v>318</v>
      </c>
      <c r="D602" s="443"/>
      <c r="E602" s="441"/>
      <c r="F602" s="441"/>
      <c r="G602" s="445">
        <f>SUM(G560:G601)</f>
        <v>109968.49249999999</v>
      </c>
      <c r="H602" s="441"/>
      <c r="I602" s="441"/>
      <c r="J602" s="441"/>
      <c r="K602" s="441"/>
      <c r="L602" s="441"/>
      <c r="M602" s="441"/>
      <c r="N602" s="445">
        <f>SUM(N560:N601)</f>
        <v>113111.06637499999</v>
      </c>
      <c r="O602" s="444">
        <f>SUM(O560:O601)</f>
        <v>17.5</v>
      </c>
      <c r="P602" s="444">
        <f>SUM(P560:P601)</f>
        <v>0.5</v>
      </c>
      <c r="Q602" s="444"/>
      <c r="R602" s="444"/>
      <c r="S602" s="444"/>
      <c r="T602" s="444"/>
      <c r="U602" s="444"/>
      <c r="V602" s="444"/>
      <c r="W602" s="445">
        <f t="shared" ref="W602:AD602" si="249">SUM(W560:W601)</f>
        <v>30994</v>
      </c>
      <c r="X602" s="445">
        <f t="shared" si="249"/>
        <v>128093.06637499999</v>
      </c>
      <c r="Y602" s="445">
        <f t="shared" si="249"/>
        <v>0</v>
      </c>
      <c r="Z602" s="445">
        <f t="shared" si="249"/>
        <v>128093.06637499999</v>
      </c>
      <c r="AA602" s="502">
        <f t="shared" si="249"/>
        <v>128093.06637499999</v>
      </c>
      <c r="AB602" s="502">
        <f t="shared" si="249"/>
        <v>0</v>
      </c>
      <c r="AC602" s="445">
        <f t="shared" si="249"/>
        <v>117000</v>
      </c>
      <c r="AD602" s="445">
        <f t="shared" si="249"/>
        <v>30994</v>
      </c>
      <c r="AE602" s="436"/>
      <c r="AF602" s="436"/>
      <c r="AG602" s="436"/>
      <c r="AH602" s="436"/>
      <c r="AI602" s="436"/>
      <c r="AJ602" s="436"/>
      <c r="AK602" s="437"/>
      <c r="AL602" s="437"/>
      <c r="AM602" s="437"/>
      <c r="AN602" s="437"/>
      <c r="AO602" s="437"/>
      <c r="AP602" s="437">
        <f t="shared" si="235"/>
        <v>0</v>
      </c>
      <c r="AQ602" s="437">
        <f t="shared" si="235"/>
        <v>0</v>
      </c>
      <c r="AR602" s="436"/>
      <c r="AS602" s="437">
        <f t="shared" ref="AS602:AS641" si="250">AP602+AQ602-AR602</f>
        <v>0</v>
      </c>
    </row>
    <row r="603" spans="1:45" s="456" customFormat="1" ht="24.95" customHeight="1">
      <c r="A603" s="1134"/>
      <c r="B603" s="455"/>
      <c r="C603" s="1135" t="s">
        <v>816</v>
      </c>
      <c r="D603" s="1135"/>
      <c r="E603" s="455"/>
      <c r="F603" s="455"/>
      <c r="G603" s="455"/>
      <c r="H603" s="455"/>
      <c r="I603" s="455"/>
      <c r="J603" s="455"/>
      <c r="K603" s="455"/>
      <c r="L603" s="455"/>
      <c r="M603" s="455"/>
      <c r="N603" s="455"/>
      <c r="O603" s="455"/>
      <c r="P603" s="455"/>
      <c r="Q603" s="455"/>
      <c r="R603" s="455"/>
      <c r="S603" s="455"/>
      <c r="T603" s="455"/>
      <c r="U603" s="455"/>
      <c r="V603" s="455"/>
      <c r="W603" s="455"/>
      <c r="X603" s="455"/>
      <c r="Y603" s="455"/>
      <c r="Z603" s="455"/>
      <c r="AA603" s="504"/>
      <c r="AB603" s="504"/>
      <c r="AC603" s="455"/>
      <c r="AD603" s="455"/>
      <c r="AE603" s="436"/>
      <c r="AF603" s="436"/>
      <c r="AG603" s="436"/>
      <c r="AH603" s="436"/>
      <c r="AI603" s="436"/>
      <c r="AJ603" s="436"/>
      <c r="AK603" s="437"/>
      <c r="AL603" s="437"/>
      <c r="AM603" s="437"/>
      <c r="AN603" s="437"/>
      <c r="AO603" s="437"/>
      <c r="AP603" s="437">
        <f t="shared" si="235"/>
        <v>0</v>
      </c>
      <c r="AQ603" s="437">
        <f t="shared" si="235"/>
        <v>0</v>
      </c>
      <c r="AR603" s="436"/>
      <c r="AS603" s="437">
        <f t="shared" si="250"/>
        <v>0</v>
      </c>
    </row>
    <row r="604" spans="1:45" s="191" customFormat="1" ht="24.95" customHeight="1">
      <c r="A604" s="1129"/>
      <c r="B604" s="1129"/>
      <c r="C604" s="1128" t="s">
        <v>817</v>
      </c>
      <c r="D604" s="1129" t="s">
        <v>818</v>
      </c>
      <c r="E604" s="1129" t="s">
        <v>819</v>
      </c>
      <c r="F604" s="1129">
        <v>3</v>
      </c>
      <c r="G604" s="1127">
        <v>3414</v>
      </c>
      <c r="H604" s="302">
        <v>0.2</v>
      </c>
      <c r="I604" s="1127"/>
      <c r="J604" s="1127"/>
      <c r="K604" s="1127"/>
      <c r="L604" s="1127"/>
      <c r="M604" s="1127"/>
      <c r="N604" s="1127">
        <f>G604+H605</f>
        <v>4096.8</v>
      </c>
      <c r="O604" s="1127">
        <v>1</v>
      </c>
      <c r="P604" s="1126"/>
      <c r="Q604" s="1126"/>
      <c r="R604" s="1126"/>
      <c r="S604" s="1126"/>
      <c r="T604" s="1129"/>
      <c r="U604" s="1130"/>
      <c r="V604" s="1127"/>
      <c r="W604" s="1127">
        <f>AD604</f>
        <v>2403.1999999999998</v>
      </c>
      <c r="X604" s="1127">
        <f>(N604+V604+Q605+S604)*O604+W604</f>
        <v>6500</v>
      </c>
      <c r="Y604" s="1112"/>
      <c r="Z604" s="1112">
        <f>X604+Y604</f>
        <v>6500</v>
      </c>
      <c r="AA604" s="1109">
        <f t="shared" ref="AA604:AA660" si="251">Z604</f>
        <v>6500</v>
      </c>
      <c r="AB604" s="1109">
        <f>AA604-X604</f>
        <v>0</v>
      </c>
      <c r="AC604" s="1127">
        <f>6500*O604</f>
        <v>6500</v>
      </c>
      <c r="AD604" s="1127">
        <f>AC604-(N604*O604)</f>
        <v>2403.1999999999998</v>
      </c>
      <c r="AE604" s="190">
        <f t="shared" ref="AE604:AE641" si="252">G604*O604</f>
        <v>3414</v>
      </c>
      <c r="AF604" s="190">
        <f t="shared" ref="AF604:AF641" si="253">G604*P604</f>
        <v>0</v>
      </c>
      <c r="AG604" s="190">
        <f t="shared" ref="AG604:AG641" si="254">N604*O604</f>
        <v>4096.8</v>
      </c>
      <c r="AH604" s="190">
        <f t="shared" ref="AH604:AH641" si="255">N604*P604</f>
        <v>0</v>
      </c>
      <c r="AI604" s="190">
        <f t="shared" ref="AI604:AJ631" si="256">AG604-AE604</f>
        <v>682.80000000000018</v>
      </c>
      <c r="AJ604" s="190">
        <f t="shared" si="256"/>
        <v>0</v>
      </c>
      <c r="AK604" s="464">
        <f t="shared" ref="AK604:AK641" si="257">V604*O604</f>
        <v>0</v>
      </c>
      <c r="AL604" s="464">
        <f t="shared" ref="AL604:AL641" si="258">V604*P604</f>
        <v>0</v>
      </c>
      <c r="AM604" s="464">
        <f t="shared" ref="AM604:AM641" si="259">W604</f>
        <v>2403.1999999999998</v>
      </c>
      <c r="AN604" s="464">
        <f t="shared" ref="AN604:AN661" si="260">S604*O604</f>
        <v>0</v>
      </c>
      <c r="AO604" s="464">
        <f t="shared" ref="AO604:AO661" si="261">S604*P604</f>
        <v>0</v>
      </c>
      <c r="AP604" s="464">
        <f t="shared" si="235"/>
        <v>4096.8</v>
      </c>
      <c r="AQ604" s="464">
        <f t="shared" si="235"/>
        <v>0</v>
      </c>
      <c r="AR604" s="190"/>
      <c r="AS604" s="464">
        <f t="shared" si="250"/>
        <v>4096.8</v>
      </c>
    </row>
    <row r="605" spans="1:45" s="191" customFormat="1" ht="24.95" customHeight="1">
      <c r="A605" s="1129"/>
      <c r="B605" s="1129"/>
      <c r="C605" s="1128"/>
      <c r="D605" s="1129"/>
      <c r="E605" s="1129"/>
      <c r="F605" s="1129"/>
      <c r="G605" s="1133"/>
      <c r="H605" s="300">
        <f>G604*H604</f>
        <v>682.80000000000007</v>
      </c>
      <c r="I605" s="1127"/>
      <c r="J605" s="1127"/>
      <c r="K605" s="1127"/>
      <c r="L605" s="1127"/>
      <c r="M605" s="1127"/>
      <c r="N605" s="1127"/>
      <c r="O605" s="1127"/>
      <c r="P605" s="1126"/>
      <c r="Q605" s="1126"/>
      <c r="R605" s="1126"/>
      <c r="S605" s="1126"/>
      <c r="T605" s="1129"/>
      <c r="U605" s="1130"/>
      <c r="V605" s="1127"/>
      <c r="W605" s="1127"/>
      <c r="X605" s="1127"/>
      <c r="Y605" s="1112"/>
      <c r="Z605" s="1112"/>
      <c r="AA605" s="1109"/>
      <c r="AB605" s="1109"/>
      <c r="AC605" s="1127"/>
      <c r="AD605" s="1127"/>
      <c r="AE605" s="190">
        <f t="shared" si="252"/>
        <v>0</v>
      </c>
      <c r="AF605" s="190">
        <f t="shared" si="253"/>
        <v>0</v>
      </c>
      <c r="AG605" s="190">
        <f t="shared" si="254"/>
        <v>0</v>
      </c>
      <c r="AH605" s="190">
        <f t="shared" si="255"/>
        <v>0</v>
      </c>
      <c r="AI605" s="190">
        <f t="shared" si="256"/>
        <v>0</v>
      </c>
      <c r="AJ605" s="190">
        <f t="shared" si="256"/>
        <v>0</v>
      </c>
      <c r="AK605" s="464">
        <f t="shared" si="257"/>
        <v>0</v>
      </c>
      <c r="AL605" s="464">
        <f t="shared" si="258"/>
        <v>0</v>
      </c>
      <c r="AM605" s="464">
        <f t="shared" si="259"/>
        <v>0</v>
      </c>
      <c r="AN605" s="464">
        <f t="shared" si="260"/>
        <v>0</v>
      </c>
      <c r="AO605" s="464">
        <f t="shared" si="261"/>
        <v>0</v>
      </c>
      <c r="AP605" s="464">
        <f t="shared" si="235"/>
        <v>0</v>
      </c>
      <c r="AQ605" s="464">
        <f t="shared" si="235"/>
        <v>0</v>
      </c>
      <c r="AR605" s="190"/>
      <c r="AS605" s="464">
        <f t="shared" si="250"/>
        <v>0</v>
      </c>
    </row>
    <row r="606" spans="1:45" s="191" customFormat="1" ht="24.95" customHeight="1">
      <c r="A606" s="1129"/>
      <c r="B606" s="1129"/>
      <c r="C606" s="1128" t="s">
        <v>817</v>
      </c>
      <c r="D606" s="1129" t="s">
        <v>818</v>
      </c>
      <c r="E606" s="1129" t="s">
        <v>819</v>
      </c>
      <c r="F606" s="1129">
        <v>3</v>
      </c>
      <c r="G606" s="1127">
        <v>3414</v>
      </c>
      <c r="H606" s="302">
        <v>0.2</v>
      </c>
      <c r="I606" s="1127"/>
      <c r="J606" s="1127"/>
      <c r="K606" s="1127"/>
      <c r="L606" s="1127"/>
      <c r="M606" s="1127"/>
      <c r="N606" s="1127">
        <f>G606+H607</f>
        <v>4096.8</v>
      </c>
      <c r="O606" s="1127"/>
      <c r="P606" s="1127">
        <v>0.5</v>
      </c>
      <c r="Q606" s="1126"/>
      <c r="R606" s="1126"/>
      <c r="S606" s="1126"/>
      <c r="T606" s="1129"/>
      <c r="U606" s="1130"/>
      <c r="V606" s="1127"/>
      <c r="W606" s="1127">
        <f>AD606</f>
        <v>1201.5999999999999</v>
      </c>
      <c r="X606" s="1127">
        <f>(N606+V606+Q607+S606)*P606+W606</f>
        <v>3250</v>
      </c>
      <c r="Y606" s="1112"/>
      <c r="Z606" s="1112">
        <f>X606+Y606</f>
        <v>3250</v>
      </c>
      <c r="AA606" s="1109">
        <f t="shared" si="251"/>
        <v>3250</v>
      </c>
      <c r="AB606" s="1109">
        <f>AA606-X606</f>
        <v>0</v>
      </c>
      <c r="AC606" s="1127">
        <f>6500*P606</f>
        <v>3250</v>
      </c>
      <c r="AD606" s="1127">
        <f>AC606-(N606*P606)</f>
        <v>1201.5999999999999</v>
      </c>
      <c r="AE606" s="190">
        <f t="shared" si="252"/>
        <v>0</v>
      </c>
      <c r="AF606" s="190">
        <f t="shared" si="253"/>
        <v>1707</v>
      </c>
      <c r="AG606" s="190">
        <f t="shared" si="254"/>
        <v>0</v>
      </c>
      <c r="AH606" s="190">
        <f t="shared" si="255"/>
        <v>2048.4</v>
      </c>
      <c r="AI606" s="190">
        <f t="shared" si="256"/>
        <v>0</v>
      </c>
      <c r="AJ606" s="190">
        <f t="shared" si="256"/>
        <v>341.40000000000009</v>
      </c>
      <c r="AK606" s="464">
        <f t="shared" si="257"/>
        <v>0</v>
      </c>
      <c r="AL606" s="464">
        <f t="shared" si="258"/>
        <v>0</v>
      </c>
      <c r="AM606" s="464">
        <f t="shared" si="259"/>
        <v>1201.5999999999999</v>
      </c>
      <c r="AN606" s="464">
        <f t="shared" si="260"/>
        <v>0</v>
      </c>
      <c r="AO606" s="464">
        <f t="shared" si="261"/>
        <v>0</v>
      </c>
      <c r="AP606" s="464">
        <f t="shared" si="235"/>
        <v>0</v>
      </c>
      <c r="AQ606" s="464">
        <f t="shared" si="235"/>
        <v>2048.4</v>
      </c>
      <c r="AR606" s="190"/>
      <c r="AS606" s="464">
        <f t="shared" si="250"/>
        <v>2048.4</v>
      </c>
    </row>
    <row r="607" spans="1:45" s="191" customFormat="1" ht="24.95" customHeight="1">
      <c r="A607" s="1129"/>
      <c r="B607" s="1129"/>
      <c r="C607" s="1128"/>
      <c r="D607" s="1129"/>
      <c r="E607" s="1129"/>
      <c r="F607" s="1129"/>
      <c r="G607" s="1133"/>
      <c r="H607" s="300">
        <f>G606*H606</f>
        <v>682.80000000000007</v>
      </c>
      <c r="I607" s="1127"/>
      <c r="J607" s="1127"/>
      <c r="K607" s="1127"/>
      <c r="L607" s="1127"/>
      <c r="M607" s="1127"/>
      <c r="N607" s="1127"/>
      <c r="O607" s="1127"/>
      <c r="P607" s="1126"/>
      <c r="Q607" s="1126"/>
      <c r="R607" s="1126"/>
      <c r="S607" s="1126"/>
      <c r="T607" s="1129"/>
      <c r="U607" s="1130"/>
      <c r="V607" s="1127"/>
      <c r="W607" s="1127"/>
      <c r="X607" s="1127"/>
      <c r="Y607" s="1112"/>
      <c r="Z607" s="1112"/>
      <c r="AA607" s="1109"/>
      <c r="AB607" s="1109"/>
      <c r="AC607" s="1127"/>
      <c r="AD607" s="1127"/>
      <c r="AE607" s="190">
        <f t="shared" si="252"/>
        <v>0</v>
      </c>
      <c r="AF607" s="190">
        <f t="shared" si="253"/>
        <v>0</v>
      </c>
      <c r="AG607" s="190">
        <f t="shared" si="254"/>
        <v>0</v>
      </c>
      <c r="AH607" s="190">
        <f t="shared" si="255"/>
        <v>0</v>
      </c>
      <c r="AI607" s="190">
        <f t="shared" si="256"/>
        <v>0</v>
      </c>
      <c r="AJ607" s="190">
        <f t="shared" si="256"/>
        <v>0</v>
      </c>
      <c r="AK607" s="464">
        <f t="shared" si="257"/>
        <v>0</v>
      </c>
      <c r="AL607" s="464">
        <f t="shared" si="258"/>
        <v>0</v>
      </c>
      <c r="AM607" s="464">
        <f t="shared" si="259"/>
        <v>0</v>
      </c>
      <c r="AN607" s="464">
        <f t="shared" si="260"/>
        <v>0</v>
      </c>
      <c r="AO607" s="464">
        <f t="shared" si="261"/>
        <v>0</v>
      </c>
      <c r="AP607" s="464">
        <f t="shared" si="235"/>
        <v>0</v>
      </c>
      <c r="AQ607" s="464">
        <f t="shared" si="235"/>
        <v>0</v>
      </c>
      <c r="AR607" s="190"/>
      <c r="AS607" s="464">
        <f t="shared" si="250"/>
        <v>0</v>
      </c>
    </row>
    <row r="608" spans="1:45" s="191" customFormat="1" ht="24.95" customHeight="1">
      <c r="A608" s="1129"/>
      <c r="B608" s="1129"/>
      <c r="C608" s="1128" t="s">
        <v>817</v>
      </c>
      <c r="D608" s="1129" t="s">
        <v>818</v>
      </c>
      <c r="E608" s="1129" t="s">
        <v>820</v>
      </c>
      <c r="F608" s="1129">
        <v>4</v>
      </c>
      <c r="G608" s="1127">
        <v>3674</v>
      </c>
      <c r="H608" s="302">
        <v>0.2</v>
      </c>
      <c r="I608" s="1127"/>
      <c r="J608" s="1127"/>
      <c r="K608" s="1127"/>
      <c r="L608" s="1127"/>
      <c r="M608" s="1127"/>
      <c r="N608" s="1127">
        <f>G608+H609</f>
        <v>4408.8</v>
      </c>
      <c r="O608" s="1127">
        <v>1</v>
      </c>
      <c r="P608" s="1127"/>
      <c r="Q608" s="1126"/>
      <c r="R608" s="1126"/>
      <c r="S608" s="1126"/>
      <c r="T608" s="1129"/>
      <c r="U608" s="1130"/>
      <c r="V608" s="1127"/>
      <c r="W608" s="1127">
        <f>AD608</f>
        <v>2091.1999999999998</v>
      </c>
      <c r="X608" s="1127">
        <f>(N608+V608+Q609+S608)*O608+W608</f>
        <v>6500</v>
      </c>
      <c r="Y608" s="1112"/>
      <c r="Z608" s="1112">
        <f>X608+Y608</f>
        <v>6500</v>
      </c>
      <c r="AA608" s="1109">
        <f t="shared" si="251"/>
        <v>6500</v>
      </c>
      <c r="AB608" s="1109">
        <f>AA608-X608</f>
        <v>0</v>
      </c>
      <c r="AC608" s="1127">
        <f>6500*O608</f>
        <v>6500</v>
      </c>
      <c r="AD608" s="1127">
        <f>AC608-(N608*O608)</f>
        <v>2091.1999999999998</v>
      </c>
      <c r="AE608" s="190">
        <f t="shared" si="252"/>
        <v>3674</v>
      </c>
      <c r="AF608" s="190">
        <f t="shared" si="253"/>
        <v>0</v>
      </c>
      <c r="AG608" s="190">
        <f t="shared" si="254"/>
        <v>4408.8</v>
      </c>
      <c r="AH608" s="190">
        <f t="shared" si="255"/>
        <v>0</v>
      </c>
      <c r="AI608" s="190">
        <f t="shared" si="256"/>
        <v>734.80000000000018</v>
      </c>
      <c r="AJ608" s="190">
        <f t="shared" si="256"/>
        <v>0</v>
      </c>
      <c r="AK608" s="464">
        <f t="shared" si="257"/>
        <v>0</v>
      </c>
      <c r="AL608" s="464">
        <f t="shared" si="258"/>
        <v>0</v>
      </c>
      <c r="AM608" s="464">
        <f t="shared" si="259"/>
        <v>2091.1999999999998</v>
      </c>
      <c r="AN608" s="464">
        <f t="shared" si="260"/>
        <v>0</v>
      </c>
      <c r="AO608" s="464">
        <f t="shared" si="261"/>
        <v>0</v>
      </c>
      <c r="AP608" s="464">
        <f t="shared" ref="AP608:AQ631" si="262">AG608</f>
        <v>4408.8</v>
      </c>
      <c r="AQ608" s="464">
        <f t="shared" si="262"/>
        <v>0</v>
      </c>
      <c r="AR608" s="190"/>
      <c r="AS608" s="464">
        <f t="shared" si="250"/>
        <v>4408.8</v>
      </c>
    </row>
    <row r="609" spans="1:45" s="191" customFormat="1" ht="24.95" customHeight="1">
      <c r="A609" s="1129"/>
      <c r="B609" s="1129"/>
      <c r="C609" s="1128"/>
      <c r="D609" s="1129"/>
      <c r="E609" s="1129"/>
      <c r="F609" s="1129"/>
      <c r="G609" s="1133"/>
      <c r="H609" s="300">
        <f>G608*H608</f>
        <v>734.80000000000007</v>
      </c>
      <c r="I609" s="1127"/>
      <c r="J609" s="1127"/>
      <c r="K609" s="1127"/>
      <c r="L609" s="1127"/>
      <c r="M609" s="1127"/>
      <c r="N609" s="1127"/>
      <c r="O609" s="1127"/>
      <c r="P609" s="1126"/>
      <c r="Q609" s="1126"/>
      <c r="R609" s="1126"/>
      <c r="S609" s="1126"/>
      <c r="T609" s="1129"/>
      <c r="U609" s="1130"/>
      <c r="V609" s="1127"/>
      <c r="W609" s="1127"/>
      <c r="X609" s="1127"/>
      <c r="Y609" s="1112"/>
      <c r="Z609" s="1112"/>
      <c r="AA609" s="1109"/>
      <c r="AB609" s="1109"/>
      <c r="AC609" s="1127"/>
      <c r="AD609" s="1127"/>
      <c r="AE609" s="190">
        <f t="shared" si="252"/>
        <v>0</v>
      </c>
      <c r="AF609" s="190">
        <f t="shared" si="253"/>
        <v>0</v>
      </c>
      <c r="AG609" s="190">
        <f t="shared" si="254"/>
        <v>0</v>
      </c>
      <c r="AH609" s="190">
        <f t="shared" si="255"/>
        <v>0</v>
      </c>
      <c r="AI609" s="190">
        <f t="shared" si="256"/>
        <v>0</v>
      </c>
      <c r="AJ609" s="190">
        <f t="shared" si="256"/>
        <v>0</v>
      </c>
      <c r="AK609" s="464">
        <f t="shared" si="257"/>
        <v>0</v>
      </c>
      <c r="AL609" s="464">
        <f t="shared" si="258"/>
        <v>0</v>
      </c>
      <c r="AM609" s="464">
        <f t="shared" si="259"/>
        <v>0</v>
      </c>
      <c r="AN609" s="464">
        <f t="shared" si="260"/>
        <v>0</v>
      </c>
      <c r="AO609" s="464">
        <f t="shared" si="261"/>
        <v>0</v>
      </c>
      <c r="AP609" s="464">
        <f t="shared" si="262"/>
        <v>0</v>
      </c>
      <c r="AQ609" s="464">
        <f t="shared" si="262"/>
        <v>0</v>
      </c>
      <c r="AR609" s="190"/>
      <c r="AS609" s="464">
        <f t="shared" si="250"/>
        <v>0</v>
      </c>
    </row>
    <row r="610" spans="1:45" s="191" customFormat="1" ht="24.95" customHeight="1">
      <c r="A610" s="1129"/>
      <c r="B610" s="1129"/>
      <c r="C610" s="1128" t="s">
        <v>817</v>
      </c>
      <c r="D610" s="1129" t="s">
        <v>818</v>
      </c>
      <c r="E610" s="1129" t="s">
        <v>820</v>
      </c>
      <c r="F610" s="1129">
        <v>4</v>
      </c>
      <c r="G610" s="1127">
        <v>3674</v>
      </c>
      <c r="H610" s="302">
        <v>0.2</v>
      </c>
      <c r="I610" s="1127"/>
      <c r="J610" s="1127"/>
      <c r="K610" s="1127"/>
      <c r="L610" s="1127"/>
      <c r="M610" s="1127"/>
      <c r="N610" s="1127">
        <f>G610+H611</f>
        <v>4408.8</v>
      </c>
      <c r="O610" s="1127"/>
      <c r="P610" s="1127">
        <v>0.5</v>
      </c>
      <c r="Q610" s="1126"/>
      <c r="R610" s="1126"/>
      <c r="S610" s="1126"/>
      <c r="T610" s="1129"/>
      <c r="U610" s="1130"/>
      <c r="V610" s="1127"/>
      <c r="W610" s="1127">
        <f>AD610</f>
        <v>1045.5999999999999</v>
      </c>
      <c r="X610" s="1127">
        <f>(N610+V610+Q611+S610)*P610+W610</f>
        <v>3250</v>
      </c>
      <c r="Y610" s="1112"/>
      <c r="Z610" s="1112">
        <f>X610+Y610</f>
        <v>3250</v>
      </c>
      <c r="AA610" s="1109">
        <f t="shared" si="251"/>
        <v>3250</v>
      </c>
      <c r="AB610" s="1109">
        <f>AA610-X610</f>
        <v>0</v>
      </c>
      <c r="AC610" s="1127">
        <f>6500*P610</f>
        <v>3250</v>
      </c>
      <c r="AD610" s="1127">
        <f>AC610-(N610*P610)</f>
        <v>1045.5999999999999</v>
      </c>
      <c r="AE610" s="190">
        <f t="shared" si="252"/>
        <v>0</v>
      </c>
      <c r="AF610" s="190">
        <f t="shared" si="253"/>
        <v>1837</v>
      </c>
      <c r="AG610" s="190">
        <f t="shared" si="254"/>
        <v>0</v>
      </c>
      <c r="AH610" s="190">
        <f t="shared" si="255"/>
        <v>2204.4</v>
      </c>
      <c r="AI610" s="190">
        <f t="shared" si="256"/>
        <v>0</v>
      </c>
      <c r="AJ610" s="190">
        <f t="shared" si="256"/>
        <v>367.40000000000009</v>
      </c>
      <c r="AK610" s="464">
        <f t="shared" si="257"/>
        <v>0</v>
      </c>
      <c r="AL610" s="464">
        <f t="shared" si="258"/>
        <v>0</v>
      </c>
      <c r="AM610" s="464">
        <f t="shared" si="259"/>
        <v>1045.5999999999999</v>
      </c>
      <c r="AN610" s="464">
        <f t="shared" si="260"/>
        <v>0</v>
      </c>
      <c r="AO610" s="464">
        <f t="shared" si="261"/>
        <v>0</v>
      </c>
      <c r="AP610" s="464">
        <f t="shared" si="262"/>
        <v>0</v>
      </c>
      <c r="AQ610" s="464">
        <f t="shared" si="262"/>
        <v>2204.4</v>
      </c>
      <c r="AR610" s="190"/>
      <c r="AS610" s="464">
        <f t="shared" si="250"/>
        <v>2204.4</v>
      </c>
    </row>
    <row r="611" spans="1:45" s="191" customFormat="1" ht="24.95" customHeight="1">
      <c r="A611" s="1129"/>
      <c r="B611" s="1129"/>
      <c r="C611" s="1128"/>
      <c r="D611" s="1129"/>
      <c r="E611" s="1129"/>
      <c r="F611" s="1129"/>
      <c r="G611" s="1133"/>
      <c r="H611" s="300">
        <f>G610*H610</f>
        <v>734.80000000000007</v>
      </c>
      <c r="I611" s="1127"/>
      <c r="J611" s="1127"/>
      <c r="K611" s="1127"/>
      <c r="L611" s="1127"/>
      <c r="M611" s="1127"/>
      <c r="N611" s="1127"/>
      <c r="O611" s="1127"/>
      <c r="P611" s="1126"/>
      <c r="Q611" s="1126"/>
      <c r="R611" s="1126"/>
      <c r="S611" s="1126"/>
      <c r="T611" s="1129"/>
      <c r="U611" s="1130"/>
      <c r="V611" s="1127"/>
      <c r="W611" s="1127"/>
      <c r="X611" s="1127"/>
      <c r="Y611" s="1112"/>
      <c r="Z611" s="1112"/>
      <c r="AA611" s="1109"/>
      <c r="AB611" s="1109"/>
      <c r="AC611" s="1127"/>
      <c r="AD611" s="1127"/>
      <c r="AE611" s="190">
        <f t="shared" si="252"/>
        <v>0</v>
      </c>
      <c r="AF611" s="190">
        <f t="shared" si="253"/>
        <v>0</v>
      </c>
      <c r="AG611" s="190">
        <f t="shared" si="254"/>
        <v>0</v>
      </c>
      <c r="AH611" s="190">
        <f t="shared" si="255"/>
        <v>0</v>
      </c>
      <c r="AI611" s="190">
        <f t="shared" si="256"/>
        <v>0</v>
      </c>
      <c r="AJ611" s="190">
        <f t="shared" si="256"/>
        <v>0</v>
      </c>
      <c r="AK611" s="464">
        <f t="shared" si="257"/>
        <v>0</v>
      </c>
      <c r="AL611" s="464">
        <f t="shared" si="258"/>
        <v>0</v>
      </c>
      <c r="AM611" s="464">
        <f t="shared" si="259"/>
        <v>0</v>
      </c>
      <c r="AN611" s="464">
        <f t="shared" si="260"/>
        <v>0</v>
      </c>
      <c r="AO611" s="464">
        <f t="shared" si="261"/>
        <v>0</v>
      </c>
      <c r="AP611" s="464">
        <f t="shared" si="262"/>
        <v>0</v>
      </c>
      <c r="AQ611" s="464">
        <f t="shared" si="262"/>
        <v>0</v>
      </c>
      <c r="AR611" s="190"/>
      <c r="AS611" s="464">
        <f t="shared" si="250"/>
        <v>0</v>
      </c>
    </row>
    <row r="612" spans="1:45" s="191" customFormat="1" ht="24.95" customHeight="1">
      <c r="A612" s="1129"/>
      <c r="B612" s="1129"/>
      <c r="C612" s="1128" t="s">
        <v>817</v>
      </c>
      <c r="D612" s="1129" t="s">
        <v>821</v>
      </c>
      <c r="E612" s="1129" t="s">
        <v>822</v>
      </c>
      <c r="F612" s="1129">
        <v>3</v>
      </c>
      <c r="G612" s="1127">
        <v>3414</v>
      </c>
      <c r="H612" s="302">
        <v>0.2</v>
      </c>
      <c r="I612" s="1127"/>
      <c r="J612" s="1127"/>
      <c r="K612" s="1127"/>
      <c r="L612" s="1127"/>
      <c r="M612" s="1127"/>
      <c r="N612" s="1127">
        <f>G612+H613</f>
        <v>4096.8</v>
      </c>
      <c r="O612" s="1127">
        <v>1</v>
      </c>
      <c r="P612" s="1126"/>
      <c r="Q612" s="1126"/>
      <c r="R612" s="1130"/>
      <c r="S612" s="1131"/>
      <c r="T612" s="1129"/>
      <c r="U612" s="1130"/>
      <c r="V612" s="1127"/>
      <c r="W612" s="1127">
        <f>AD612</f>
        <v>2403.1999999999998</v>
      </c>
      <c r="X612" s="1127">
        <f>(N612+V612+Q613+S612)*O612+W612</f>
        <v>6500</v>
      </c>
      <c r="Y612" s="1112"/>
      <c r="Z612" s="1112">
        <f>X612+Y612</f>
        <v>6500</v>
      </c>
      <c r="AA612" s="1109">
        <f t="shared" si="251"/>
        <v>6500</v>
      </c>
      <c r="AB612" s="1109">
        <f>AA612-X612</f>
        <v>0</v>
      </c>
      <c r="AC612" s="1127">
        <f>6500*O612</f>
        <v>6500</v>
      </c>
      <c r="AD612" s="1127">
        <f>AC612-(N612*O612)</f>
        <v>2403.1999999999998</v>
      </c>
      <c r="AE612" s="190">
        <f t="shared" si="252"/>
        <v>3414</v>
      </c>
      <c r="AF612" s="190">
        <f t="shared" si="253"/>
        <v>0</v>
      </c>
      <c r="AG612" s="190">
        <f t="shared" si="254"/>
        <v>4096.8</v>
      </c>
      <c r="AH612" s="190">
        <f t="shared" si="255"/>
        <v>0</v>
      </c>
      <c r="AI612" s="190">
        <f t="shared" si="256"/>
        <v>682.80000000000018</v>
      </c>
      <c r="AJ612" s="190">
        <f t="shared" si="256"/>
        <v>0</v>
      </c>
      <c r="AK612" s="464">
        <f t="shared" si="257"/>
        <v>0</v>
      </c>
      <c r="AL612" s="464">
        <f t="shared" si="258"/>
        <v>0</v>
      </c>
      <c r="AM612" s="464">
        <f t="shared" si="259"/>
        <v>2403.1999999999998</v>
      </c>
      <c r="AN612" s="464">
        <f t="shared" si="260"/>
        <v>0</v>
      </c>
      <c r="AO612" s="464">
        <f t="shared" si="261"/>
        <v>0</v>
      </c>
      <c r="AP612" s="464">
        <f t="shared" si="262"/>
        <v>4096.8</v>
      </c>
      <c r="AQ612" s="464">
        <f t="shared" si="262"/>
        <v>0</v>
      </c>
      <c r="AR612" s="190"/>
      <c r="AS612" s="464">
        <f t="shared" si="250"/>
        <v>4096.8</v>
      </c>
    </row>
    <row r="613" spans="1:45" s="191" customFormat="1" ht="24.95" customHeight="1">
      <c r="A613" s="1129"/>
      <c r="B613" s="1129"/>
      <c r="C613" s="1128"/>
      <c r="D613" s="1129"/>
      <c r="E613" s="1129"/>
      <c r="F613" s="1129"/>
      <c r="G613" s="1133"/>
      <c r="H613" s="300">
        <f>G612*H612</f>
        <v>682.80000000000007</v>
      </c>
      <c r="I613" s="1127"/>
      <c r="J613" s="1127"/>
      <c r="K613" s="1127"/>
      <c r="L613" s="1127"/>
      <c r="M613" s="1127"/>
      <c r="N613" s="1127"/>
      <c r="O613" s="1127"/>
      <c r="P613" s="1126"/>
      <c r="Q613" s="1126"/>
      <c r="R613" s="1126"/>
      <c r="S613" s="1131"/>
      <c r="T613" s="1129"/>
      <c r="U613" s="1130"/>
      <c r="V613" s="1127"/>
      <c r="W613" s="1127"/>
      <c r="X613" s="1127"/>
      <c r="Y613" s="1112"/>
      <c r="Z613" s="1112"/>
      <c r="AA613" s="1109"/>
      <c r="AB613" s="1109"/>
      <c r="AC613" s="1127"/>
      <c r="AD613" s="1127"/>
      <c r="AE613" s="190">
        <f t="shared" si="252"/>
        <v>0</v>
      </c>
      <c r="AF613" s="190">
        <f t="shared" si="253"/>
        <v>0</v>
      </c>
      <c r="AG613" s="190">
        <f t="shared" si="254"/>
        <v>0</v>
      </c>
      <c r="AH613" s="190">
        <f t="shared" si="255"/>
        <v>0</v>
      </c>
      <c r="AI613" s="190">
        <f t="shared" si="256"/>
        <v>0</v>
      </c>
      <c r="AJ613" s="190">
        <f t="shared" si="256"/>
        <v>0</v>
      </c>
      <c r="AK613" s="464">
        <f t="shared" si="257"/>
        <v>0</v>
      </c>
      <c r="AL613" s="464">
        <f t="shared" si="258"/>
        <v>0</v>
      </c>
      <c r="AM613" s="464">
        <f t="shared" si="259"/>
        <v>0</v>
      </c>
      <c r="AN613" s="464">
        <f t="shared" si="260"/>
        <v>0</v>
      </c>
      <c r="AO613" s="464">
        <f t="shared" si="261"/>
        <v>0</v>
      </c>
      <c r="AP613" s="464">
        <f t="shared" si="262"/>
        <v>0</v>
      </c>
      <c r="AQ613" s="464">
        <f t="shared" si="262"/>
        <v>0</v>
      </c>
      <c r="AR613" s="190"/>
      <c r="AS613" s="464">
        <f t="shared" si="250"/>
        <v>0</v>
      </c>
    </row>
    <row r="614" spans="1:45" s="191" customFormat="1" ht="24.95" customHeight="1">
      <c r="A614" s="1129"/>
      <c r="B614" s="1129"/>
      <c r="C614" s="1128" t="s">
        <v>817</v>
      </c>
      <c r="D614" s="1129" t="s">
        <v>821</v>
      </c>
      <c r="E614" s="1129" t="s">
        <v>822</v>
      </c>
      <c r="F614" s="1129">
        <v>3</v>
      </c>
      <c r="G614" s="1127">
        <v>3414</v>
      </c>
      <c r="H614" s="302">
        <v>0.2</v>
      </c>
      <c r="I614" s="1127"/>
      <c r="J614" s="1127"/>
      <c r="K614" s="1127"/>
      <c r="L614" s="1127"/>
      <c r="M614" s="1127"/>
      <c r="N614" s="1127">
        <f>G614+H615</f>
        <v>4096.8</v>
      </c>
      <c r="O614" s="1127"/>
      <c r="P614" s="1127">
        <v>0.5</v>
      </c>
      <c r="Q614" s="1126"/>
      <c r="R614" s="1130"/>
      <c r="S614" s="1131"/>
      <c r="T614" s="1129"/>
      <c r="U614" s="1130"/>
      <c r="V614" s="1127"/>
      <c r="W614" s="1127">
        <f>AD614</f>
        <v>1201.5999999999999</v>
      </c>
      <c r="X614" s="1127">
        <f>(N614+V614+Q615+S614)*P614+W614</f>
        <v>3250</v>
      </c>
      <c r="Y614" s="1112"/>
      <c r="Z614" s="1112">
        <f>X614+Y614</f>
        <v>3250</v>
      </c>
      <c r="AA614" s="1109">
        <f t="shared" si="251"/>
        <v>3250</v>
      </c>
      <c r="AB614" s="1109">
        <f>AA614-X614</f>
        <v>0</v>
      </c>
      <c r="AC614" s="1127">
        <f>6500*P614</f>
        <v>3250</v>
      </c>
      <c r="AD614" s="1127">
        <f>AC614-(N614*P614)</f>
        <v>1201.5999999999999</v>
      </c>
      <c r="AE614" s="190">
        <f t="shared" si="252"/>
        <v>0</v>
      </c>
      <c r="AF614" s="190">
        <f t="shared" si="253"/>
        <v>1707</v>
      </c>
      <c r="AG614" s="190">
        <f t="shared" si="254"/>
        <v>0</v>
      </c>
      <c r="AH614" s="190">
        <f t="shared" si="255"/>
        <v>2048.4</v>
      </c>
      <c r="AI614" s="190">
        <f t="shared" si="256"/>
        <v>0</v>
      </c>
      <c r="AJ614" s="190">
        <f t="shared" si="256"/>
        <v>341.40000000000009</v>
      </c>
      <c r="AK614" s="464">
        <f t="shared" si="257"/>
        <v>0</v>
      </c>
      <c r="AL614" s="464">
        <f t="shared" si="258"/>
        <v>0</v>
      </c>
      <c r="AM614" s="464">
        <f t="shared" si="259"/>
        <v>1201.5999999999999</v>
      </c>
      <c r="AN614" s="464">
        <f t="shared" si="260"/>
        <v>0</v>
      </c>
      <c r="AO614" s="464">
        <f t="shared" si="261"/>
        <v>0</v>
      </c>
      <c r="AP614" s="464">
        <f t="shared" si="262"/>
        <v>0</v>
      </c>
      <c r="AQ614" s="464">
        <f t="shared" si="262"/>
        <v>2048.4</v>
      </c>
      <c r="AR614" s="190"/>
      <c r="AS614" s="464">
        <f t="shared" si="250"/>
        <v>2048.4</v>
      </c>
    </row>
    <row r="615" spans="1:45" s="191" customFormat="1" ht="24.95" customHeight="1">
      <c r="A615" s="1129"/>
      <c r="B615" s="1129"/>
      <c r="C615" s="1128"/>
      <c r="D615" s="1129"/>
      <c r="E615" s="1129"/>
      <c r="F615" s="1129"/>
      <c r="G615" s="1133"/>
      <c r="H615" s="300">
        <f>G614*H614</f>
        <v>682.80000000000007</v>
      </c>
      <c r="I615" s="1127"/>
      <c r="J615" s="1127"/>
      <c r="K615" s="1127"/>
      <c r="L615" s="1127"/>
      <c r="M615" s="1127"/>
      <c r="N615" s="1127"/>
      <c r="O615" s="1127"/>
      <c r="P615" s="1126"/>
      <c r="Q615" s="1126"/>
      <c r="R615" s="1126"/>
      <c r="S615" s="1131"/>
      <c r="T615" s="1129"/>
      <c r="U615" s="1130"/>
      <c r="V615" s="1127"/>
      <c r="W615" s="1127"/>
      <c r="X615" s="1127"/>
      <c r="Y615" s="1112"/>
      <c r="Z615" s="1112"/>
      <c r="AA615" s="1109"/>
      <c r="AB615" s="1109"/>
      <c r="AC615" s="1127"/>
      <c r="AD615" s="1127"/>
      <c r="AE615" s="190">
        <f t="shared" si="252"/>
        <v>0</v>
      </c>
      <c r="AF615" s="190">
        <f t="shared" si="253"/>
        <v>0</v>
      </c>
      <c r="AG615" s="190">
        <f t="shared" si="254"/>
        <v>0</v>
      </c>
      <c r="AH615" s="190">
        <f t="shared" si="255"/>
        <v>0</v>
      </c>
      <c r="AI615" s="190">
        <f t="shared" si="256"/>
        <v>0</v>
      </c>
      <c r="AJ615" s="190">
        <f t="shared" si="256"/>
        <v>0</v>
      </c>
      <c r="AK615" s="464">
        <f t="shared" si="257"/>
        <v>0</v>
      </c>
      <c r="AL615" s="464">
        <f t="shared" si="258"/>
        <v>0</v>
      </c>
      <c r="AM615" s="464">
        <f t="shared" si="259"/>
        <v>0</v>
      </c>
      <c r="AN615" s="464">
        <f t="shared" si="260"/>
        <v>0</v>
      </c>
      <c r="AO615" s="464">
        <f t="shared" si="261"/>
        <v>0</v>
      </c>
      <c r="AP615" s="464">
        <f t="shared" si="262"/>
        <v>0</v>
      </c>
      <c r="AQ615" s="464">
        <f t="shared" si="262"/>
        <v>0</v>
      </c>
      <c r="AR615" s="190"/>
      <c r="AS615" s="464">
        <f t="shared" si="250"/>
        <v>0</v>
      </c>
    </row>
    <row r="616" spans="1:45" s="191" customFormat="1" ht="24.95" customHeight="1">
      <c r="A616" s="1129"/>
      <c r="B616" s="1129"/>
      <c r="C616" s="1128" t="s">
        <v>823</v>
      </c>
      <c r="D616" s="1129"/>
      <c r="E616" s="1129" t="s">
        <v>824</v>
      </c>
      <c r="F616" s="1129">
        <v>5</v>
      </c>
      <c r="G616" s="1127">
        <v>3934</v>
      </c>
      <c r="H616" s="1127"/>
      <c r="I616" s="1127"/>
      <c r="J616" s="1127"/>
      <c r="K616" s="1127"/>
      <c r="L616" s="1127"/>
      <c r="M616" s="1127"/>
      <c r="N616" s="1127">
        <f>G616+H617</f>
        <v>3934</v>
      </c>
      <c r="O616" s="1127">
        <v>1</v>
      </c>
      <c r="P616" s="1126"/>
      <c r="Q616" s="1126"/>
      <c r="R616" s="1126"/>
      <c r="S616" s="1126"/>
      <c r="T616" s="1129"/>
      <c r="U616" s="1130"/>
      <c r="V616" s="1127"/>
      <c r="W616" s="1127">
        <f>AD616</f>
        <v>2566</v>
      </c>
      <c r="X616" s="1127">
        <f>(N616+V616+Q617+S616)*O616+W616</f>
        <v>6500</v>
      </c>
      <c r="Y616" s="1112"/>
      <c r="Z616" s="1112">
        <f>X616+Y616</f>
        <v>6500</v>
      </c>
      <c r="AA616" s="1109">
        <f t="shared" si="251"/>
        <v>6500</v>
      </c>
      <c r="AB616" s="1109">
        <f>AA616-X616</f>
        <v>0</v>
      </c>
      <c r="AC616" s="1127">
        <f>6500*O616</f>
        <v>6500</v>
      </c>
      <c r="AD616" s="1127">
        <f>AC616-(N616*O616)</f>
        <v>2566</v>
      </c>
      <c r="AE616" s="190">
        <f t="shared" si="252"/>
        <v>3934</v>
      </c>
      <c r="AF616" s="190">
        <f t="shared" si="253"/>
        <v>0</v>
      </c>
      <c r="AG616" s="190">
        <f t="shared" si="254"/>
        <v>3934</v>
      </c>
      <c r="AH616" s="190">
        <f t="shared" si="255"/>
        <v>0</v>
      </c>
      <c r="AI616" s="190">
        <f t="shared" si="256"/>
        <v>0</v>
      </c>
      <c r="AJ616" s="190">
        <f t="shared" si="256"/>
        <v>0</v>
      </c>
      <c r="AK616" s="464">
        <f t="shared" si="257"/>
        <v>0</v>
      </c>
      <c r="AL616" s="464">
        <f t="shared" si="258"/>
        <v>0</v>
      </c>
      <c r="AM616" s="464">
        <f t="shared" si="259"/>
        <v>2566</v>
      </c>
      <c r="AN616" s="464">
        <f t="shared" si="260"/>
        <v>0</v>
      </c>
      <c r="AO616" s="464">
        <f t="shared" si="261"/>
        <v>0</v>
      </c>
      <c r="AP616" s="464">
        <f t="shared" si="262"/>
        <v>3934</v>
      </c>
      <c r="AQ616" s="464">
        <f t="shared" si="262"/>
        <v>0</v>
      </c>
      <c r="AR616" s="190"/>
      <c r="AS616" s="464">
        <f t="shared" si="250"/>
        <v>3934</v>
      </c>
    </row>
    <row r="617" spans="1:45" s="191" customFormat="1" ht="24.95" customHeight="1">
      <c r="A617" s="1129"/>
      <c r="B617" s="1129"/>
      <c r="C617" s="1128"/>
      <c r="D617" s="1129"/>
      <c r="E617" s="1129"/>
      <c r="F617" s="1129"/>
      <c r="G617" s="1127"/>
      <c r="H617" s="1127"/>
      <c r="I617" s="1127"/>
      <c r="J617" s="1127"/>
      <c r="K617" s="1127"/>
      <c r="L617" s="1127"/>
      <c r="M617" s="1127"/>
      <c r="N617" s="1127"/>
      <c r="O617" s="1127"/>
      <c r="P617" s="1126"/>
      <c r="Q617" s="1126"/>
      <c r="R617" s="1126"/>
      <c r="S617" s="1126"/>
      <c r="T617" s="1129"/>
      <c r="U617" s="1130"/>
      <c r="V617" s="1127"/>
      <c r="W617" s="1127"/>
      <c r="X617" s="1127"/>
      <c r="Y617" s="1112"/>
      <c r="Z617" s="1112"/>
      <c r="AA617" s="1109"/>
      <c r="AB617" s="1109"/>
      <c r="AC617" s="1127"/>
      <c r="AD617" s="1127"/>
      <c r="AE617" s="190">
        <f t="shared" si="252"/>
        <v>0</v>
      </c>
      <c r="AF617" s="190">
        <f t="shared" si="253"/>
        <v>0</v>
      </c>
      <c r="AG617" s="190">
        <f t="shared" si="254"/>
        <v>0</v>
      </c>
      <c r="AH617" s="190">
        <f t="shared" si="255"/>
        <v>0</v>
      </c>
      <c r="AI617" s="190">
        <f t="shared" si="256"/>
        <v>0</v>
      </c>
      <c r="AJ617" s="190">
        <f t="shared" si="256"/>
        <v>0</v>
      </c>
      <c r="AK617" s="464">
        <f t="shared" si="257"/>
        <v>0</v>
      </c>
      <c r="AL617" s="464">
        <f t="shared" si="258"/>
        <v>0</v>
      </c>
      <c r="AM617" s="464">
        <f t="shared" si="259"/>
        <v>0</v>
      </c>
      <c r="AN617" s="464">
        <f t="shared" si="260"/>
        <v>0</v>
      </c>
      <c r="AO617" s="464">
        <f t="shared" si="261"/>
        <v>0</v>
      </c>
      <c r="AP617" s="464">
        <f t="shared" si="262"/>
        <v>0</v>
      </c>
      <c r="AQ617" s="464">
        <f t="shared" si="262"/>
        <v>0</v>
      </c>
      <c r="AR617" s="190"/>
      <c r="AS617" s="464">
        <f t="shared" si="250"/>
        <v>0</v>
      </c>
    </row>
    <row r="618" spans="1:45" s="191" customFormat="1" ht="24.95" customHeight="1">
      <c r="A618" s="1129"/>
      <c r="B618" s="1129"/>
      <c r="C618" s="1128" t="s">
        <v>825</v>
      </c>
      <c r="D618" s="1129" t="s">
        <v>826</v>
      </c>
      <c r="E618" s="1129" t="s">
        <v>827</v>
      </c>
      <c r="F618" s="1129">
        <v>5</v>
      </c>
      <c r="G618" s="1127">
        <v>3934</v>
      </c>
      <c r="H618" s="1127"/>
      <c r="I618" s="1126"/>
      <c r="J618" s="1126"/>
      <c r="K618" s="1126"/>
      <c r="L618" s="1126"/>
      <c r="M618" s="1126"/>
      <c r="N618" s="1127">
        <f>G618+H619+K619</f>
        <v>3934</v>
      </c>
      <c r="O618" s="1127">
        <v>1</v>
      </c>
      <c r="P618" s="1126"/>
      <c r="Q618" s="1126"/>
      <c r="R618" s="1174">
        <v>0</v>
      </c>
      <c r="S618" s="1176">
        <f>N618*R618</f>
        <v>0</v>
      </c>
      <c r="T618" s="1129"/>
      <c r="U618" s="1130"/>
      <c r="V618" s="1127"/>
      <c r="W618" s="1127">
        <f>AD618</f>
        <v>2566</v>
      </c>
      <c r="X618" s="1127">
        <f>(N618+V618+Q619+S618)*O618+W618</f>
        <v>6500</v>
      </c>
      <c r="Y618" s="1112"/>
      <c r="Z618" s="1112">
        <f>X618+Y618</f>
        <v>6500</v>
      </c>
      <c r="AA618" s="1109">
        <f t="shared" si="251"/>
        <v>6500</v>
      </c>
      <c r="AB618" s="1109">
        <f>AA618-X618</f>
        <v>0</v>
      </c>
      <c r="AC618" s="1127">
        <f>6500*O618</f>
        <v>6500</v>
      </c>
      <c r="AD618" s="1127">
        <f>AC618-(N618*O618)</f>
        <v>2566</v>
      </c>
      <c r="AE618" s="190">
        <f t="shared" si="252"/>
        <v>3934</v>
      </c>
      <c r="AF618" s="190">
        <f t="shared" si="253"/>
        <v>0</v>
      </c>
      <c r="AG618" s="190">
        <f t="shared" si="254"/>
        <v>3934</v>
      </c>
      <c r="AH618" s="190">
        <f t="shared" si="255"/>
        <v>0</v>
      </c>
      <c r="AI618" s="190">
        <f t="shared" si="256"/>
        <v>0</v>
      </c>
      <c r="AJ618" s="190">
        <f t="shared" si="256"/>
        <v>0</v>
      </c>
      <c r="AK618" s="464">
        <f t="shared" si="257"/>
        <v>0</v>
      </c>
      <c r="AL618" s="464">
        <f t="shared" si="258"/>
        <v>0</v>
      </c>
      <c r="AM618" s="464">
        <f t="shared" si="259"/>
        <v>2566</v>
      </c>
      <c r="AN618" s="464">
        <f t="shared" si="260"/>
        <v>0</v>
      </c>
      <c r="AO618" s="464">
        <f t="shared" si="261"/>
        <v>0</v>
      </c>
      <c r="AP618" s="464">
        <f t="shared" si="262"/>
        <v>3934</v>
      </c>
      <c r="AQ618" s="464">
        <f t="shared" si="262"/>
        <v>0</v>
      </c>
      <c r="AR618" s="190"/>
      <c r="AS618" s="464">
        <f t="shared" si="250"/>
        <v>3934</v>
      </c>
    </row>
    <row r="619" spans="1:45" s="191" customFormat="1" ht="24.95" customHeight="1">
      <c r="A619" s="1129"/>
      <c r="B619" s="1129"/>
      <c r="C619" s="1128"/>
      <c r="D619" s="1129"/>
      <c r="E619" s="1129"/>
      <c r="F619" s="1129"/>
      <c r="G619" s="1133"/>
      <c r="H619" s="1127"/>
      <c r="I619" s="1126"/>
      <c r="J619" s="1126"/>
      <c r="K619" s="1126"/>
      <c r="L619" s="1126"/>
      <c r="M619" s="1126"/>
      <c r="N619" s="1127"/>
      <c r="O619" s="1127"/>
      <c r="P619" s="1126"/>
      <c r="Q619" s="1126"/>
      <c r="R619" s="1175"/>
      <c r="S619" s="1176"/>
      <c r="T619" s="1129"/>
      <c r="U619" s="1130"/>
      <c r="V619" s="1127"/>
      <c r="W619" s="1127"/>
      <c r="X619" s="1127"/>
      <c r="Y619" s="1112"/>
      <c r="Z619" s="1112"/>
      <c r="AA619" s="1109"/>
      <c r="AB619" s="1109"/>
      <c r="AC619" s="1127"/>
      <c r="AD619" s="1127"/>
      <c r="AE619" s="190">
        <f t="shared" si="252"/>
        <v>0</v>
      </c>
      <c r="AF619" s="190">
        <f t="shared" si="253"/>
        <v>0</v>
      </c>
      <c r="AG619" s="190">
        <f t="shared" si="254"/>
        <v>0</v>
      </c>
      <c r="AH619" s="190">
        <f t="shared" si="255"/>
        <v>0</v>
      </c>
      <c r="AI619" s="190">
        <f t="shared" si="256"/>
        <v>0</v>
      </c>
      <c r="AJ619" s="190">
        <f t="shared" si="256"/>
        <v>0</v>
      </c>
      <c r="AK619" s="464">
        <f t="shared" si="257"/>
        <v>0</v>
      </c>
      <c r="AL619" s="464">
        <f t="shared" si="258"/>
        <v>0</v>
      </c>
      <c r="AM619" s="464">
        <f t="shared" si="259"/>
        <v>0</v>
      </c>
      <c r="AN619" s="464">
        <f t="shared" si="260"/>
        <v>0</v>
      </c>
      <c r="AO619" s="464">
        <f t="shared" si="261"/>
        <v>0</v>
      </c>
      <c r="AP619" s="464">
        <f t="shared" si="262"/>
        <v>0</v>
      </c>
      <c r="AQ619" s="464">
        <f t="shared" si="262"/>
        <v>0</v>
      </c>
      <c r="AR619" s="190"/>
      <c r="AS619" s="464">
        <f t="shared" si="250"/>
        <v>0</v>
      </c>
    </row>
    <row r="620" spans="1:45" s="191" customFormat="1" ht="24.95" customHeight="1">
      <c r="A620" s="1129"/>
      <c r="B620" s="1129"/>
      <c r="C620" s="1128" t="s">
        <v>825</v>
      </c>
      <c r="D620" s="1129" t="s">
        <v>826</v>
      </c>
      <c r="E620" s="1129" t="s">
        <v>828</v>
      </c>
      <c r="F620" s="1129">
        <v>5</v>
      </c>
      <c r="G620" s="1127">
        <v>3934</v>
      </c>
      <c r="H620" s="1127"/>
      <c r="I620" s="1127"/>
      <c r="J620" s="1127"/>
      <c r="K620" s="1127"/>
      <c r="L620" s="1127"/>
      <c r="M620" s="1127"/>
      <c r="N620" s="1127">
        <f>G620+H621</f>
        <v>3934</v>
      </c>
      <c r="O620" s="1127">
        <v>1</v>
      </c>
      <c r="P620" s="1126"/>
      <c r="Q620" s="1126"/>
      <c r="R620" s="1174">
        <v>0</v>
      </c>
      <c r="S620" s="1176">
        <f>N620*R620</f>
        <v>0</v>
      </c>
      <c r="T620" s="1129"/>
      <c r="U620" s="1130"/>
      <c r="V620" s="1127"/>
      <c r="W620" s="1127">
        <f>AD620</f>
        <v>2566</v>
      </c>
      <c r="X620" s="1127">
        <f>(N620+V620+Q621+S620)*O620+W620</f>
        <v>6500</v>
      </c>
      <c r="Y620" s="1112"/>
      <c r="Z620" s="1112">
        <f>X620+Y620</f>
        <v>6500</v>
      </c>
      <c r="AA620" s="1109">
        <f t="shared" si="251"/>
        <v>6500</v>
      </c>
      <c r="AB620" s="1109">
        <f>AA620-X620</f>
        <v>0</v>
      </c>
      <c r="AC620" s="1127">
        <f>6500*O620</f>
        <v>6500</v>
      </c>
      <c r="AD620" s="1127">
        <f>AC620-(N620*O620)</f>
        <v>2566</v>
      </c>
      <c r="AE620" s="190">
        <f t="shared" si="252"/>
        <v>3934</v>
      </c>
      <c r="AF620" s="190">
        <f t="shared" si="253"/>
        <v>0</v>
      </c>
      <c r="AG620" s="190">
        <f t="shared" si="254"/>
        <v>3934</v>
      </c>
      <c r="AH620" s="190">
        <f t="shared" si="255"/>
        <v>0</v>
      </c>
      <c r="AI620" s="190">
        <f t="shared" si="256"/>
        <v>0</v>
      </c>
      <c r="AJ620" s="190">
        <f t="shared" si="256"/>
        <v>0</v>
      </c>
      <c r="AK620" s="464">
        <f t="shared" si="257"/>
        <v>0</v>
      </c>
      <c r="AL620" s="464">
        <f t="shared" si="258"/>
        <v>0</v>
      </c>
      <c r="AM620" s="464">
        <f t="shared" si="259"/>
        <v>2566</v>
      </c>
      <c r="AN620" s="464">
        <f t="shared" si="260"/>
        <v>0</v>
      </c>
      <c r="AO620" s="464">
        <f t="shared" si="261"/>
        <v>0</v>
      </c>
      <c r="AP620" s="464">
        <f t="shared" si="262"/>
        <v>3934</v>
      </c>
      <c r="AQ620" s="464">
        <f t="shared" si="262"/>
        <v>0</v>
      </c>
      <c r="AR620" s="190"/>
      <c r="AS620" s="464">
        <f t="shared" si="250"/>
        <v>3934</v>
      </c>
    </row>
    <row r="621" spans="1:45" s="191" customFormat="1" ht="24.95" customHeight="1">
      <c r="A621" s="1129"/>
      <c r="B621" s="1129"/>
      <c r="C621" s="1128"/>
      <c r="D621" s="1129"/>
      <c r="E621" s="1129"/>
      <c r="F621" s="1129"/>
      <c r="G621" s="1133"/>
      <c r="H621" s="1127"/>
      <c r="I621" s="1127"/>
      <c r="J621" s="1127"/>
      <c r="K621" s="1127"/>
      <c r="L621" s="1127"/>
      <c r="M621" s="1127"/>
      <c r="N621" s="1127"/>
      <c r="O621" s="1127"/>
      <c r="P621" s="1126"/>
      <c r="Q621" s="1126"/>
      <c r="R621" s="1175"/>
      <c r="S621" s="1176"/>
      <c r="T621" s="1129"/>
      <c r="U621" s="1130"/>
      <c r="V621" s="1127"/>
      <c r="W621" s="1127"/>
      <c r="X621" s="1127"/>
      <c r="Y621" s="1112"/>
      <c r="Z621" s="1112"/>
      <c r="AA621" s="1109"/>
      <c r="AB621" s="1109"/>
      <c r="AC621" s="1127"/>
      <c r="AD621" s="1127"/>
      <c r="AE621" s="190">
        <f t="shared" si="252"/>
        <v>0</v>
      </c>
      <c r="AF621" s="190">
        <f t="shared" si="253"/>
        <v>0</v>
      </c>
      <c r="AG621" s="190">
        <f t="shared" si="254"/>
        <v>0</v>
      </c>
      <c r="AH621" s="190">
        <f t="shared" si="255"/>
        <v>0</v>
      </c>
      <c r="AI621" s="190">
        <f t="shared" si="256"/>
        <v>0</v>
      </c>
      <c r="AJ621" s="190">
        <f t="shared" si="256"/>
        <v>0</v>
      </c>
      <c r="AK621" s="464">
        <f t="shared" si="257"/>
        <v>0</v>
      </c>
      <c r="AL621" s="464">
        <f t="shared" si="258"/>
        <v>0</v>
      </c>
      <c r="AM621" s="464">
        <f t="shared" si="259"/>
        <v>0</v>
      </c>
      <c r="AN621" s="464">
        <f t="shared" si="260"/>
        <v>0</v>
      </c>
      <c r="AO621" s="464">
        <f t="shared" si="261"/>
        <v>0</v>
      </c>
      <c r="AP621" s="464">
        <f t="shared" si="262"/>
        <v>0</v>
      </c>
      <c r="AQ621" s="464">
        <f t="shared" si="262"/>
        <v>0</v>
      </c>
      <c r="AR621" s="190"/>
      <c r="AS621" s="464">
        <f t="shared" si="250"/>
        <v>0</v>
      </c>
    </row>
    <row r="622" spans="1:45" s="191" customFormat="1" ht="24.95" customHeight="1">
      <c r="A622" s="1129"/>
      <c r="B622" s="1129"/>
      <c r="C622" s="1128" t="s">
        <v>829</v>
      </c>
      <c r="D622" s="1129"/>
      <c r="E622" s="1129" t="s">
        <v>830</v>
      </c>
      <c r="F622" s="1129">
        <v>2</v>
      </c>
      <c r="G622" s="1127">
        <v>3153</v>
      </c>
      <c r="H622" s="1127"/>
      <c r="I622" s="1127"/>
      <c r="J622" s="1127"/>
      <c r="K622" s="1127"/>
      <c r="L622" s="1127"/>
      <c r="M622" s="1127"/>
      <c r="N622" s="1127">
        <f>G622+H623</f>
        <v>3153</v>
      </c>
      <c r="O622" s="1127">
        <v>1</v>
      </c>
      <c r="P622" s="1126"/>
      <c r="Q622" s="1126"/>
      <c r="R622" s="1126"/>
      <c r="S622" s="1126"/>
      <c r="T622" s="1129"/>
      <c r="U622" s="1130"/>
      <c r="V622" s="1127"/>
      <c r="W622" s="1127">
        <f>AD622</f>
        <v>3347</v>
      </c>
      <c r="X622" s="1127">
        <f>(N622+V622+Q623+S622)*O622+W622</f>
        <v>6500</v>
      </c>
      <c r="Y622" s="1112"/>
      <c r="Z622" s="1112">
        <f>X622+Y622</f>
        <v>6500</v>
      </c>
      <c r="AA622" s="1109">
        <f t="shared" si="251"/>
        <v>6500</v>
      </c>
      <c r="AB622" s="1109">
        <f>AA622-X622</f>
        <v>0</v>
      </c>
      <c r="AC622" s="1127">
        <f>6500*O622</f>
        <v>6500</v>
      </c>
      <c r="AD622" s="1127">
        <f>AC622-(N622*O622)</f>
        <v>3347</v>
      </c>
      <c r="AE622" s="190">
        <f t="shared" si="252"/>
        <v>3153</v>
      </c>
      <c r="AF622" s="190">
        <f t="shared" si="253"/>
        <v>0</v>
      </c>
      <c r="AG622" s="190">
        <f t="shared" si="254"/>
        <v>3153</v>
      </c>
      <c r="AH622" s="190">
        <f t="shared" si="255"/>
        <v>0</v>
      </c>
      <c r="AI622" s="190">
        <f t="shared" si="256"/>
        <v>0</v>
      </c>
      <c r="AJ622" s="190">
        <f t="shared" si="256"/>
        <v>0</v>
      </c>
      <c r="AK622" s="464">
        <f t="shared" si="257"/>
        <v>0</v>
      </c>
      <c r="AL622" s="464">
        <f t="shared" si="258"/>
        <v>0</v>
      </c>
      <c r="AM622" s="464">
        <f t="shared" si="259"/>
        <v>3347</v>
      </c>
      <c r="AN622" s="464">
        <f t="shared" si="260"/>
        <v>0</v>
      </c>
      <c r="AO622" s="464">
        <f t="shared" si="261"/>
        <v>0</v>
      </c>
      <c r="AP622" s="464">
        <f t="shared" si="262"/>
        <v>3153</v>
      </c>
      <c r="AQ622" s="464">
        <f t="shared" si="262"/>
        <v>0</v>
      </c>
      <c r="AR622" s="190"/>
      <c r="AS622" s="464">
        <f t="shared" si="250"/>
        <v>3153</v>
      </c>
    </row>
    <row r="623" spans="1:45" s="191" customFormat="1" ht="24.95" customHeight="1">
      <c r="A623" s="1129"/>
      <c r="B623" s="1129"/>
      <c r="C623" s="1128"/>
      <c r="D623" s="1129"/>
      <c r="E623" s="1129"/>
      <c r="F623" s="1129"/>
      <c r="G623" s="1127"/>
      <c r="H623" s="1127"/>
      <c r="I623" s="1127"/>
      <c r="J623" s="1127"/>
      <c r="K623" s="1127"/>
      <c r="L623" s="1127"/>
      <c r="M623" s="1127"/>
      <c r="N623" s="1127"/>
      <c r="O623" s="1127"/>
      <c r="P623" s="1126"/>
      <c r="Q623" s="1126"/>
      <c r="R623" s="1126"/>
      <c r="S623" s="1126"/>
      <c r="T623" s="1129"/>
      <c r="U623" s="1130"/>
      <c r="V623" s="1127"/>
      <c r="W623" s="1127"/>
      <c r="X623" s="1127"/>
      <c r="Y623" s="1112"/>
      <c r="Z623" s="1112"/>
      <c r="AA623" s="1109"/>
      <c r="AB623" s="1109"/>
      <c r="AC623" s="1127"/>
      <c r="AD623" s="1127"/>
      <c r="AE623" s="190">
        <f t="shared" si="252"/>
        <v>0</v>
      </c>
      <c r="AF623" s="190">
        <f t="shared" si="253"/>
        <v>0</v>
      </c>
      <c r="AG623" s="190">
        <f t="shared" si="254"/>
        <v>0</v>
      </c>
      <c r="AH623" s="190">
        <f t="shared" si="255"/>
        <v>0</v>
      </c>
      <c r="AI623" s="190">
        <f t="shared" si="256"/>
        <v>0</v>
      </c>
      <c r="AJ623" s="190">
        <f t="shared" si="256"/>
        <v>0</v>
      </c>
      <c r="AK623" s="464">
        <f t="shared" si="257"/>
        <v>0</v>
      </c>
      <c r="AL623" s="464">
        <f t="shared" si="258"/>
        <v>0</v>
      </c>
      <c r="AM623" s="464">
        <f t="shared" si="259"/>
        <v>0</v>
      </c>
      <c r="AN623" s="464">
        <f t="shared" si="260"/>
        <v>0</v>
      </c>
      <c r="AO623" s="464">
        <f t="shared" si="261"/>
        <v>0</v>
      </c>
      <c r="AP623" s="464">
        <f t="shared" si="262"/>
        <v>0</v>
      </c>
      <c r="AQ623" s="464">
        <f t="shared" si="262"/>
        <v>0</v>
      </c>
      <c r="AR623" s="190"/>
      <c r="AS623" s="464">
        <f t="shared" si="250"/>
        <v>0</v>
      </c>
    </row>
    <row r="624" spans="1:45" s="191" customFormat="1" ht="24.95" customHeight="1">
      <c r="A624" s="1129"/>
      <c r="B624" s="1129"/>
      <c r="C624" s="1128" t="s">
        <v>829</v>
      </c>
      <c r="D624" s="1129"/>
      <c r="E624" s="1129" t="s">
        <v>831</v>
      </c>
      <c r="F624" s="1129">
        <v>2</v>
      </c>
      <c r="G624" s="1127">
        <v>3153</v>
      </c>
      <c r="H624" s="1127"/>
      <c r="I624" s="1127"/>
      <c r="J624" s="1127"/>
      <c r="K624" s="1127"/>
      <c r="L624" s="1127"/>
      <c r="M624" s="1127"/>
      <c r="N624" s="1127">
        <f>G624+H625</f>
        <v>3153</v>
      </c>
      <c r="O624" s="1127">
        <v>1</v>
      </c>
      <c r="P624" s="1126"/>
      <c r="Q624" s="1126"/>
      <c r="R624" s="1126"/>
      <c r="S624" s="1126"/>
      <c r="T624" s="1129"/>
      <c r="U624" s="1130"/>
      <c r="V624" s="1127"/>
      <c r="W624" s="1127">
        <f>AD624</f>
        <v>3347</v>
      </c>
      <c r="X624" s="1127">
        <f>(N624+V624+Q625+S624)*O624+W624</f>
        <v>6500</v>
      </c>
      <c r="Y624" s="1112"/>
      <c r="Z624" s="1112">
        <f>X624+Y624</f>
        <v>6500</v>
      </c>
      <c r="AA624" s="1109">
        <f t="shared" si="251"/>
        <v>6500</v>
      </c>
      <c r="AB624" s="1109">
        <f>AA624-X624</f>
        <v>0</v>
      </c>
      <c r="AC624" s="1127">
        <f>6500*O624</f>
        <v>6500</v>
      </c>
      <c r="AD624" s="1127">
        <f>AC624-(N624*O624)</f>
        <v>3347</v>
      </c>
      <c r="AE624" s="190">
        <f t="shared" si="252"/>
        <v>3153</v>
      </c>
      <c r="AF624" s="190">
        <f t="shared" si="253"/>
        <v>0</v>
      </c>
      <c r="AG624" s="190">
        <f t="shared" si="254"/>
        <v>3153</v>
      </c>
      <c r="AH624" s="190">
        <f t="shared" si="255"/>
        <v>0</v>
      </c>
      <c r="AI624" s="190">
        <f t="shared" si="256"/>
        <v>0</v>
      </c>
      <c r="AJ624" s="190">
        <f t="shared" si="256"/>
        <v>0</v>
      </c>
      <c r="AK624" s="464">
        <f t="shared" si="257"/>
        <v>0</v>
      </c>
      <c r="AL624" s="464">
        <f t="shared" si="258"/>
        <v>0</v>
      </c>
      <c r="AM624" s="464">
        <f t="shared" si="259"/>
        <v>3347</v>
      </c>
      <c r="AN624" s="464">
        <f t="shared" si="260"/>
        <v>0</v>
      </c>
      <c r="AO624" s="464">
        <f t="shared" si="261"/>
        <v>0</v>
      </c>
      <c r="AP624" s="464">
        <f t="shared" si="262"/>
        <v>3153</v>
      </c>
      <c r="AQ624" s="464">
        <f t="shared" si="262"/>
        <v>0</v>
      </c>
      <c r="AR624" s="190"/>
      <c r="AS624" s="464">
        <f t="shared" si="250"/>
        <v>3153</v>
      </c>
    </row>
    <row r="625" spans="1:45" s="191" customFormat="1" ht="24.95" customHeight="1">
      <c r="A625" s="1129"/>
      <c r="B625" s="1129"/>
      <c r="C625" s="1128"/>
      <c r="D625" s="1129"/>
      <c r="E625" s="1129"/>
      <c r="F625" s="1129"/>
      <c r="G625" s="1127"/>
      <c r="H625" s="1127"/>
      <c r="I625" s="1127"/>
      <c r="J625" s="1127"/>
      <c r="K625" s="1127"/>
      <c r="L625" s="1127"/>
      <c r="M625" s="1127"/>
      <c r="N625" s="1127"/>
      <c r="O625" s="1127"/>
      <c r="P625" s="1126"/>
      <c r="Q625" s="1126"/>
      <c r="R625" s="1126"/>
      <c r="S625" s="1126"/>
      <c r="T625" s="1129"/>
      <c r="U625" s="1130"/>
      <c r="V625" s="1127"/>
      <c r="W625" s="1127"/>
      <c r="X625" s="1127"/>
      <c r="Y625" s="1112"/>
      <c r="Z625" s="1112"/>
      <c r="AA625" s="1109"/>
      <c r="AB625" s="1109"/>
      <c r="AC625" s="1127"/>
      <c r="AD625" s="1127"/>
      <c r="AE625" s="190">
        <f t="shared" si="252"/>
        <v>0</v>
      </c>
      <c r="AF625" s="190">
        <f t="shared" si="253"/>
        <v>0</v>
      </c>
      <c r="AG625" s="190">
        <f t="shared" si="254"/>
        <v>0</v>
      </c>
      <c r="AH625" s="190">
        <f t="shared" si="255"/>
        <v>0</v>
      </c>
      <c r="AI625" s="190">
        <f t="shared" si="256"/>
        <v>0</v>
      </c>
      <c r="AJ625" s="190">
        <f t="shared" si="256"/>
        <v>0</v>
      </c>
      <c r="AK625" s="464">
        <f t="shared" si="257"/>
        <v>0</v>
      </c>
      <c r="AL625" s="464">
        <f t="shared" si="258"/>
        <v>0</v>
      </c>
      <c r="AM625" s="464">
        <f t="shared" si="259"/>
        <v>0</v>
      </c>
      <c r="AN625" s="464">
        <f t="shared" si="260"/>
        <v>0</v>
      </c>
      <c r="AO625" s="464">
        <f t="shared" si="261"/>
        <v>0</v>
      </c>
      <c r="AP625" s="464">
        <f t="shared" si="262"/>
        <v>0</v>
      </c>
      <c r="AQ625" s="464">
        <f t="shared" si="262"/>
        <v>0</v>
      </c>
      <c r="AR625" s="190"/>
      <c r="AS625" s="464">
        <f t="shared" si="250"/>
        <v>0</v>
      </c>
    </row>
    <row r="626" spans="1:45" s="191" customFormat="1" ht="24.95" customHeight="1">
      <c r="A626" s="1129"/>
      <c r="B626" s="1129"/>
      <c r="C626" s="1132" t="s">
        <v>832</v>
      </c>
      <c r="D626" s="1126"/>
      <c r="E626" s="1126" t="s">
        <v>833</v>
      </c>
      <c r="F626" s="1126">
        <v>1</v>
      </c>
      <c r="G626" s="1127">
        <v>2893</v>
      </c>
      <c r="H626" s="1127"/>
      <c r="I626" s="1127"/>
      <c r="J626" s="1127"/>
      <c r="K626" s="1127"/>
      <c r="L626" s="1127"/>
      <c r="M626" s="1127"/>
      <c r="N626" s="1127">
        <f>G626+H627</f>
        <v>2893</v>
      </c>
      <c r="O626" s="1127">
        <f>0.5+0.5</f>
        <v>1</v>
      </c>
      <c r="P626" s="1126"/>
      <c r="Q626" s="1126"/>
      <c r="R626" s="1126"/>
      <c r="S626" s="1126"/>
      <c r="T626" s="1129"/>
      <c r="U626" s="1130"/>
      <c r="V626" s="1127"/>
      <c r="W626" s="1127">
        <f>AD626</f>
        <v>3607</v>
      </c>
      <c r="X626" s="1127">
        <f>(N626+V626+Q627+S626)*O626+W626</f>
        <v>6500</v>
      </c>
      <c r="Y626" s="1112"/>
      <c r="Z626" s="1112">
        <f>X626+Y626</f>
        <v>6500</v>
      </c>
      <c r="AA626" s="1109">
        <f t="shared" si="251"/>
        <v>6500</v>
      </c>
      <c r="AB626" s="1109">
        <f>AA626-X626</f>
        <v>0</v>
      </c>
      <c r="AC626" s="1127">
        <f>6500*O626</f>
        <v>6500</v>
      </c>
      <c r="AD626" s="1127">
        <f>AC626-(N626*O626)</f>
        <v>3607</v>
      </c>
      <c r="AE626" s="190">
        <f t="shared" si="252"/>
        <v>2893</v>
      </c>
      <c r="AF626" s="190">
        <f t="shared" si="253"/>
        <v>0</v>
      </c>
      <c r="AG626" s="190">
        <f t="shared" si="254"/>
        <v>2893</v>
      </c>
      <c r="AH626" s="190">
        <f t="shared" si="255"/>
        <v>0</v>
      </c>
      <c r="AI626" s="190">
        <f t="shared" si="256"/>
        <v>0</v>
      </c>
      <c r="AJ626" s="190">
        <f t="shared" si="256"/>
        <v>0</v>
      </c>
      <c r="AK626" s="464">
        <f t="shared" si="257"/>
        <v>0</v>
      </c>
      <c r="AL626" s="464">
        <f t="shared" si="258"/>
        <v>0</v>
      </c>
      <c r="AM626" s="464">
        <f t="shared" si="259"/>
        <v>3607</v>
      </c>
      <c r="AN626" s="464">
        <f t="shared" si="260"/>
        <v>0</v>
      </c>
      <c r="AO626" s="464">
        <f t="shared" si="261"/>
        <v>0</v>
      </c>
      <c r="AP626" s="464">
        <f t="shared" si="262"/>
        <v>2893</v>
      </c>
      <c r="AQ626" s="464">
        <f t="shared" si="262"/>
        <v>0</v>
      </c>
      <c r="AR626" s="190"/>
      <c r="AS626" s="464">
        <f t="shared" si="250"/>
        <v>2893</v>
      </c>
    </row>
    <row r="627" spans="1:45" s="191" customFormat="1" ht="24.95" customHeight="1">
      <c r="A627" s="1129"/>
      <c r="B627" s="1129"/>
      <c r="C627" s="1132"/>
      <c r="D627" s="1126"/>
      <c r="E627" s="1126"/>
      <c r="F627" s="1126"/>
      <c r="G627" s="1127"/>
      <c r="H627" s="1127"/>
      <c r="I627" s="1127"/>
      <c r="J627" s="1127"/>
      <c r="K627" s="1127"/>
      <c r="L627" s="1127"/>
      <c r="M627" s="1127"/>
      <c r="N627" s="1127"/>
      <c r="O627" s="1127"/>
      <c r="P627" s="1126"/>
      <c r="Q627" s="1126"/>
      <c r="R627" s="1126"/>
      <c r="S627" s="1126"/>
      <c r="T627" s="1129"/>
      <c r="U627" s="1130"/>
      <c r="V627" s="1127"/>
      <c r="W627" s="1127"/>
      <c r="X627" s="1127"/>
      <c r="Y627" s="1112"/>
      <c r="Z627" s="1112"/>
      <c r="AA627" s="1109"/>
      <c r="AB627" s="1109"/>
      <c r="AC627" s="1127"/>
      <c r="AD627" s="1127"/>
      <c r="AE627" s="190">
        <f t="shared" si="252"/>
        <v>0</v>
      </c>
      <c r="AF627" s="190">
        <f t="shared" si="253"/>
        <v>0</v>
      </c>
      <c r="AG627" s="190">
        <f t="shared" si="254"/>
        <v>0</v>
      </c>
      <c r="AH627" s="190">
        <f t="shared" si="255"/>
        <v>0</v>
      </c>
      <c r="AI627" s="190">
        <f t="shared" si="256"/>
        <v>0</v>
      </c>
      <c r="AJ627" s="190">
        <f t="shared" si="256"/>
        <v>0</v>
      </c>
      <c r="AK627" s="464">
        <f t="shared" si="257"/>
        <v>0</v>
      </c>
      <c r="AL627" s="464">
        <f t="shared" si="258"/>
        <v>0</v>
      </c>
      <c r="AM627" s="464">
        <f t="shared" si="259"/>
        <v>0</v>
      </c>
      <c r="AN627" s="464">
        <f t="shared" si="260"/>
        <v>0</v>
      </c>
      <c r="AO627" s="464">
        <f t="shared" si="261"/>
        <v>0</v>
      </c>
      <c r="AP627" s="464">
        <f t="shared" si="262"/>
        <v>0</v>
      </c>
      <c r="AQ627" s="464">
        <f t="shared" si="262"/>
        <v>0</v>
      </c>
      <c r="AR627" s="190"/>
      <c r="AS627" s="464">
        <f t="shared" si="250"/>
        <v>0</v>
      </c>
    </row>
    <row r="628" spans="1:45" s="191" customFormat="1" ht="24.95" customHeight="1">
      <c r="A628" s="1129"/>
      <c r="B628" s="1129"/>
      <c r="C628" s="1132" t="s">
        <v>834</v>
      </c>
      <c r="D628" s="1129" t="s">
        <v>835</v>
      </c>
      <c r="E628" s="1126" t="s">
        <v>836</v>
      </c>
      <c r="F628" s="1129">
        <v>5</v>
      </c>
      <c r="G628" s="1127">
        <v>3934</v>
      </c>
      <c r="H628" s="1127"/>
      <c r="I628" s="1127"/>
      <c r="J628" s="1127"/>
      <c r="K628" s="1127"/>
      <c r="L628" s="1127"/>
      <c r="M628" s="1127"/>
      <c r="N628" s="1127">
        <f>G628+H629+K629</f>
        <v>3934</v>
      </c>
      <c r="O628" s="1127">
        <v>0.5</v>
      </c>
      <c r="P628" s="1126"/>
      <c r="Q628" s="1126"/>
      <c r="R628" s="1126"/>
      <c r="S628" s="1126"/>
      <c r="T628" s="1129"/>
      <c r="U628" s="1130"/>
      <c r="V628" s="1127"/>
      <c r="W628" s="1127">
        <f>AD628</f>
        <v>1283</v>
      </c>
      <c r="X628" s="1127">
        <f>(N628+V628+Q629+S628)*O628+W628</f>
        <v>3250</v>
      </c>
      <c r="Y628" s="1112"/>
      <c r="Z628" s="1112">
        <f>X628+Y628</f>
        <v>3250</v>
      </c>
      <c r="AA628" s="1109">
        <f t="shared" si="251"/>
        <v>3250</v>
      </c>
      <c r="AB628" s="1109">
        <f>AA628-X628</f>
        <v>0</v>
      </c>
      <c r="AC628" s="1127">
        <f>6500*O628</f>
        <v>3250</v>
      </c>
      <c r="AD628" s="1127">
        <f>AC628-(N628*O628)</f>
        <v>1283</v>
      </c>
      <c r="AE628" s="190">
        <f t="shared" si="252"/>
        <v>1967</v>
      </c>
      <c r="AF628" s="190">
        <f t="shared" si="253"/>
        <v>0</v>
      </c>
      <c r="AG628" s="190">
        <f t="shared" si="254"/>
        <v>1967</v>
      </c>
      <c r="AH628" s="190">
        <f t="shared" si="255"/>
        <v>0</v>
      </c>
      <c r="AI628" s="190">
        <f t="shared" si="256"/>
        <v>0</v>
      </c>
      <c r="AJ628" s="190">
        <f t="shared" si="256"/>
        <v>0</v>
      </c>
      <c r="AK628" s="464">
        <f t="shared" si="257"/>
        <v>0</v>
      </c>
      <c r="AL628" s="464">
        <f t="shared" si="258"/>
        <v>0</v>
      </c>
      <c r="AM628" s="464">
        <f t="shared" si="259"/>
        <v>1283</v>
      </c>
      <c r="AN628" s="464">
        <f t="shared" si="260"/>
        <v>0</v>
      </c>
      <c r="AO628" s="464">
        <f t="shared" si="261"/>
        <v>0</v>
      </c>
      <c r="AP628" s="464">
        <f t="shared" si="262"/>
        <v>1967</v>
      </c>
      <c r="AQ628" s="464">
        <f t="shared" si="262"/>
        <v>0</v>
      </c>
      <c r="AR628" s="190"/>
      <c r="AS628" s="464">
        <f t="shared" si="250"/>
        <v>1967</v>
      </c>
    </row>
    <row r="629" spans="1:45" s="191" customFormat="1" ht="24.95" customHeight="1">
      <c r="A629" s="1129"/>
      <c r="B629" s="1129"/>
      <c r="C629" s="1132"/>
      <c r="D629" s="1129"/>
      <c r="E629" s="1126"/>
      <c r="F629" s="1129"/>
      <c r="G629" s="1127"/>
      <c r="H629" s="1127"/>
      <c r="I629" s="1127"/>
      <c r="J629" s="1127"/>
      <c r="K629" s="1127"/>
      <c r="L629" s="1127"/>
      <c r="M629" s="1127"/>
      <c r="N629" s="1127"/>
      <c r="O629" s="1127"/>
      <c r="P629" s="1126"/>
      <c r="Q629" s="1126"/>
      <c r="R629" s="1126"/>
      <c r="S629" s="1126"/>
      <c r="T629" s="1129"/>
      <c r="U629" s="1130"/>
      <c r="V629" s="1127"/>
      <c r="W629" s="1127"/>
      <c r="X629" s="1127"/>
      <c r="Y629" s="1112"/>
      <c r="Z629" s="1112"/>
      <c r="AA629" s="1109"/>
      <c r="AB629" s="1109"/>
      <c r="AC629" s="1127"/>
      <c r="AD629" s="1127"/>
      <c r="AE629" s="190">
        <f t="shared" si="252"/>
        <v>0</v>
      </c>
      <c r="AF629" s="190">
        <f t="shared" si="253"/>
        <v>0</v>
      </c>
      <c r="AG629" s="190">
        <f t="shared" si="254"/>
        <v>0</v>
      </c>
      <c r="AH629" s="190">
        <f t="shared" si="255"/>
        <v>0</v>
      </c>
      <c r="AI629" s="190">
        <f t="shared" si="256"/>
        <v>0</v>
      </c>
      <c r="AJ629" s="190">
        <f t="shared" si="256"/>
        <v>0</v>
      </c>
      <c r="AK629" s="464">
        <f t="shared" si="257"/>
        <v>0</v>
      </c>
      <c r="AL629" s="464">
        <f t="shared" si="258"/>
        <v>0</v>
      </c>
      <c r="AM629" s="464">
        <f t="shared" si="259"/>
        <v>0</v>
      </c>
      <c r="AN629" s="464">
        <f t="shared" si="260"/>
        <v>0</v>
      </c>
      <c r="AO629" s="464">
        <f t="shared" si="261"/>
        <v>0</v>
      </c>
      <c r="AP629" s="464">
        <f t="shared" si="262"/>
        <v>0</v>
      </c>
      <c r="AQ629" s="464">
        <f t="shared" si="262"/>
        <v>0</v>
      </c>
      <c r="AR629" s="190"/>
      <c r="AS629" s="464">
        <f t="shared" si="250"/>
        <v>0</v>
      </c>
    </row>
    <row r="630" spans="1:45" s="191" customFormat="1" ht="24.95" customHeight="1">
      <c r="A630" s="1129"/>
      <c r="B630" s="1129"/>
      <c r="C630" s="1128" t="s">
        <v>837</v>
      </c>
      <c r="D630" s="1129"/>
      <c r="E630" s="1129" t="s">
        <v>838</v>
      </c>
      <c r="F630" s="1129">
        <v>5</v>
      </c>
      <c r="G630" s="1127">
        <v>3934</v>
      </c>
      <c r="H630" s="1127"/>
      <c r="I630" s="1127"/>
      <c r="J630" s="1127"/>
      <c r="K630" s="1127"/>
      <c r="L630" s="1127"/>
      <c r="M630" s="1127"/>
      <c r="N630" s="1127">
        <f>G630+H631</f>
        <v>3934</v>
      </c>
      <c r="O630" s="1127">
        <v>1</v>
      </c>
      <c r="P630" s="1126"/>
      <c r="Q630" s="1126"/>
      <c r="R630" s="1126"/>
      <c r="S630" s="1126"/>
      <c r="T630" s="1129"/>
      <c r="U630" s="1130"/>
      <c r="V630" s="1127"/>
      <c r="W630" s="1127">
        <f>AD630</f>
        <v>2566</v>
      </c>
      <c r="X630" s="1127">
        <f>(N630+V630+Q631+S630)*O630+W630</f>
        <v>6500</v>
      </c>
      <c r="Y630" s="1112"/>
      <c r="Z630" s="1112">
        <f>X630+Y630</f>
        <v>6500</v>
      </c>
      <c r="AA630" s="1109">
        <f t="shared" si="251"/>
        <v>6500</v>
      </c>
      <c r="AB630" s="1109">
        <f>AA630-X630</f>
        <v>0</v>
      </c>
      <c r="AC630" s="1127">
        <f>6500*O630</f>
        <v>6500</v>
      </c>
      <c r="AD630" s="1127">
        <f>AC630-(N630*O630)</f>
        <v>2566</v>
      </c>
      <c r="AE630" s="190">
        <f t="shared" si="252"/>
        <v>3934</v>
      </c>
      <c r="AF630" s="190">
        <f t="shared" si="253"/>
        <v>0</v>
      </c>
      <c r="AG630" s="190">
        <f t="shared" si="254"/>
        <v>3934</v>
      </c>
      <c r="AH630" s="190">
        <f t="shared" si="255"/>
        <v>0</v>
      </c>
      <c r="AI630" s="190">
        <f t="shared" si="256"/>
        <v>0</v>
      </c>
      <c r="AJ630" s="190">
        <f t="shared" si="256"/>
        <v>0</v>
      </c>
      <c r="AK630" s="464">
        <f t="shared" si="257"/>
        <v>0</v>
      </c>
      <c r="AL630" s="464">
        <f t="shared" si="258"/>
        <v>0</v>
      </c>
      <c r="AM630" s="464">
        <f t="shared" si="259"/>
        <v>2566</v>
      </c>
      <c r="AN630" s="464">
        <f t="shared" si="260"/>
        <v>0</v>
      </c>
      <c r="AO630" s="464">
        <f t="shared" si="261"/>
        <v>0</v>
      </c>
      <c r="AP630" s="464">
        <f t="shared" si="262"/>
        <v>3934</v>
      </c>
      <c r="AQ630" s="464">
        <f t="shared" si="262"/>
        <v>0</v>
      </c>
      <c r="AR630" s="190"/>
      <c r="AS630" s="464">
        <f t="shared" si="250"/>
        <v>3934</v>
      </c>
    </row>
    <row r="631" spans="1:45" s="191" customFormat="1" ht="24.95" customHeight="1">
      <c r="A631" s="1129"/>
      <c r="B631" s="1129"/>
      <c r="C631" s="1128"/>
      <c r="D631" s="1129"/>
      <c r="E631" s="1129"/>
      <c r="F631" s="1129"/>
      <c r="G631" s="1127"/>
      <c r="H631" s="1127"/>
      <c r="I631" s="1127"/>
      <c r="J631" s="1127"/>
      <c r="K631" s="1127"/>
      <c r="L631" s="1127"/>
      <c r="M631" s="1127"/>
      <c r="N631" s="1127"/>
      <c r="O631" s="1127"/>
      <c r="P631" s="1126"/>
      <c r="Q631" s="1126"/>
      <c r="R631" s="1126"/>
      <c r="S631" s="1126"/>
      <c r="T631" s="1129"/>
      <c r="U631" s="1130"/>
      <c r="V631" s="1127"/>
      <c r="W631" s="1127"/>
      <c r="X631" s="1127"/>
      <c r="Y631" s="1112"/>
      <c r="Z631" s="1112"/>
      <c r="AA631" s="1109"/>
      <c r="AB631" s="1109"/>
      <c r="AC631" s="1127"/>
      <c r="AD631" s="1127"/>
      <c r="AE631" s="190">
        <f t="shared" si="252"/>
        <v>0</v>
      </c>
      <c r="AF631" s="190">
        <f t="shared" si="253"/>
        <v>0</v>
      </c>
      <c r="AG631" s="190">
        <f t="shared" si="254"/>
        <v>0</v>
      </c>
      <c r="AH631" s="190">
        <f t="shared" si="255"/>
        <v>0</v>
      </c>
      <c r="AI631" s="190">
        <f t="shared" si="256"/>
        <v>0</v>
      </c>
      <c r="AJ631" s="190">
        <f t="shared" si="256"/>
        <v>0</v>
      </c>
      <c r="AK631" s="464">
        <f t="shared" si="257"/>
        <v>0</v>
      </c>
      <c r="AL631" s="464">
        <f t="shared" si="258"/>
        <v>0</v>
      </c>
      <c r="AM631" s="464">
        <f t="shared" si="259"/>
        <v>0</v>
      </c>
      <c r="AN631" s="464">
        <f t="shared" si="260"/>
        <v>0</v>
      </c>
      <c r="AO631" s="464">
        <f t="shared" si="261"/>
        <v>0</v>
      </c>
      <c r="AP631" s="464">
        <f t="shared" si="262"/>
        <v>0</v>
      </c>
      <c r="AQ631" s="464">
        <f t="shared" si="262"/>
        <v>0</v>
      </c>
      <c r="AR631" s="190"/>
      <c r="AS631" s="464">
        <f t="shared" si="250"/>
        <v>0</v>
      </c>
    </row>
    <row r="632" spans="1:45" s="191" customFormat="1" ht="24.95" customHeight="1">
      <c r="A632" s="1129"/>
      <c r="B632" s="1129"/>
      <c r="C632" s="1132" t="s">
        <v>839</v>
      </c>
      <c r="D632" s="1129"/>
      <c r="E632" s="1126" t="s">
        <v>1073</v>
      </c>
      <c r="F632" s="1126">
        <v>1</v>
      </c>
      <c r="G632" s="1127">
        <v>2893</v>
      </c>
      <c r="H632" s="1127"/>
      <c r="I632" s="1127"/>
      <c r="J632" s="1127"/>
      <c r="K632" s="1127"/>
      <c r="L632" s="1127"/>
      <c r="M632" s="1127"/>
      <c r="N632" s="1127">
        <f>G632+H633</f>
        <v>2893</v>
      </c>
      <c r="O632" s="1127">
        <v>1</v>
      </c>
      <c r="P632" s="1126"/>
      <c r="Q632" s="1126"/>
      <c r="R632" s="1130">
        <v>0.1</v>
      </c>
      <c r="S632" s="1127">
        <f>N632*R632</f>
        <v>289.3</v>
      </c>
      <c r="T632" s="1129"/>
      <c r="U632" s="1130"/>
      <c r="V632" s="1127"/>
      <c r="W632" s="1127">
        <f>AD632</f>
        <v>3607</v>
      </c>
      <c r="X632" s="1127">
        <f>(N632+V632+Q633+S632)*O632+W632</f>
        <v>6789.3</v>
      </c>
      <c r="Y632" s="1112"/>
      <c r="Z632" s="1112">
        <f>X632+Y632</f>
        <v>6789.3</v>
      </c>
      <c r="AA632" s="1109">
        <f t="shared" si="251"/>
        <v>6789.3</v>
      </c>
      <c r="AB632" s="1109">
        <f>AA632-X632</f>
        <v>0</v>
      </c>
      <c r="AC632" s="1127">
        <f>6500*O632</f>
        <v>6500</v>
      </c>
      <c r="AD632" s="1127">
        <f>AC632-(N632*O632)</f>
        <v>3607</v>
      </c>
      <c r="AE632" s="190">
        <f t="shared" si="252"/>
        <v>2893</v>
      </c>
      <c r="AF632" s="190">
        <f t="shared" si="253"/>
        <v>0</v>
      </c>
      <c r="AG632" s="190">
        <f t="shared" si="254"/>
        <v>2893</v>
      </c>
      <c r="AH632" s="190">
        <f t="shared" si="255"/>
        <v>0</v>
      </c>
      <c r="AI632" s="190">
        <f t="shared" ref="AI632:AJ641" si="263">AG632-AE632</f>
        <v>0</v>
      </c>
      <c r="AJ632" s="190">
        <f t="shared" si="263"/>
        <v>0</v>
      </c>
      <c r="AK632" s="464">
        <f t="shared" si="257"/>
        <v>0</v>
      </c>
      <c r="AL632" s="464">
        <f t="shared" si="258"/>
        <v>0</v>
      </c>
      <c r="AM632" s="464">
        <f t="shared" si="259"/>
        <v>3607</v>
      </c>
      <c r="AN632" s="464">
        <f t="shared" si="260"/>
        <v>289.3</v>
      </c>
      <c r="AO632" s="464">
        <f t="shared" si="261"/>
        <v>0</v>
      </c>
      <c r="AP632" s="464">
        <f t="shared" ref="AP632:AQ641" si="264">AG632</f>
        <v>2893</v>
      </c>
      <c r="AQ632" s="464">
        <f t="shared" si="264"/>
        <v>0</v>
      </c>
      <c r="AR632" s="190"/>
      <c r="AS632" s="464">
        <f t="shared" si="250"/>
        <v>2893</v>
      </c>
    </row>
    <row r="633" spans="1:45" s="191" customFormat="1" ht="24.95" customHeight="1">
      <c r="A633" s="1129"/>
      <c r="B633" s="1129"/>
      <c r="C633" s="1132"/>
      <c r="D633" s="1129"/>
      <c r="E633" s="1126"/>
      <c r="F633" s="1126"/>
      <c r="G633" s="1127"/>
      <c r="H633" s="1127"/>
      <c r="I633" s="1127"/>
      <c r="J633" s="1127"/>
      <c r="K633" s="1127"/>
      <c r="L633" s="1127"/>
      <c r="M633" s="1127"/>
      <c r="N633" s="1127"/>
      <c r="O633" s="1127"/>
      <c r="P633" s="1126"/>
      <c r="Q633" s="1126"/>
      <c r="R633" s="1126"/>
      <c r="S633" s="1131"/>
      <c r="T633" s="1129"/>
      <c r="U633" s="1130"/>
      <c r="V633" s="1127"/>
      <c r="W633" s="1127"/>
      <c r="X633" s="1127"/>
      <c r="Y633" s="1112"/>
      <c r="Z633" s="1112"/>
      <c r="AA633" s="1109"/>
      <c r="AB633" s="1109"/>
      <c r="AC633" s="1127"/>
      <c r="AD633" s="1127"/>
      <c r="AE633" s="190">
        <f t="shared" si="252"/>
        <v>0</v>
      </c>
      <c r="AF633" s="190">
        <f t="shared" si="253"/>
        <v>0</v>
      </c>
      <c r="AG633" s="190">
        <f t="shared" si="254"/>
        <v>0</v>
      </c>
      <c r="AH633" s="190">
        <f t="shared" si="255"/>
        <v>0</v>
      </c>
      <c r="AI633" s="190">
        <f t="shared" si="263"/>
        <v>0</v>
      </c>
      <c r="AJ633" s="190">
        <f t="shared" si="263"/>
        <v>0</v>
      </c>
      <c r="AK633" s="464">
        <f t="shared" si="257"/>
        <v>0</v>
      </c>
      <c r="AL633" s="464">
        <f t="shared" si="258"/>
        <v>0</v>
      </c>
      <c r="AM633" s="464">
        <f t="shared" si="259"/>
        <v>0</v>
      </c>
      <c r="AN633" s="464">
        <f t="shared" si="260"/>
        <v>0</v>
      </c>
      <c r="AO633" s="464">
        <f t="shared" si="261"/>
        <v>0</v>
      </c>
      <c r="AP633" s="464">
        <f t="shared" si="264"/>
        <v>0</v>
      </c>
      <c r="AQ633" s="464">
        <f t="shared" si="264"/>
        <v>0</v>
      </c>
      <c r="AR633" s="190"/>
      <c r="AS633" s="464">
        <f t="shared" si="250"/>
        <v>0</v>
      </c>
    </row>
    <row r="634" spans="1:45" s="191" customFormat="1" ht="24.95" customHeight="1">
      <c r="A634" s="1129"/>
      <c r="B634" s="1129"/>
      <c r="C634" s="1132" t="s">
        <v>839</v>
      </c>
      <c r="D634" s="1129"/>
      <c r="E634" s="1126" t="s">
        <v>840</v>
      </c>
      <c r="F634" s="1126">
        <v>1</v>
      </c>
      <c r="G634" s="1127">
        <v>2893</v>
      </c>
      <c r="H634" s="1127"/>
      <c r="I634" s="1127"/>
      <c r="J634" s="1127"/>
      <c r="K634" s="1127"/>
      <c r="L634" s="1127"/>
      <c r="M634" s="1127"/>
      <c r="N634" s="1127">
        <f>G634+H635</f>
        <v>2893</v>
      </c>
      <c r="O634" s="1127">
        <v>1</v>
      </c>
      <c r="P634" s="1126"/>
      <c r="Q634" s="1126"/>
      <c r="R634" s="1130">
        <v>0.1</v>
      </c>
      <c r="S634" s="1127">
        <f>N634*R634</f>
        <v>289.3</v>
      </c>
      <c r="T634" s="1129"/>
      <c r="U634" s="1130"/>
      <c r="V634" s="1127"/>
      <c r="W634" s="1127">
        <f>AD634</f>
        <v>3607</v>
      </c>
      <c r="X634" s="1127">
        <f>(N634+V634+Q635+S634)*O634+W634</f>
        <v>6789.3</v>
      </c>
      <c r="Y634" s="1112"/>
      <c r="Z634" s="1112">
        <f>X634+Y634</f>
        <v>6789.3</v>
      </c>
      <c r="AA634" s="1109">
        <f t="shared" si="251"/>
        <v>6789.3</v>
      </c>
      <c r="AB634" s="1109">
        <f>AA634-X634</f>
        <v>0</v>
      </c>
      <c r="AC634" s="1127">
        <f>6500*O634</f>
        <v>6500</v>
      </c>
      <c r="AD634" s="1127">
        <f>AC634-(N634*O634)</f>
        <v>3607</v>
      </c>
      <c r="AE634" s="190">
        <f t="shared" si="252"/>
        <v>2893</v>
      </c>
      <c r="AF634" s="190">
        <f t="shared" si="253"/>
        <v>0</v>
      </c>
      <c r="AG634" s="190">
        <f t="shared" si="254"/>
        <v>2893</v>
      </c>
      <c r="AH634" s="190">
        <f t="shared" si="255"/>
        <v>0</v>
      </c>
      <c r="AI634" s="190">
        <f t="shared" si="263"/>
        <v>0</v>
      </c>
      <c r="AJ634" s="190">
        <f t="shared" si="263"/>
        <v>0</v>
      </c>
      <c r="AK634" s="464">
        <f t="shared" si="257"/>
        <v>0</v>
      </c>
      <c r="AL634" s="464">
        <f t="shared" si="258"/>
        <v>0</v>
      </c>
      <c r="AM634" s="464">
        <f t="shared" si="259"/>
        <v>3607</v>
      </c>
      <c r="AN634" s="464">
        <f t="shared" si="260"/>
        <v>289.3</v>
      </c>
      <c r="AO634" s="464">
        <f t="shared" si="261"/>
        <v>0</v>
      </c>
      <c r="AP634" s="464">
        <f t="shared" si="264"/>
        <v>2893</v>
      </c>
      <c r="AQ634" s="464">
        <f t="shared" si="264"/>
        <v>0</v>
      </c>
      <c r="AR634" s="190"/>
      <c r="AS634" s="464">
        <f t="shared" si="250"/>
        <v>2893</v>
      </c>
    </row>
    <row r="635" spans="1:45" s="191" customFormat="1" ht="24.95" customHeight="1">
      <c r="A635" s="1129"/>
      <c r="B635" s="1129"/>
      <c r="C635" s="1132"/>
      <c r="D635" s="1129"/>
      <c r="E635" s="1126"/>
      <c r="F635" s="1126"/>
      <c r="G635" s="1127"/>
      <c r="H635" s="1127"/>
      <c r="I635" s="1127"/>
      <c r="J635" s="1127"/>
      <c r="K635" s="1127"/>
      <c r="L635" s="1127"/>
      <c r="M635" s="1127"/>
      <c r="N635" s="1127"/>
      <c r="O635" s="1127"/>
      <c r="P635" s="1126"/>
      <c r="Q635" s="1126"/>
      <c r="R635" s="1126"/>
      <c r="S635" s="1131"/>
      <c r="T635" s="1129"/>
      <c r="U635" s="1130"/>
      <c r="V635" s="1127"/>
      <c r="W635" s="1127"/>
      <c r="X635" s="1127"/>
      <c r="Y635" s="1112"/>
      <c r="Z635" s="1112"/>
      <c r="AA635" s="1109"/>
      <c r="AB635" s="1109"/>
      <c r="AC635" s="1127"/>
      <c r="AD635" s="1127"/>
      <c r="AE635" s="190">
        <f t="shared" si="252"/>
        <v>0</v>
      </c>
      <c r="AF635" s="190">
        <f t="shared" si="253"/>
        <v>0</v>
      </c>
      <c r="AG635" s="190">
        <f t="shared" si="254"/>
        <v>0</v>
      </c>
      <c r="AH635" s="190">
        <f t="shared" si="255"/>
        <v>0</v>
      </c>
      <c r="AI635" s="190">
        <f t="shared" si="263"/>
        <v>0</v>
      </c>
      <c r="AJ635" s="190">
        <f t="shared" si="263"/>
        <v>0</v>
      </c>
      <c r="AK635" s="464">
        <f t="shared" si="257"/>
        <v>0</v>
      </c>
      <c r="AL635" s="464">
        <f t="shared" si="258"/>
        <v>0</v>
      </c>
      <c r="AM635" s="464">
        <f t="shared" si="259"/>
        <v>0</v>
      </c>
      <c r="AN635" s="464">
        <f t="shared" si="260"/>
        <v>0</v>
      </c>
      <c r="AO635" s="464">
        <f t="shared" si="261"/>
        <v>0</v>
      </c>
      <c r="AP635" s="464">
        <f t="shared" si="264"/>
        <v>0</v>
      </c>
      <c r="AQ635" s="464">
        <f t="shared" si="264"/>
        <v>0</v>
      </c>
      <c r="AR635" s="190"/>
      <c r="AS635" s="464">
        <f t="shared" si="250"/>
        <v>0</v>
      </c>
    </row>
    <row r="636" spans="1:45" s="191" customFormat="1" ht="24.95" customHeight="1">
      <c r="A636" s="1129"/>
      <c r="B636" s="1129"/>
      <c r="C636" s="1132" t="s">
        <v>839</v>
      </c>
      <c r="D636" s="1129"/>
      <c r="E636" s="1126" t="s">
        <v>841</v>
      </c>
      <c r="F636" s="1126">
        <v>1</v>
      </c>
      <c r="G636" s="1127">
        <v>2893</v>
      </c>
      <c r="H636" s="1127"/>
      <c r="I636" s="1127"/>
      <c r="J636" s="1127"/>
      <c r="K636" s="1127"/>
      <c r="L636" s="1127"/>
      <c r="M636" s="1127"/>
      <c r="N636" s="1127">
        <f>G636+H637</f>
        <v>2893</v>
      </c>
      <c r="O636" s="1127">
        <v>1</v>
      </c>
      <c r="P636" s="1126"/>
      <c r="Q636" s="1126"/>
      <c r="R636" s="1130">
        <v>0.1</v>
      </c>
      <c r="S636" s="1127">
        <f>N636*R636</f>
        <v>289.3</v>
      </c>
      <c r="T636" s="1129"/>
      <c r="U636" s="1130"/>
      <c r="V636" s="1127"/>
      <c r="W636" s="1127">
        <f>AD636</f>
        <v>3607</v>
      </c>
      <c r="X636" s="1127">
        <f>(N636+V636+Q637+S636)*O636+W636</f>
        <v>6789.3</v>
      </c>
      <c r="Y636" s="1112"/>
      <c r="Z636" s="1112">
        <f>X636+Y636</f>
        <v>6789.3</v>
      </c>
      <c r="AA636" s="1109">
        <f t="shared" si="251"/>
        <v>6789.3</v>
      </c>
      <c r="AB636" s="1109">
        <f>AA636-X636</f>
        <v>0</v>
      </c>
      <c r="AC636" s="1127">
        <f>6500*O636</f>
        <v>6500</v>
      </c>
      <c r="AD636" s="1127">
        <f>AC636-(N636*O636)</f>
        <v>3607</v>
      </c>
      <c r="AE636" s="190">
        <f t="shared" si="252"/>
        <v>2893</v>
      </c>
      <c r="AF636" s="190">
        <f t="shared" si="253"/>
        <v>0</v>
      </c>
      <c r="AG636" s="190">
        <f t="shared" si="254"/>
        <v>2893</v>
      </c>
      <c r="AH636" s="190">
        <f t="shared" si="255"/>
        <v>0</v>
      </c>
      <c r="AI636" s="190">
        <f t="shared" si="263"/>
        <v>0</v>
      </c>
      <c r="AJ636" s="190">
        <f t="shared" si="263"/>
        <v>0</v>
      </c>
      <c r="AK636" s="464">
        <f t="shared" si="257"/>
        <v>0</v>
      </c>
      <c r="AL636" s="464">
        <f t="shared" si="258"/>
        <v>0</v>
      </c>
      <c r="AM636" s="464">
        <f t="shared" si="259"/>
        <v>3607</v>
      </c>
      <c r="AN636" s="464">
        <f>S636*O636</f>
        <v>289.3</v>
      </c>
      <c r="AO636" s="464">
        <f>S636*P636</f>
        <v>0</v>
      </c>
      <c r="AP636" s="464">
        <f t="shared" si="264"/>
        <v>2893</v>
      </c>
      <c r="AQ636" s="464">
        <f t="shared" si="264"/>
        <v>0</v>
      </c>
      <c r="AR636" s="190"/>
      <c r="AS636" s="464">
        <f t="shared" si="250"/>
        <v>2893</v>
      </c>
    </row>
    <row r="637" spans="1:45" s="191" customFormat="1" ht="24.95" customHeight="1">
      <c r="A637" s="1129"/>
      <c r="B637" s="1129"/>
      <c r="C637" s="1132"/>
      <c r="D637" s="1129"/>
      <c r="E637" s="1126"/>
      <c r="F637" s="1126"/>
      <c r="G637" s="1127"/>
      <c r="H637" s="1127"/>
      <c r="I637" s="1127"/>
      <c r="J637" s="1127"/>
      <c r="K637" s="1127"/>
      <c r="L637" s="1127"/>
      <c r="M637" s="1127"/>
      <c r="N637" s="1127"/>
      <c r="O637" s="1127"/>
      <c r="P637" s="1126"/>
      <c r="Q637" s="1126"/>
      <c r="R637" s="1126"/>
      <c r="S637" s="1131"/>
      <c r="T637" s="1129"/>
      <c r="U637" s="1130"/>
      <c r="V637" s="1127"/>
      <c r="W637" s="1127"/>
      <c r="X637" s="1127"/>
      <c r="Y637" s="1112"/>
      <c r="Z637" s="1112"/>
      <c r="AA637" s="1109"/>
      <c r="AB637" s="1109"/>
      <c r="AC637" s="1127"/>
      <c r="AD637" s="1127"/>
      <c r="AE637" s="190">
        <f t="shared" si="252"/>
        <v>0</v>
      </c>
      <c r="AF637" s="190">
        <f t="shared" si="253"/>
        <v>0</v>
      </c>
      <c r="AG637" s="190">
        <f t="shared" si="254"/>
        <v>0</v>
      </c>
      <c r="AH637" s="190">
        <f t="shared" si="255"/>
        <v>0</v>
      </c>
      <c r="AI637" s="190">
        <f t="shared" si="263"/>
        <v>0</v>
      </c>
      <c r="AJ637" s="190">
        <f t="shared" si="263"/>
        <v>0</v>
      </c>
      <c r="AK637" s="464">
        <f t="shared" si="257"/>
        <v>0</v>
      </c>
      <c r="AL637" s="464">
        <f t="shared" si="258"/>
        <v>0</v>
      </c>
      <c r="AM637" s="464">
        <f t="shared" si="259"/>
        <v>0</v>
      </c>
      <c r="AN637" s="464">
        <f>S637*O637</f>
        <v>0</v>
      </c>
      <c r="AO637" s="464">
        <f>S637*P637</f>
        <v>0</v>
      </c>
      <c r="AP637" s="464">
        <f t="shared" si="264"/>
        <v>0</v>
      </c>
      <c r="AQ637" s="464">
        <f t="shared" si="264"/>
        <v>0</v>
      </c>
      <c r="AR637" s="190"/>
      <c r="AS637" s="464">
        <f t="shared" si="250"/>
        <v>0</v>
      </c>
    </row>
    <row r="638" spans="1:45" s="191" customFormat="1" ht="24.95" customHeight="1">
      <c r="A638" s="1129"/>
      <c r="B638" s="1129"/>
      <c r="C638" s="1132" t="s">
        <v>839</v>
      </c>
      <c r="D638" s="1129"/>
      <c r="E638" s="1126" t="s">
        <v>842</v>
      </c>
      <c r="F638" s="1126">
        <v>1</v>
      </c>
      <c r="G638" s="1127">
        <v>2893</v>
      </c>
      <c r="H638" s="1127"/>
      <c r="I638" s="1127"/>
      <c r="J638" s="1127"/>
      <c r="K638" s="1127"/>
      <c r="L638" s="1127"/>
      <c r="M638" s="1127"/>
      <c r="N638" s="1127">
        <f>G638+H639</f>
        <v>2893</v>
      </c>
      <c r="O638" s="1127">
        <v>1</v>
      </c>
      <c r="P638" s="1126"/>
      <c r="Q638" s="1126"/>
      <c r="R638" s="1130">
        <v>0.1</v>
      </c>
      <c r="S638" s="1127">
        <f>N638*R638</f>
        <v>289.3</v>
      </c>
      <c r="T638" s="1129"/>
      <c r="U638" s="1130"/>
      <c r="V638" s="1127"/>
      <c r="W638" s="1127">
        <f>AD638</f>
        <v>3607</v>
      </c>
      <c r="X638" s="1127">
        <f>(N638+V638+Q639+S638)*O638+W638</f>
        <v>6789.3</v>
      </c>
      <c r="Y638" s="1112"/>
      <c r="Z638" s="1112">
        <f>X638+Y638</f>
        <v>6789.3</v>
      </c>
      <c r="AA638" s="1109">
        <f t="shared" si="251"/>
        <v>6789.3</v>
      </c>
      <c r="AB638" s="1109">
        <f>AA638-X638</f>
        <v>0</v>
      </c>
      <c r="AC638" s="1127">
        <f>6500*O638</f>
        <v>6500</v>
      </c>
      <c r="AD638" s="1127">
        <f>AC638-(N638*O638)</f>
        <v>3607</v>
      </c>
      <c r="AE638" s="190">
        <f>G638*O638</f>
        <v>2893</v>
      </c>
      <c r="AF638" s="190">
        <f>G638*P638</f>
        <v>0</v>
      </c>
      <c r="AG638" s="190">
        <f>N638*O638</f>
        <v>2893</v>
      </c>
      <c r="AH638" s="190">
        <f>N638*P638</f>
        <v>0</v>
      </c>
      <c r="AI638" s="190">
        <f>AG638-AE638</f>
        <v>0</v>
      </c>
      <c r="AJ638" s="190">
        <f>AH638-AF638</f>
        <v>0</v>
      </c>
      <c r="AK638" s="464">
        <f>V638*O638</f>
        <v>0</v>
      </c>
      <c r="AL638" s="464">
        <f>V638*P638</f>
        <v>0</v>
      </c>
      <c r="AM638" s="464">
        <f>W638</f>
        <v>3607</v>
      </c>
      <c r="AN638" s="464">
        <f>S638*O638</f>
        <v>289.3</v>
      </c>
      <c r="AO638" s="464">
        <f>S638*P638</f>
        <v>0</v>
      </c>
      <c r="AP638" s="464">
        <f>AG638</f>
        <v>2893</v>
      </c>
      <c r="AQ638" s="464">
        <f>AH638</f>
        <v>0</v>
      </c>
      <c r="AR638" s="190"/>
      <c r="AS638" s="464">
        <f>AP638+AQ638-AR638</f>
        <v>2893</v>
      </c>
    </row>
    <row r="639" spans="1:45" s="191" customFormat="1" ht="24.95" customHeight="1">
      <c r="A639" s="1129"/>
      <c r="B639" s="1129"/>
      <c r="C639" s="1132"/>
      <c r="D639" s="1129"/>
      <c r="E639" s="1126"/>
      <c r="F639" s="1126"/>
      <c r="G639" s="1127"/>
      <c r="H639" s="1127"/>
      <c r="I639" s="1127"/>
      <c r="J639" s="1127"/>
      <c r="K639" s="1127"/>
      <c r="L639" s="1127"/>
      <c r="M639" s="1127"/>
      <c r="N639" s="1127"/>
      <c r="O639" s="1127"/>
      <c r="P639" s="1126"/>
      <c r="Q639" s="1126"/>
      <c r="R639" s="1126"/>
      <c r="S639" s="1131"/>
      <c r="T639" s="1129"/>
      <c r="U639" s="1130"/>
      <c r="V639" s="1127"/>
      <c r="W639" s="1127"/>
      <c r="X639" s="1127"/>
      <c r="Y639" s="1112"/>
      <c r="Z639" s="1112"/>
      <c r="AA639" s="1109"/>
      <c r="AB639" s="1109"/>
      <c r="AC639" s="1127"/>
      <c r="AD639" s="1127"/>
      <c r="AE639" s="190">
        <f>G639*O639</f>
        <v>0</v>
      </c>
      <c r="AF639" s="190">
        <f>G639*P639</f>
        <v>0</v>
      </c>
      <c r="AG639" s="190">
        <f>N639*O639</f>
        <v>0</v>
      </c>
      <c r="AH639" s="190">
        <f>N639*P639</f>
        <v>0</v>
      </c>
      <c r="AI639" s="190">
        <f>AG639-AE639</f>
        <v>0</v>
      </c>
      <c r="AJ639" s="190">
        <f>AH639-AF639</f>
        <v>0</v>
      </c>
      <c r="AK639" s="464">
        <f>V639*O639</f>
        <v>0</v>
      </c>
      <c r="AL639" s="464">
        <f>V639*P639</f>
        <v>0</v>
      </c>
      <c r="AM639" s="464">
        <f>W639</f>
        <v>0</v>
      </c>
      <c r="AN639" s="464">
        <f>S639*O639</f>
        <v>0</v>
      </c>
      <c r="AO639" s="464">
        <f>S639*P639</f>
        <v>0</v>
      </c>
      <c r="AP639" s="464">
        <f>AG639</f>
        <v>0</v>
      </c>
      <c r="AQ639" s="464">
        <f>AH639</f>
        <v>0</v>
      </c>
      <c r="AR639" s="190"/>
      <c r="AS639" s="464">
        <f>AP639+AQ639-AR639</f>
        <v>0</v>
      </c>
    </row>
    <row r="640" spans="1:45" s="191" customFormat="1" ht="24.95" customHeight="1">
      <c r="A640" s="1129"/>
      <c r="B640" s="1129"/>
      <c r="C640" s="1128" t="s">
        <v>843</v>
      </c>
      <c r="D640" s="1129"/>
      <c r="E640" s="1129" t="s">
        <v>844</v>
      </c>
      <c r="F640" s="1129">
        <v>1</v>
      </c>
      <c r="G640" s="1127">
        <v>2893</v>
      </c>
      <c r="H640" s="1127"/>
      <c r="I640" s="1127"/>
      <c r="J640" s="1127"/>
      <c r="K640" s="1127"/>
      <c r="L640" s="1127"/>
      <c r="M640" s="1127"/>
      <c r="N640" s="1127">
        <f>G640+H641</f>
        <v>2893</v>
      </c>
      <c r="O640" s="1127">
        <v>1</v>
      </c>
      <c r="P640" s="1126"/>
      <c r="Q640" s="1126"/>
      <c r="R640" s="1126"/>
      <c r="S640" s="1126"/>
      <c r="T640" s="1129"/>
      <c r="U640" s="1130"/>
      <c r="V640" s="1127"/>
      <c r="W640" s="1127">
        <f>AD640</f>
        <v>3607</v>
      </c>
      <c r="X640" s="1127">
        <f>(N640+V640+Q641+S640)*O640+W640</f>
        <v>6500</v>
      </c>
      <c r="Y640" s="1112"/>
      <c r="Z640" s="1112">
        <f>X640+Y640</f>
        <v>6500</v>
      </c>
      <c r="AA640" s="1109">
        <f t="shared" si="251"/>
        <v>6500</v>
      </c>
      <c r="AB640" s="1109">
        <f>AA640-X640</f>
        <v>0</v>
      </c>
      <c r="AC640" s="1127">
        <f>6500*O640</f>
        <v>6500</v>
      </c>
      <c r="AD640" s="1127">
        <f>AC640-(N640*O640)</f>
        <v>3607</v>
      </c>
      <c r="AE640" s="190">
        <f t="shared" si="252"/>
        <v>2893</v>
      </c>
      <c r="AF640" s="190">
        <f t="shared" si="253"/>
        <v>0</v>
      </c>
      <c r="AG640" s="190">
        <f t="shared" si="254"/>
        <v>2893</v>
      </c>
      <c r="AH640" s="190">
        <f t="shared" si="255"/>
        <v>0</v>
      </c>
      <c r="AI640" s="190">
        <f t="shared" si="263"/>
        <v>0</v>
      </c>
      <c r="AJ640" s="190">
        <f t="shared" si="263"/>
        <v>0</v>
      </c>
      <c r="AK640" s="464">
        <f t="shared" si="257"/>
        <v>0</v>
      </c>
      <c r="AL640" s="464">
        <f t="shared" si="258"/>
        <v>0</v>
      </c>
      <c r="AM640" s="464">
        <f t="shared" si="259"/>
        <v>3607</v>
      </c>
      <c r="AN640" s="464">
        <f t="shared" si="260"/>
        <v>0</v>
      </c>
      <c r="AO640" s="464">
        <f t="shared" si="261"/>
        <v>0</v>
      </c>
      <c r="AP640" s="464">
        <f t="shared" si="264"/>
        <v>2893</v>
      </c>
      <c r="AQ640" s="464">
        <f t="shared" si="264"/>
        <v>0</v>
      </c>
      <c r="AR640" s="190"/>
      <c r="AS640" s="464">
        <f t="shared" si="250"/>
        <v>2893</v>
      </c>
    </row>
    <row r="641" spans="1:45" s="191" customFormat="1" ht="24.95" customHeight="1">
      <c r="A641" s="1129"/>
      <c r="B641" s="1129"/>
      <c r="C641" s="1128"/>
      <c r="D641" s="1129"/>
      <c r="E641" s="1129"/>
      <c r="F641" s="1129"/>
      <c r="G641" s="1127"/>
      <c r="H641" s="1127"/>
      <c r="I641" s="1127"/>
      <c r="J641" s="1127"/>
      <c r="K641" s="1127"/>
      <c r="L641" s="1127"/>
      <c r="M641" s="1127"/>
      <c r="N641" s="1127"/>
      <c r="O641" s="1127"/>
      <c r="P641" s="1126"/>
      <c r="Q641" s="1126"/>
      <c r="R641" s="1126"/>
      <c r="S641" s="1126"/>
      <c r="T641" s="1129"/>
      <c r="U641" s="1130"/>
      <c r="V641" s="1127"/>
      <c r="W641" s="1127"/>
      <c r="X641" s="1127"/>
      <c r="Y641" s="1112"/>
      <c r="Z641" s="1112"/>
      <c r="AA641" s="1109"/>
      <c r="AB641" s="1109"/>
      <c r="AC641" s="1127"/>
      <c r="AD641" s="1127"/>
      <c r="AE641" s="190">
        <f t="shared" si="252"/>
        <v>0</v>
      </c>
      <c r="AF641" s="190">
        <f t="shared" si="253"/>
        <v>0</v>
      </c>
      <c r="AG641" s="190">
        <f t="shared" si="254"/>
        <v>0</v>
      </c>
      <c r="AH641" s="190">
        <f t="shared" si="255"/>
        <v>0</v>
      </c>
      <c r="AI641" s="190">
        <f t="shared" si="263"/>
        <v>0</v>
      </c>
      <c r="AJ641" s="190">
        <f t="shared" si="263"/>
        <v>0</v>
      </c>
      <c r="AK641" s="464">
        <f t="shared" si="257"/>
        <v>0</v>
      </c>
      <c r="AL641" s="464">
        <f t="shared" si="258"/>
        <v>0</v>
      </c>
      <c r="AM641" s="464">
        <f t="shared" si="259"/>
        <v>0</v>
      </c>
      <c r="AN641" s="464">
        <f t="shared" si="260"/>
        <v>0</v>
      </c>
      <c r="AO641" s="464">
        <f t="shared" si="261"/>
        <v>0</v>
      </c>
      <c r="AP641" s="464">
        <f t="shared" si="264"/>
        <v>0</v>
      </c>
      <c r="AQ641" s="464">
        <f t="shared" si="264"/>
        <v>0</v>
      </c>
      <c r="AR641" s="190"/>
      <c r="AS641" s="464">
        <f t="shared" si="250"/>
        <v>0</v>
      </c>
    </row>
    <row r="642" spans="1:45" s="191" customFormat="1" ht="24.95" customHeight="1">
      <c r="A642" s="1129"/>
      <c r="B642" s="1129"/>
      <c r="C642" s="1132" t="s">
        <v>845</v>
      </c>
      <c r="D642" s="1129"/>
      <c r="E642" s="1126" t="s">
        <v>846</v>
      </c>
      <c r="F642" s="1126">
        <v>4</v>
      </c>
      <c r="G642" s="1127">
        <v>3674</v>
      </c>
      <c r="H642" s="1127"/>
      <c r="I642" s="1127"/>
      <c r="J642" s="1127"/>
      <c r="K642" s="1127"/>
      <c r="L642" s="1127"/>
      <c r="M642" s="1127"/>
      <c r="N642" s="1127">
        <f>G642+H643</f>
        <v>3674</v>
      </c>
      <c r="O642" s="1127">
        <v>1</v>
      </c>
      <c r="P642" s="1126"/>
      <c r="Q642" s="1126"/>
      <c r="R642" s="1126"/>
      <c r="S642" s="1126"/>
      <c r="T642" s="1129"/>
      <c r="U642" s="1130"/>
      <c r="V642" s="1127"/>
      <c r="W642" s="1127">
        <f>AD642</f>
        <v>2826</v>
      </c>
      <c r="X642" s="1127">
        <f>(N642+V642+Q643+S642)*O642+W642</f>
        <v>6500</v>
      </c>
      <c r="Y642" s="1112"/>
      <c r="Z642" s="1112">
        <f>X642+Y642</f>
        <v>6500</v>
      </c>
      <c r="AA642" s="1109">
        <f t="shared" si="251"/>
        <v>6500</v>
      </c>
      <c r="AB642" s="1109">
        <f>AA642-X642</f>
        <v>0</v>
      </c>
      <c r="AC642" s="1127">
        <f>6500*O642</f>
        <v>6500</v>
      </c>
      <c r="AD642" s="1127">
        <f>AC642-(N642*O642)</f>
        <v>2826</v>
      </c>
      <c r="AE642" s="190">
        <f>G642*O642</f>
        <v>3674</v>
      </c>
      <c r="AF642" s="190">
        <f>G642*P642</f>
        <v>0</v>
      </c>
      <c r="AG642" s="190">
        <f>N642*O642</f>
        <v>3674</v>
      </c>
      <c r="AH642" s="190">
        <f>N642*P642</f>
        <v>0</v>
      </c>
      <c r="AI642" s="190">
        <f>AG642-AE642</f>
        <v>0</v>
      </c>
      <c r="AJ642" s="190">
        <f>AH642-AF642</f>
        <v>0</v>
      </c>
      <c r="AK642" s="464">
        <f>V642*O642</f>
        <v>0</v>
      </c>
      <c r="AL642" s="464">
        <f>V642*P642</f>
        <v>0</v>
      </c>
      <c r="AM642" s="464">
        <f>W642</f>
        <v>2826</v>
      </c>
      <c r="AN642" s="464">
        <f>S642*O642</f>
        <v>0</v>
      </c>
      <c r="AO642" s="464">
        <f>S642*P642</f>
        <v>0</v>
      </c>
      <c r="AP642" s="464">
        <f>AG642</f>
        <v>3674</v>
      </c>
      <c r="AQ642" s="464">
        <f>AH642</f>
        <v>0</v>
      </c>
      <c r="AR642" s="190"/>
      <c r="AS642" s="464">
        <f>AP642+AQ642-AR642</f>
        <v>3674</v>
      </c>
    </row>
    <row r="643" spans="1:45" s="191" customFormat="1" ht="24.95" customHeight="1">
      <c r="A643" s="1129"/>
      <c r="B643" s="1129"/>
      <c r="C643" s="1132"/>
      <c r="D643" s="1129"/>
      <c r="E643" s="1126"/>
      <c r="F643" s="1126"/>
      <c r="G643" s="1127"/>
      <c r="H643" s="1127"/>
      <c r="I643" s="1127"/>
      <c r="J643" s="1127"/>
      <c r="K643" s="1127"/>
      <c r="L643" s="1127"/>
      <c r="M643" s="1127"/>
      <c r="N643" s="1127"/>
      <c r="O643" s="1127"/>
      <c r="P643" s="1126"/>
      <c r="Q643" s="1126"/>
      <c r="R643" s="1126"/>
      <c r="S643" s="1126"/>
      <c r="T643" s="1129"/>
      <c r="U643" s="1130"/>
      <c r="V643" s="1127"/>
      <c r="W643" s="1127"/>
      <c r="X643" s="1127"/>
      <c r="Y643" s="1112"/>
      <c r="Z643" s="1112"/>
      <c r="AA643" s="1109"/>
      <c r="AB643" s="1109"/>
      <c r="AC643" s="1127"/>
      <c r="AD643" s="1127"/>
      <c r="AE643" s="190">
        <f>G643*O643</f>
        <v>0</v>
      </c>
      <c r="AF643" s="190">
        <f>G643*P643</f>
        <v>0</v>
      </c>
      <c r="AG643" s="190">
        <f>N643*O643</f>
        <v>0</v>
      </c>
      <c r="AH643" s="190">
        <f>N643*P643</f>
        <v>0</v>
      </c>
      <c r="AI643" s="190">
        <f>AG643-AE643</f>
        <v>0</v>
      </c>
      <c r="AJ643" s="190">
        <f>AH643-AF643</f>
        <v>0</v>
      </c>
      <c r="AK643" s="464">
        <f>V643*O643</f>
        <v>0</v>
      </c>
      <c r="AL643" s="464">
        <f>V643*P643</f>
        <v>0</v>
      </c>
      <c r="AM643" s="464">
        <f>W643</f>
        <v>0</v>
      </c>
      <c r="AN643" s="464">
        <f>S643*O643</f>
        <v>0</v>
      </c>
      <c r="AO643" s="464">
        <f>S643*P643</f>
        <v>0</v>
      </c>
      <c r="AP643" s="464">
        <f>AG643</f>
        <v>0</v>
      </c>
      <c r="AQ643" s="464">
        <f>AH643</f>
        <v>0</v>
      </c>
      <c r="AR643" s="190"/>
      <c r="AS643" s="464">
        <f>AP643+AQ643-AR643</f>
        <v>0</v>
      </c>
    </row>
    <row r="644" spans="1:45" s="191" customFormat="1" ht="24.95" customHeight="1">
      <c r="A644" s="1129"/>
      <c r="B644" s="1129"/>
      <c r="C644" s="1128" t="s">
        <v>847</v>
      </c>
      <c r="D644" s="1129"/>
      <c r="E644" s="1129" t="s">
        <v>848</v>
      </c>
      <c r="F644" s="1129">
        <v>3</v>
      </c>
      <c r="G644" s="1127">
        <v>3414</v>
      </c>
      <c r="H644" s="1127"/>
      <c r="I644" s="1127"/>
      <c r="J644" s="1127"/>
      <c r="K644" s="1127"/>
      <c r="L644" s="1127"/>
      <c r="M644" s="1127"/>
      <c r="N644" s="1127">
        <f>G644+H645</f>
        <v>3414</v>
      </c>
      <c r="O644" s="1127">
        <v>1</v>
      </c>
      <c r="P644" s="1126"/>
      <c r="Q644" s="1126"/>
      <c r="R644" s="1126"/>
      <c r="S644" s="1126"/>
      <c r="T644" s="1129"/>
      <c r="U644" s="1130"/>
      <c r="V644" s="1127"/>
      <c r="W644" s="1127">
        <f>AD644</f>
        <v>3086</v>
      </c>
      <c r="X644" s="1127">
        <f>(N644+V644+Q645+S644)*O644+W644</f>
        <v>6500</v>
      </c>
      <c r="Y644" s="1112"/>
      <c r="Z644" s="1112">
        <f>X644+Y644</f>
        <v>6500</v>
      </c>
      <c r="AA644" s="1109">
        <f t="shared" si="251"/>
        <v>6500</v>
      </c>
      <c r="AB644" s="1109">
        <f>AA644-X644</f>
        <v>0</v>
      </c>
      <c r="AC644" s="1127">
        <f>6500*O644</f>
        <v>6500</v>
      </c>
      <c r="AD644" s="1127">
        <f>AC644-(N644*O644)</f>
        <v>3086</v>
      </c>
      <c r="AE644" s="190">
        <f t="shared" ref="AE644:AE661" si="265">G644*O644</f>
        <v>3414</v>
      </c>
      <c r="AF644" s="190">
        <f t="shared" ref="AF644:AF661" si="266">G644*P644</f>
        <v>0</v>
      </c>
      <c r="AG644" s="190">
        <f t="shared" ref="AG644:AG661" si="267">N644*O644</f>
        <v>3414</v>
      </c>
      <c r="AH644" s="190">
        <f t="shared" ref="AH644:AH661" si="268">N644*P644</f>
        <v>0</v>
      </c>
      <c r="AI644" s="190">
        <f t="shared" ref="AI644:AJ661" si="269">AG644-AE644</f>
        <v>0</v>
      </c>
      <c r="AJ644" s="190">
        <f t="shared" si="269"/>
        <v>0</v>
      </c>
      <c r="AK644" s="464">
        <f t="shared" ref="AK644:AK661" si="270">V644*O644</f>
        <v>0</v>
      </c>
      <c r="AL644" s="464">
        <f t="shared" ref="AL644:AL661" si="271">V644*P644</f>
        <v>0</v>
      </c>
      <c r="AM644" s="464">
        <f t="shared" ref="AM644:AM661" si="272">W644</f>
        <v>3086</v>
      </c>
      <c r="AN644" s="464">
        <f t="shared" si="260"/>
        <v>0</v>
      </c>
      <c r="AO644" s="464">
        <f t="shared" si="261"/>
        <v>0</v>
      </c>
      <c r="AP644" s="464">
        <f t="shared" ref="AP644:AQ661" si="273">AG644</f>
        <v>3414</v>
      </c>
      <c r="AQ644" s="464">
        <f t="shared" si="273"/>
        <v>0</v>
      </c>
      <c r="AR644" s="190"/>
      <c r="AS644" s="464">
        <f t="shared" ref="AS644:AS662" si="274">AP644+AQ644-AR644</f>
        <v>3414</v>
      </c>
    </row>
    <row r="645" spans="1:45" s="191" customFormat="1" ht="24.95" customHeight="1">
      <c r="A645" s="1129"/>
      <c r="B645" s="1129"/>
      <c r="C645" s="1128"/>
      <c r="D645" s="1129"/>
      <c r="E645" s="1129"/>
      <c r="F645" s="1129"/>
      <c r="G645" s="1127"/>
      <c r="H645" s="1127"/>
      <c r="I645" s="1127"/>
      <c r="J645" s="1127"/>
      <c r="K645" s="1127"/>
      <c r="L645" s="1127"/>
      <c r="M645" s="1127"/>
      <c r="N645" s="1127"/>
      <c r="O645" s="1127"/>
      <c r="P645" s="1126"/>
      <c r="Q645" s="1126"/>
      <c r="R645" s="1126"/>
      <c r="S645" s="1126"/>
      <c r="T645" s="1129"/>
      <c r="U645" s="1130"/>
      <c r="V645" s="1127"/>
      <c r="W645" s="1127"/>
      <c r="X645" s="1127"/>
      <c r="Y645" s="1112"/>
      <c r="Z645" s="1112"/>
      <c r="AA645" s="1109"/>
      <c r="AB645" s="1109"/>
      <c r="AC645" s="1127"/>
      <c r="AD645" s="1127"/>
      <c r="AE645" s="190">
        <f t="shared" si="265"/>
        <v>0</v>
      </c>
      <c r="AF645" s="190">
        <f t="shared" si="266"/>
        <v>0</v>
      </c>
      <c r="AG645" s="190">
        <f t="shared" si="267"/>
        <v>0</v>
      </c>
      <c r="AH645" s="190">
        <f t="shared" si="268"/>
        <v>0</v>
      </c>
      <c r="AI645" s="190">
        <f t="shared" si="269"/>
        <v>0</v>
      </c>
      <c r="AJ645" s="190">
        <f t="shared" si="269"/>
        <v>0</v>
      </c>
      <c r="AK645" s="464">
        <f t="shared" si="270"/>
        <v>0</v>
      </c>
      <c r="AL645" s="464">
        <f t="shared" si="271"/>
        <v>0</v>
      </c>
      <c r="AM645" s="464">
        <f t="shared" si="272"/>
        <v>0</v>
      </c>
      <c r="AN645" s="464">
        <f t="shared" si="260"/>
        <v>0</v>
      </c>
      <c r="AO645" s="464">
        <f t="shared" si="261"/>
        <v>0</v>
      </c>
      <c r="AP645" s="464">
        <f t="shared" si="273"/>
        <v>0</v>
      </c>
      <c r="AQ645" s="464">
        <f t="shared" si="273"/>
        <v>0</v>
      </c>
      <c r="AR645" s="190"/>
      <c r="AS645" s="464">
        <f t="shared" si="274"/>
        <v>0</v>
      </c>
    </row>
    <row r="646" spans="1:45" s="191" customFormat="1" ht="24.95" customHeight="1">
      <c r="A646" s="1129"/>
      <c r="B646" s="1129"/>
      <c r="C646" s="1128" t="s">
        <v>847</v>
      </c>
      <c r="D646" s="1129"/>
      <c r="E646" s="1129" t="s">
        <v>849</v>
      </c>
      <c r="F646" s="1129">
        <v>3</v>
      </c>
      <c r="G646" s="1127">
        <v>3414</v>
      </c>
      <c r="H646" s="1127"/>
      <c r="I646" s="1127"/>
      <c r="J646" s="1127"/>
      <c r="K646" s="1127"/>
      <c r="L646" s="1127"/>
      <c r="M646" s="1127"/>
      <c r="N646" s="1127">
        <f>G646+H647</f>
        <v>3414</v>
      </c>
      <c r="O646" s="1127">
        <v>1</v>
      </c>
      <c r="P646" s="1126"/>
      <c r="Q646" s="1126"/>
      <c r="R646" s="1126"/>
      <c r="S646" s="1126"/>
      <c r="T646" s="1129"/>
      <c r="U646" s="1130"/>
      <c r="V646" s="1127"/>
      <c r="W646" s="1127">
        <f>AD646</f>
        <v>3086</v>
      </c>
      <c r="X646" s="1127">
        <f>(N646+V646+Q647+S646)*O646+W646</f>
        <v>6500</v>
      </c>
      <c r="Y646" s="1112"/>
      <c r="Z646" s="1112">
        <f>X646+Y646</f>
        <v>6500</v>
      </c>
      <c r="AA646" s="1109">
        <f t="shared" si="251"/>
        <v>6500</v>
      </c>
      <c r="AB646" s="1109">
        <f>AA646-X646</f>
        <v>0</v>
      </c>
      <c r="AC646" s="1127">
        <f>6500*O646</f>
        <v>6500</v>
      </c>
      <c r="AD646" s="1127">
        <f>AC646-(N646*O646)</f>
        <v>3086</v>
      </c>
      <c r="AE646" s="190">
        <f t="shared" si="265"/>
        <v>3414</v>
      </c>
      <c r="AF646" s="190">
        <f t="shared" si="266"/>
        <v>0</v>
      </c>
      <c r="AG646" s="190">
        <f t="shared" si="267"/>
        <v>3414</v>
      </c>
      <c r="AH646" s="190">
        <f t="shared" si="268"/>
        <v>0</v>
      </c>
      <c r="AI646" s="190">
        <f t="shared" si="269"/>
        <v>0</v>
      </c>
      <c r="AJ646" s="190">
        <f t="shared" si="269"/>
        <v>0</v>
      </c>
      <c r="AK646" s="464">
        <f t="shared" si="270"/>
        <v>0</v>
      </c>
      <c r="AL646" s="464">
        <f t="shared" si="271"/>
        <v>0</v>
      </c>
      <c r="AM646" s="464">
        <f t="shared" si="272"/>
        <v>3086</v>
      </c>
      <c r="AN646" s="464">
        <f t="shared" si="260"/>
        <v>0</v>
      </c>
      <c r="AO646" s="464">
        <f t="shared" si="261"/>
        <v>0</v>
      </c>
      <c r="AP646" s="464">
        <f t="shared" si="273"/>
        <v>3414</v>
      </c>
      <c r="AQ646" s="464">
        <f t="shared" si="273"/>
        <v>0</v>
      </c>
      <c r="AR646" s="190"/>
      <c r="AS646" s="464">
        <f t="shared" si="274"/>
        <v>3414</v>
      </c>
    </row>
    <row r="647" spans="1:45" s="191" customFormat="1" ht="24.95" customHeight="1">
      <c r="A647" s="1129"/>
      <c r="B647" s="1129"/>
      <c r="C647" s="1128"/>
      <c r="D647" s="1129"/>
      <c r="E647" s="1129"/>
      <c r="F647" s="1129"/>
      <c r="G647" s="1127"/>
      <c r="H647" s="1127"/>
      <c r="I647" s="1127"/>
      <c r="J647" s="1127"/>
      <c r="K647" s="1127"/>
      <c r="L647" s="1127"/>
      <c r="M647" s="1127"/>
      <c r="N647" s="1127"/>
      <c r="O647" s="1127"/>
      <c r="P647" s="1126"/>
      <c r="Q647" s="1126"/>
      <c r="R647" s="1126"/>
      <c r="S647" s="1126"/>
      <c r="T647" s="1129"/>
      <c r="U647" s="1130"/>
      <c r="V647" s="1127"/>
      <c r="W647" s="1127"/>
      <c r="X647" s="1127"/>
      <c r="Y647" s="1112"/>
      <c r="Z647" s="1112"/>
      <c r="AA647" s="1109"/>
      <c r="AB647" s="1109"/>
      <c r="AC647" s="1127"/>
      <c r="AD647" s="1127"/>
      <c r="AE647" s="190">
        <f t="shared" si="265"/>
        <v>0</v>
      </c>
      <c r="AF647" s="190">
        <f t="shared" si="266"/>
        <v>0</v>
      </c>
      <c r="AG647" s="190">
        <f t="shared" si="267"/>
        <v>0</v>
      </c>
      <c r="AH647" s="190">
        <f t="shared" si="268"/>
        <v>0</v>
      </c>
      <c r="AI647" s="190">
        <f t="shared" si="269"/>
        <v>0</v>
      </c>
      <c r="AJ647" s="190">
        <f t="shared" si="269"/>
        <v>0</v>
      </c>
      <c r="AK647" s="464">
        <f t="shared" si="270"/>
        <v>0</v>
      </c>
      <c r="AL647" s="464">
        <f t="shared" si="271"/>
        <v>0</v>
      </c>
      <c r="AM647" s="464">
        <f t="shared" si="272"/>
        <v>0</v>
      </c>
      <c r="AN647" s="464">
        <f t="shared" si="260"/>
        <v>0</v>
      </c>
      <c r="AO647" s="464">
        <f t="shared" si="261"/>
        <v>0</v>
      </c>
      <c r="AP647" s="464">
        <f t="shared" si="273"/>
        <v>0</v>
      </c>
      <c r="AQ647" s="464">
        <f t="shared" si="273"/>
        <v>0</v>
      </c>
      <c r="AR647" s="190"/>
      <c r="AS647" s="464">
        <f t="shared" si="274"/>
        <v>0</v>
      </c>
    </row>
    <row r="648" spans="1:45" s="191" customFormat="1" ht="24.95" customHeight="1">
      <c r="A648" s="1129"/>
      <c r="B648" s="1129"/>
      <c r="C648" s="1128" t="s">
        <v>847</v>
      </c>
      <c r="D648" s="1129"/>
      <c r="E648" s="1129" t="s">
        <v>850</v>
      </c>
      <c r="F648" s="1129">
        <v>3</v>
      </c>
      <c r="G648" s="1127">
        <v>3414</v>
      </c>
      <c r="H648" s="1127"/>
      <c r="I648" s="1127"/>
      <c r="J648" s="1127"/>
      <c r="K648" s="1127"/>
      <c r="L648" s="1127"/>
      <c r="M648" s="1127"/>
      <c r="N648" s="1127">
        <f>G648+H649</f>
        <v>3414</v>
      </c>
      <c r="O648" s="1127">
        <v>1</v>
      </c>
      <c r="P648" s="1126"/>
      <c r="Q648" s="1126"/>
      <c r="R648" s="1126"/>
      <c r="S648" s="1126"/>
      <c r="T648" s="1129"/>
      <c r="U648" s="1130"/>
      <c r="V648" s="1127"/>
      <c r="W648" s="1127">
        <f>AD648</f>
        <v>3086</v>
      </c>
      <c r="X648" s="1127">
        <f>(N648+V648+Q649+S648)*O648+W648</f>
        <v>6500</v>
      </c>
      <c r="Y648" s="1112"/>
      <c r="Z648" s="1112">
        <f>X648+Y648</f>
        <v>6500</v>
      </c>
      <c r="AA648" s="1109">
        <f t="shared" si="251"/>
        <v>6500</v>
      </c>
      <c r="AB648" s="1109">
        <f>AA648-X648</f>
        <v>0</v>
      </c>
      <c r="AC648" s="1127">
        <f>6500*O648</f>
        <v>6500</v>
      </c>
      <c r="AD648" s="1127">
        <f>AC648-(N648*O648)</f>
        <v>3086</v>
      </c>
      <c r="AE648" s="190">
        <f t="shared" si="265"/>
        <v>3414</v>
      </c>
      <c r="AF648" s="190">
        <f t="shared" si="266"/>
        <v>0</v>
      </c>
      <c r="AG648" s="190">
        <f t="shared" si="267"/>
        <v>3414</v>
      </c>
      <c r="AH648" s="190">
        <f t="shared" si="268"/>
        <v>0</v>
      </c>
      <c r="AI648" s="190">
        <f t="shared" si="269"/>
        <v>0</v>
      </c>
      <c r="AJ648" s="190">
        <f t="shared" si="269"/>
        <v>0</v>
      </c>
      <c r="AK648" s="464">
        <f t="shared" si="270"/>
        <v>0</v>
      </c>
      <c r="AL648" s="464">
        <f t="shared" si="271"/>
        <v>0</v>
      </c>
      <c r="AM648" s="464">
        <f t="shared" si="272"/>
        <v>3086</v>
      </c>
      <c r="AN648" s="464">
        <f t="shared" si="260"/>
        <v>0</v>
      </c>
      <c r="AO648" s="464">
        <f t="shared" si="261"/>
        <v>0</v>
      </c>
      <c r="AP648" s="464">
        <f t="shared" si="273"/>
        <v>3414</v>
      </c>
      <c r="AQ648" s="464">
        <f t="shared" si="273"/>
        <v>0</v>
      </c>
      <c r="AR648" s="190"/>
      <c r="AS648" s="464">
        <f t="shared" si="274"/>
        <v>3414</v>
      </c>
    </row>
    <row r="649" spans="1:45" s="191" customFormat="1" ht="24.95" customHeight="1">
      <c r="A649" s="1129"/>
      <c r="B649" s="1129"/>
      <c r="C649" s="1128"/>
      <c r="D649" s="1129"/>
      <c r="E649" s="1129"/>
      <c r="F649" s="1129"/>
      <c r="G649" s="1127"/>
      <c r="H649" s="1127"/>
      <c r="I649" s="1127"/>
      <c r="J649" s="1127"/>
      <c r="K649" s="1127"/>
      <c r="L649" s="1127"/>
      <c r="M649" s="1127"/>
      <c r="N649" s="1127"/>
      <c r="O649" s="1127"/>
      <c r="P649" s="1126"/>
      <c r="Q649" s="1126"/>
      <c r="R649" s="1126"/>
      <c r="S649" s="1126"/>
      <c r="T649" s="1129"/>
      <c r="U649" s="1130"/>
      <c r="V649" s="1127"/>
      <c r="W649" s="1127"/>
      <c r="X649" s="1127"/>
      <c r="Y649" s="1112"/>
      <c r="Z649" s="1112"/>
      <c r="AA649" s="1109"/>
      <c r="AB649" s="1109"/>
      <c r="AC649" s="1127"/>
      <c r="AD649" s="1127"/>
      <c r="AE649" s="190">
        <f t="shared" si="265"/>
        <v>0</v>
      </c>
      <c r="AF649" s="190">
        <f t="shared" si="266"/>
        <v>0</v>
      </c>
      <c r="AG649" s="190">
        <f t="shared" si="267"/>
        <v>0</v>
      </c>
      <c r="AH649" s="190">
        <f t="shared" si="268"/>
        <v>0</v>
      </c>
      <c r="AI649" s="190">
        <f t="shared" si="269"/>
        <v>0</v>
      </c>
      <c r="AJ649" s="190">
        <f t="shared" si="269"/>
        <v>0</v>
      </c>
      <c r="AK649" s="464">
        <f t="shared" si="270"/>
        <v>0</v>
      </c>
      <c r="AL649" s="464">
        <f t="shared" si="271"/>
        <v>0</v>
      </c>
      <c r="AM649" s="464">
        <f t="shared" si="272"/>
        <v>0</v>
      </c>
      <c r="AN649" s="464">
        <f t="shared" si="260"/>
        <v>0</v>
      </c>
      <c r="AO649" s="464">
        <f t="shared" si="261"/>
        <v>0</v>
      </c>
      <c r="AP649" s="464">
        <f t="shared" si="273"/>
        <v>0</v>
      </c>
      <c r="AQ649" s="464">
        <f t="shared" si="273"/>
        <v>0</v>
      </c>
      <c r="AR649" s="190"/>
      <c r="AS649" s="464">
        <f t="shared" si="274"/>
        <v>0</v>
      </c>
    </row>
    <row r="650" spans="1:45" s="191" customFormat="1" ht="24.95" customHeight="1">
      <c r="A650" s="1129"/>
      <c r="B650" s="1129"/>
      <c r="C650" s="1128" t="s">
        <v>847</v>
      </c>
      <c r="D650" s="1129"/>
      <c r="E650" s="1129" t="s">
        <v>1074</v>
      </c>
      <c r="F650" s="1129">
        <v>3</v>
      </c>
      <c r="G650" s="1127">
        <v>3414</v>
      </c>
      <c r="H650" s="1127"/>
      <c r="I650" s="1127"/>
      <c r="J650" s="1127"/>
      <c r="K650" s="1127"/>
      <c r="L650" s="1127"/>
      <c r="M650" s="1127"/>
      <c r="N650" s="1127">
        <f>G650+H651</f>
        <v>3414</v>
      </c>
      <c r="O650" s="1127">
        <v>1</v>
      </c>
      <c r="P650" s="1126"/>
      <c r="Q650" s="1126"/>
      <c r="R650" s="1126"/>
      <c r="S650" s="1126"/>
      <c r="T650" s="1129"/>
      <c r="U650" s="1130"/>
      <c r="V650" s="1127"/>
      <c r="W650" s="1127">
        <f>AD650</f>
        <v>3086</v>
      </c>
      <c r="X650" s="1127">
        <f>(N650+V650+Q651+S650)*O650+W650</f>
        <v>6500</v>
      </c>
      <c r="Y650" s="1112"/>
      <c r="Z650" s="1112">
        <f>X650+Y650</f>
        <v>6500</v>
      </c>
      <c r="AA650" s="1109">
        <f t="shared" si="251"/>
        <v>6500</v>
      </c>
      <c r="AB650" s="1109">
        <f>AA650-X650</f>
        <v>0</v>
      </c>
      <c r="AC650" s="1127">
        <f>6500*O650</f>
        <v>6500</v>
      </c>
      <c r="AD650" s="1127">
        <f>AC650-(N650*O650)</f>
        <v>3086</v>
      </c>
      <c r="AE650" s="190">
        <f t="shared" si="265"/>
        <v>3414</v>
      </c>
      <c r="AF650" s="190">
        <f t="shared" si="266"/>
        <v>0</v>
      </c>
      <c r="AG650" s="190">
        <f t="shared" si="267"/>
        <v>3414</v>
      </c>
      <c r="AH650" s="190">
        <f t="shared" si="268"/>
        <v>0</v>
      </c>
      <c r="AI650" s="190">
        <f t="shared" si="269"/>
        <v>0</v>
      </c>
      <c r="AJ650" s="190">
        <f t="shared" si="269"/>
        <v>0</v>
      </c>
      <c r="AK650" s="464">
        <f t="shared" si="270"/>
        <v>0</v>
      </c>
      <c r="AL650" s="464">
        <f t="shared" si="271"/>
        <v>0</v>
      </c>
      <c r="AM650" s="464">
        <f t="shared" si="272"/>
        <v>3086</v>
      </c>
      <c r="AN650" s="464">
        <f t="shared" si="260"/>
        <v>0</v>
      </c>
      <c r="AO650" s="464">
        <f t="shared" si="261"/>
        <v>0</v>
      </c>
      <c r="AP650" s="464">
        <f t="shared" si="273"/>
        <v>3414</v>
      </c>
      <c r="AQ650" s="464">
        <f t="shared" si="273"/>
        <v>0</v>
      </c>
      <c r="AR650" s="190"/>
      <c r="AS650" s="464">
        <f t="shared" si="274"/>
        <v>3414</v>
      </c>
    </row>
    <row r="651" spans="1:45" s="191" customFormat="1" ht="24.95" customHeight="1">
      <c r="A651" s="1129"/>
      <c r="B651" s="1129"/>
      <c r="C651" s="1128"/>
      <c r="D651" s="1129"/>
      <c r="E651" s="1129"/>
      <c r="F651" s="1129"/>
      <c r="G651" s="1127"/>
      <c r="H651" s="1127"/>
      <c r="I651" s="1127"/>
      <c r="J651" s="1127"/>
      <c r="K651" s="1127"/>
      <c r="L651" s="1127"/>
      <c r="M651" s="1127"/>
      <c r="N651" s="1127"/>
      <c r="O651" s="1127"/>
      <c r="P651" s="1126"/>
      <c r="Q651" s="1126"/>
      <c r="R651" s="1126"/>
      <c r="S651" s="1126"/>
      <c r="T651" s="1129"/>
      <c r="U651" s="1130"/>
      <c r="V651" s="1127"/>
      <c r="W651" s="1127"/>
      <c r="X651" s="1127"/>
      <c r="Y651" s="1112"/>
      <c r="Z651" s="1112"/>
      <c r="AA651" s="1109"/>
      <c r="AB651" s="1109"/>
      <c r="AC651" s="1127"/>
      <c r="AD651" s="1127"/>
      <c r="AE651" s="190">
        <f t="shared" si="265"/>
        <v>0</v>
      </c>
      <c r="AF651" s="190">
        <f t="shared" si="266"/>
        <v>0</v>
      </c>
      <c r="AG651" s="190">
        <f t="shared" si="267"/>
        <v>0</v>
      </c>
      <c r="AH651" s="190">
        <f t="shared" si="268"/>
        <v>0</v>
      </c>
      <c r="AI651" s="190">
        <f t="shared" si="269"/>
        <v>0</v>
      </c>
      <c r="AJ651" s="190">
        <f t="shared" si="269"/>
        <v>0</v>
      </c>
      <c r="AK651" s="464">
        <f t="shared" si="270"/>
        <v>0</v>
      </c>
      <c r="AL651" s="464">
        <f t="shared" si="271"/>
        <v>0</v>
      </c>
      <c r="AM651" s="464">
        <f t="shared" si="272"/>
        <v>0</v>
      </c>
      <c r="AN651" s="464">
        <f t="shared" si="260"/>
        <v>0</v>
      </c>
      <c r="AO651" s="464">
        <f t="shared" si="261"/>
        <v>0</v>
      </c>
      <c r="AP651" s="464">
        <f t="shared" si="273"/>
        <v>0</v>
      </c>
      <c r="AQ651" s="464">
        <f t="shared" si="273"/>
        <v>0</v>
      </c>
      <c r="AR651" s="190"/>
      <c r="AS651" s="464">
        <f t="shared" si="274"/>
        <v>0</v>
      </c>
    </row>
    <row r="652" spans="1:45" s="191" customFormat="1" ht="24.95" customHeight="1">
      <c r="A652" s="1129"/>
      <c r="B652" s="1129"/>
      <c r="C652" s="1128" t="s">
        <v>847</v>
      </c>
      <c r="D652" s="1129"/>
      <c r="E652" s="1129" t="s">
        <v>851</v>
      </c>
      <c r="F652" s="1129">
        <v>3</v>
      </c>
      <c r="G652" s="1127">
        <v>3414</v>
      </c>
      <c r="H652" s="1127"/>
      <c r="I652" s="1127"/>
      <c r="J652" s="1127"/>
      <c r="K652" s="1127"/>
      <c r="L652" s="1127"/>
      <c r="M652" s="1127"/>
      <c r="N652" s="1127">
        <f>G652+H653</f>
        <v>3414</v>
      </c>
      <c r="O652" s="1127">
        <v>1</v>
      </c>
      <c r="P652" s="1126"/>
      <c r="Q652" s="1126"/>
      <c r="R652" s="1126"/>
      <c r="S652" s="1126"/>
      <c r="T652" s="1129"/>
      <c r="U652" s="1130"/>
      <c r="V652" s="1127"/>
      <c r="W652" s="1127">
        <f>AD652</f>
        <v>3086</v>
      </c>
      <c r="X652" s="1127">
        <f>(N652+V652+Q653+S652)*O652+W652</f>
        <v>6500</v>
      </c>
      <c r="Y652" s="1112"/>
      <c r="Z652" s="1112">
        <f>X652+Y652</f>
        <v>6500</v>
      </c>
      <c r="AA652" s="1109">
        <f t="shared" si="251"/>
        <v>6500</v>
      </c>
      <c r="AB652" s="1109">
        <f>AA652-X652</f>
        <v>0</v>
      </c>
      <c r="AC652" s="1127">
        <f>6500*O652</f>
        <v>6500</v>
      </c>
      <c r="AD652" s="1127">
        <f>AC652-(N652*O652)</f>
        <v>3086</v>
      </c>
      <c r="AE652" s="190">
        <f t="shared" si="265"/>
        <v>3414</v>
      </c>
      <c r="AF652" s="190">
        <f t="shared" si="266"/>
        <v>0</v>
      </c>
      <c r="AG652" s="190">
        <f t="shared" si="267"/>
        <v>3414</v>
      </c>
      <c r="AH652" s="190">
        <f t="shared" si="268"/>
        <v>0</v>
      </c>
      <c r="AI652" s="190">
        <f t="shared" si="269"/>
        <v>0</v>
      </c>
      <c r="AJ652" s="190">
        <f t="shared" si="269"/>
        <v>0</v>
      </c>
      <c r="AK652" s="464">
        <f t="shared" si="270"/>
        <v>0</v>
      </c>
      <c r="AL652" s="464">
        <f t="shared" si="271"/>
        <v>0</v>
      </c>
      <c r="AM652" s="464">
        <f t="shared" si="272"/>
        <v>3086</v>
      </c>
      <c r="AN652" s="464">
        <f t="shared" si="260"/>
        <v>0</v>
      </c>
      <c r="AO652" s="464">
        <f t="shared" si="261"/>
        <v>0</v>
      </c>
      <c r="AP652" s="464">
        <f t="shared" si="273"/>
        <v>3414</v>
      </c>
      <c r="AQ652" s="464">
        <f t="shared" si="273"/>
        <v>0</v>
      </c>
      <c r="AR652" s="190"/>
      <c r="AS652" s="464">
        <f t="shared" si="274"/>
        <v>3414</v>
      </c>
    </row>
    <row r="653" spans="1:45" s="191" customFormat="1" ht="24.95" customHeight="1">
      <c r="A653" s="1129"/>
      <c r="B653" s="1129"/>
      <c r="C653" s="1128"/>
      <c r="D653" s="1129"/>
      <c r="E653" s="1129"/>
      <c r="F653" s="1129"/>
      <c r="G653" s="1127"/>
      <c r="H653" s="1127"/>
      <c r="I653" s="1127"/>
      <c r="J653" s="1127"/>
      <c r="K653" s="1127"/>
      <c r="L653" s="1127"/>
      <c r="M653" s="1127"/>
      <c r="N653" s="1127"/>
      <c r="O653" s="1127"/>
      <c r="P653" s="1126"/>
      <c r="Q653" s="1126"/>
      <c r="R653" s="1126"/>
      <c r="S653" s="1126"/>
      <c r="T653" s="1129"/>
      <c r="U653" s="1130"/>
      <c r="V653" s="1127"/>
      <c r="W653" s="1127"/>
      <c r="X653" s="1127"/>
      <c r="Y653" s="1112"/>
      <c r="Z653" s="1112"/>
      <c r="AA653" s="1109"/>
      <c r="AB653" s="1109"/>
      <c r="AC653" s="1127"/>
      <c r="AD653" s="1127"/>
      <c r="AE653" s="190">
        <f t="shared" si="265"/>
        <v>0</v>
      </c>
      <c r="AF653" s="190">
        <f t="shared" si="266"/>
        <v>0</v>
      </c>
      <c r="AG653" s="190">
        <f t="shared" si="267"/>
        <v>0</v>
      </c>
      <c r="AH653" s="190">
        <f t="shared" si="268"/>
        <v>0</v>
      </c>
      <c r="AI653" s="190">
        <f t="shared" si="269"/>
        <v>0</v>
      </c>
      <c r="AJ653" s="190">
        <f t="shared" si="269"/>
        <v>0</v>
      </c>
      <c r="AK653" s="464">
        <f t="shared" si="270"/>
        <v>0</v>
      </c>
      <c r="AL653" s="464">
        <f t="shared" si="271"/>
        <v>0</v>
      </c>
      <c r="AM653" s="464">
        <f t="shared" si="272"/>
        <v>0</v>
      </c>
      <c r="AN653" s="464">
        <f t="shared" si="260"/>
        <v>0</v>
      </c>
      <c r="AO653" s="464">
        <f t="shared" si="261"/>
        <v>0</v>
      </c>
      <c r="AP653" s="464">
        <f t="shared" si="273"/>
        <v>0</v>
      </c>
      <c r="AQ653" s="464">
        <f t="shared" si="273"/>
        <v>0</v>
      </c>
      <c r="AR653" s="190"/>
      <c r="AS653" s="464">
        <f t="shared" si="274"/>
        <v>0</v>
      </c>
    </row>
    <row r="654" spans="1:45" s="191" customFormat="1" ht="24.95" customHeight="1">
      <c r="A654" s="1129"/>
      <c r="B654" s="1129"/>
      <c r="C654" s="1128" t="s">
        <v>847</v>
      </c>
      <c r="D654" s="1129"/>
      <c r="E654" s="1129" t="s">
        <v>852</v>
      </c>
      <c r="F654" s="1129">
        <v>3</v>
      </c>
      <c r="G654" s="1127">
        <v>3414</v>
      </c>
      <c r="H654" s="1127"/>
      <c r="I654" s="1127"/>
      <c r="J654" s="1127"/>
      <c r="K654" s="1127"/>
      <c r="L654" s="1127"/>
      <c r="M654" s="1127"/>
      <c r="N654" s="1127">
        <f>G654+H655</f>
        <v>3414</v>
      </c>
      <c r="O654" s="1127">
        <v>1</v>
      </c>
      <c r="P654" s="1126"/>
      <c r="Q654" s="1126"/>
      <c r="R654" s="1126"/>
      <c r="S654" s="1126"/>
      <c r="T654" s="1129"/>
      <c r="U654" s="1130"/>
      <c r="V654" s="1127"/>
      <c r="W654" s="1127">
        <f>AD654</f>
        <v>3086</v>
      </c>
      <c r="X654" s="1127">
        <f>(N654+V654+Q655+S654)*O654+W654</f>
        <v>6500</v>
      </c>
      <c r="Y654" s="1112"/>
      <c r="Z654" s="1112">
        <f>X654+Y654</f>
        <v>6500</v>
      </c>
      <c r="AA654" s="1109">
        <f t="shared" si="251"/>
        <v>6500</v>
      </c>
      <c r="AB654" s="1109">
        <f>AA654-X654</f>
        <v>0</v>
      </c>
      <c r="AC654" s="1127">
        <f>6500*O654</f>
        <v>6500</v>
      </c>
      <c r="AD654" s="1127">
        <f>AC654-(N654*O654)</f>
        <v>3086</v>
      </c>
      <c r="AE654" s="190">
        <f t="shared" si="265"/>
        <v>3414</v>
      </c>
      <c r="AF654" s="190">
        <f t="shared" si="266"/>
        <v>0</v>
      </c>
      <c r="AG654" s="190">
        <f t="shared" si="267"/>
        <v>3414</v>
      </c>
      <c r="AH654" s="190">
        <f t="shared" si="268"/>
        <v>0</v>
      </c>
      <c r="AI654" s="190">
        <f t="shared" si="269"/>
        <v>0</v>
      </c>
      <c r="AJ654" s="190">
        <f t="shared" si="269"/>
        <v>0</v>
      </c>
      <c r="AK654" s="464">
        <f t="shared" si="270"/>
        <v>0</v>
      </c>
      <c r="AL654" s="464">
        <f t="shared" si="271"/>
        <v>0</v>
      </c>
      <c r="AM654" s="464">
        <f t="shared" si="272"/>
        <v>3086</v>
      </c>
      <c r="AN654" s="464">
        <f t="shared" si="260"/>
        <v>0</v>
      </c>
      <c r="AO654" s="464">
        <f t="shared" si="261"/>
        <v>0</v>
      </c>
      <c r="AP654" s="464">
        <f t="shared" si="273"/>
        <v>3414</v>
      </c>
      <c r="AQ654" s="464">
        <f t="shared" si="273"/>
        <v>0</v>
      </c>
      <c r="AR654" s="190"/>
      <c r="AS654" s="464">
        <f t="shared" si="274"/>
        <v>3414</v>
      </c>
    </row>
    <row r="655" spans="1:45" s="191" customFormat="1" ht="24.95" customHeight="1">
      <c r="A655" s="1129"/>
      <c r="B655" s="1129"/>
      <c r="C655" s="1128"/>
      <c r="D655" s="1129"/>
      <c r="E655" s="1129"/>
      <c r="F655" s="1129"/>
      <c r="G655" s="1127"/>
      <c r="H655" s="1127"/>
      <c r="I655" s="1127"/>
      <c r="J655" s="1127"/>
      <c r="K655" s="1127"/>
      <c r="L655" s="1127"/>
      <c r="M655" s="1127"/>
      <c r="N655" s="1127"/>
      <c r="O655" s="1127"/>
      <c r="P655" s="1126"/>
      <c r="Q655" s="1126"/>
      <c r="R655" s="1126"/>
      <c r="S655" s="1126"/>
      <c r="T655" s="1129"/>
      <c r="U655" s="1130"/>
      <c r="V655" s="1127"/>
      <c r="W655" s="1127"/>
      <c r="X655" s="1127"/>
      <c r="Y655" s="1112"/>
      <c r="Z655" s="1112"/>
      <c r="AA655" s="1109"/>
      <c r="AB655" s="1109"/>
      <c r="AC655" s="1127"/>
      <c r="AD655" s="1127"/>
      <c r="AE655" s="190">
        <f t="shared" si="265"/>
        <v>0</v>
      </c>
      <c r="AF655" s="190">
        <f t="shared" si="266"/>
        <v>0</v>
      </c>
      <c r="AG655" s="190">
        <f t="shared" si="267"/>
        <v>0</v>
      </c>
      <c r="AH655" s="190">
        <f t="shared" si="268"/>
        <v>0</v>
      </c>
      <c r="AI655" s="190">
        <f t="shared" si="269"/>
        <v>0</v>
      </c>
      <c r="AJ655" s="190">
        <f t="shared" si="269"/>
        <v>0</v>
      </c>
      <c r="AK655" s="464">
        <f t="shared" si="270"/>
        <v>0</v>
      </c>
      <c r="AL655" s="464">
        <f t="shared" si="271"/>
        <v>0</v>
      </c>
      <c r="AM655" s="464">
        <f t="shared" si="272"/>
        <v>0</v>
      </c>
      <c r="AN655" s="464">
        <f t="shared" si="260"/>
        <v>0</v>
      </c>
      <c r="AO655" s="464">
        <f t="shared" si="261"/>
        <v>0</v>
      </c>
      <c r="AP655" s="464">
        <f t="shared" si="273"/>
        <v>0</v>
      </c>
      <c r="AQ655" s="464">
        <f t="shared" si="273"/>
        <v>0</v>
      </c>
      <c r="AR655" s="190"/>
      <c r="AS655" s="464">
        <f t="shared" si="274"/>
        <v>0</v>
      </c>
    </row>
    <row r="656" spans="1:45" s="191" customFormat="1" ht="24.95" customHeight="1">
      <c r="A656" s="1129"/>
      <c r="B656" s="1129"/>
      <c r="C656" s="1128" t="s">
        <v>847</v>
      </c>
      <c r="D656" s="1129"/>
      <c r="E656" s="1129" t="s">
        <v>853</v>
      </c>
      <c r="F656" s="1129">
        <v>3</v>
      </c>
      <c r="G656" s="1127">
        <v>3414</v>
      </c>
      <c r="H656" s="1127"/>
      <c r="I656" s="1127"/>
      <c r="J656" s="1127"/>
      <c r="K656" s="1127"/>
      <c r="L656" s="1127"/>
      <c r="M656" s="1127"/>
      <c r="N656" s="1127">
        <f>G656+H657</f>
        <v>3414</v>
      </c>
      <c r="O656" s="1127">
        <v>1</v>
      </c>
      <c r="P656" s="1126"/>
      <c r="Q656" s="1126"/>
      <c r="R656" s="1126"/>
      <c r="S656" s="1126"/>
      <c r="T656" s="1129"/>
      <c r="U656" s="1130"/>
      <c r="V656" s="1127"/>
      <c r="W656" s="1127">
        <f>AD656</f>
        <v>3086</v>
      </c>
      <c r="X656" s="1127">
        <f>(N656+V656+Q657+S656)*O656+W656</f>
        <v>6500</v>
      </c>
      <c r="Y656" s="1112"/>
      <c r="Z656" s="1112">
        <f>X656+Y656</f>
        <v>6500</v>
      </c>
      <c r="AA656" s="1109">
        <f t="shared" si="251"/>
        <v>6500</v>
      </c>
      <c r="AB656" s="1109">
        <f>AA656-X656</f>
        <v>0</v>
      </c>
      <c r="AC656" s="1127">
        <f>6500*O656</f>
        <v>6500</v>
      </c>
      <c r="AD656" s="1127">
        <f>AC656-(N656*O656)</f>
        <v>3086</v>
      </c>
      <c r="AE656" s="190">
        <f t="shared" si="265"/>
        <v>3414</v>
      </c>
      <c r="AF656" s="190">
        <f t="shared" si="266"/>
        <v>0</v>
      </c>
      <c r="AG656" s="190">
        <f t="shared" si="267"/>
        <v>3414</v>
      </c>
      <c r="AH656" s="190">
        <f t="shared" si="268"/>
        <v>0</v>
      </c>
      <c r="AI656" s="190">
        <f t="shared" si="269"/>
        <v>0</v>
      </c>
      <c r="AJ656" s="190">
        <f t="shared" si="269"/>
        <v>0</v>
      </c>
      <c r="AK656" s="464">
        <f t="shared" si="270"/>
        <v>0</v>
      </c>
      <c r="AL656" s="464">
        <f t="shared" si="271"/>
        <v>0</v>
      </c>
      <c r="AM656" s="464">
        <f t="shared" si="272"/>
        <v>3086</v>
      </c>
      <c r="AN656" s="464">
        <f t="shared" si="260"/>
        <v>0</v>
      </c>
      <c r="AO656" s="464">
        <f t="shared" si="261"/>
        <v>0</v>
      </c>
      <c r="AP656" s="464">
        <f t="shared" si="273"/>
        <v>3414</v>
      </c>
      <c r="AQ656" s="464">
        <f t="shared" si="273"/>
        <v>0</v>
      </c>
      <c r="AR656" s="190"/>
      <c r="AS656" s="464">
        <f t="shared" si="274"/>
        <v>3414</v>
      </c>
    </row>
    <row r="657" spans="1:45" s="191" customFormat="1" ht="24.95" customHeight="1">
      <c r="A657" s="1129"/>
      <c r="B657" s="1129"/>
      <c r="C657" s="1128"/>
      <c r="D657" s="1129"/>
      <c r="E657" s="1129"/>
      <c r="F657" s="1129"/>
      <c r="G657" s="1127"/>
      <c r="H657" s="1127"/>
      <c r="I657" s="1127"/>
      <c r="J657" s="1127"/>
      <c r="K657" s="1127"/>
      <c r="L657" s="1127"/>
      <c r="M657" s="1127"/>
      <c r="N657" s="1127"/>
      <c r="O657" s="1127"/>
      <c r="P657" s="1126"/>
      <c r="Q657" s="1126"/>
      <c r="R657" s="1126"/>
      <c r="S657" s="1126"/>
      <c r="T657" s="1129"/>
      <c r="U657" s="1130"/>
      <c r="V657" s="1127"/>
      <c r="W657" s="1127"/>
      <c r="X657" s="1127"/>
      <c r="Y657" s="1112"/>
      <c r="Z657" s="1112"/>
      <c r="AA657" s="1109"/>
      <c r="AB657" s="1109"/>
      <c r="AC657" s="1127"/>
      <c r="AD657" s="1127"/>
      <c r="AE657" s="190">
        <f t="shared" si="265"/>
        <v>0</v>
      </c>
      <c r="AF657" s="190">
        <f t="shared" si="266"/>
        <v>0</v>
      </c>
      <c r="AG657" s="190">
        <f t="shared" si="267"/>
        <v>0</v>
      </c>
      <c r="AH657" s="190">
        <f t="shared" si="268"/>
        <v>0</v>
      </c>
      <c r="AI657" s="190">
        <f t="shared" si="269"/>
        <v>0</v>
      </c>
      <c r="AJ657" s="190">
        <f t="shared" si="269"/>
        <v>0</v>
      </c>
      <c r="AK657" s="464">
        <f t="shared" si="270"/>
        <v>0</v>
      </c>
      <c r="AL657" s="464">
        <f t="shared" si="271"/>
        <v>0</v>
      </c>
      <c r="AM657" s="464">
        <f t="shared" si="272"/>
        <v>0</v>
      </c>
      <c r="AN657" s="464">
        <f t="shared" si="260"/>
        <v>0</v>
      </c>
      <c r="AO657" s="464">
        <f t="shared" si="261"/>
        <v>0</v>
      </c>
      <c r="AP657" s="464">
        <f t="shared" si="273"/>
        <v>0</v>
      </c>
      <c r="AQ657" s="464">
        <f t="shared" si="273"/>
        <v>0</v>
      </c>
      <c r="AR657" s="190"/>
      <c r="AS657" s="464">
        <f t="shared" si="274"/>
        <v>0</v>
      </c>
    </row>
    <row r="658" spans="1:45" s="191" customFormat="1" ht="24.95" customHeight="1">
      <c r="A658" s="1129"/>
      <c r="B658" s="1129"/>
      <c r="C658" s="1128" t="s">
        <v>847</v>
      </c>
      <c r="D658" s="1129"/>
      <c r="E658" s="1129" t="s">
        <v>854</v>
      </c>
      <c r="F658" s="1129">
        <v>3</v>
      </c>
      <c r="G658" s="1127">
        <v>3414</v>
      </c>
      <c r="H658" s="1127"/>
      <c r="I658" s="1127"/>
      <c r="J658" s="1127"/>
      <c r="K658" s="1127"/>
      <c r="L658" s="1127"/>
      <c r="M658" s="1127"/>
      <c r="N658" s="1127">
        <f>G658+H659</f>
        <v>3414</v>
      </c>
      <c r="O658" s="1127">
        <v>1</v>
      </c>
      <c r="P658" s="1126"/>
      <c r="Q658" s="1126"/>
      <c r="R658" s="1126"/>
      <c r="S658" s="1126"/>
      <c r="T658" s="1129"/>
      <c r="U658" s="1130"/>
      <c r="V658" s="1127"/>
      <c r="W658" s="1127">
        <f>AD658</f>
        <v>3086</v>
      </c>
      <c r="X658" s="1127">
        <f>(N658+V658+Q659+S658)*O658+W658</f>
        <v>6500</v>
      </c>
      <c r="Y658" s="1112"/>
      <c r="Z658" s="1112">
        <f>X658+Y658</f>
        <v>6500</v>
      </c>
      <c r="AA658" s="1109">
        <f t="shared" si="251"/>
        <v>6500</v>
      </c>
      <c r="AB658" s="1109">
        <f>AA658-X658</f>
        <v>0</v>
      </c>
      <c r="AC658" s="1127">
        <f>6500*O658</f>
        <v>6500</v>
      </c>
      <c r="AD658" s="1127">
        <f>AC658-(N658*O658)</f>
        <v>3086</v>
      </c>
      <c r="AE658" s="190">
        <f t="shared" si="265"/>
        <v>3414</v>
      </c>
      <c r="AF658" s="190">
        <f t="shared" si="266"/>
        <v>0</v>
      </c>
      <c r="AG658" s="190">
        <f t="shared" si="267"/>
        <v>3414</v>
      </c>
      <c r="AH658" s="190">
        <f t="shared" si="268"/>
        <v>0</v>
      </c>
      <c r="AI658" s="190">
        <f t="shared" si="269"/>
        <v>0</v>
      </c>
      <c r="AJ658" s="190">
        <f t="shared" si="269"/>
        <v>0</v>
      </c>
      <c r="AK658" s="464">
        <f t="shared" si="270"/>
        <v>0</v>
      </c>
      <c r="AL658" s="464">
        <f t="shared" si="271"/>
        <v>0</v>
      </c>
      <c r="AM658" s="464">
        <f t="shared" si="272"/>
        <v>3086</v>
      </c>
      <c r="AN658" s="464">
        <f t="shared" si="260"/>
        <v>0</v>
      </c>
      <c r="AO658" s="464">
        <f t="shared" si="261"/>
        <v>0</v>
      </c>
      <c r="AP658" s="464">
        <f t="shared" si="273"/>
        <v>3414</v>
      </c>
      <c r="AQ658" s="464">
        <f t="shared" si="273"/>
        <v>0</v>
      </c>
      <c r="AR658" s="190"/>
      <c r="AS658" s="464">
        <f t="shared" si="274"/>
        <v>3414</v>
      </c>
    </row>
    <row r="659" spans="1:45" s="191" customFormat="1" ht="24.95" customHeight="1">
      <c r="A659" s="1129"/>
      <c r="B659" s="1129"/>
      <c r="C659" s="1128"/>
      <c r="D659" s="1129"/>
      <c r="E659" s="1129"/>
      <c r="F659" s="1129"/>
      <c r="G659" s="1127"/>
      <c r="H659" s="1127"/>
      <c r="I659" s="1127"/>
      <c r="J659" s="1127"/>
      <c r="K659" s="1127"/>
      <c r="L659" s="1127"/>
      <c r="M659" s="1127"/>
      <c r="N659" s="1127"/>
      <c r="O659" s="1127"/>
      <c r="P659" s="1126"/>
      <c r="Q659" s="1126"/>
      <c r="R659" s="1126"/>
      <c r="S659" s="1126"/>
      <c r="T659" s="1129"/>
      <c r="U659" s="1130"/>
      <c r="V659" s="1127"/>
      <c r="W659" s="1127"/>
      <c r="X659" s="1127"/>
      <c r="Y659" s="1112"/>
      <c r="Z659" s="1112"/>
      <c r="AA659" s="1109"/>
      <c r="AB659" s="1109"/>
      <c r="AC659" s="1127"/>
      <c r="AD659" s="1127"/>
      <c r="AE659" s="190">
        <f t="shared" si="265"/>
        <v>0</v>
      </c>
      <c r="AF659" s="190">
        <f t="shared" si="266"/>
        <v>0</v>
      </c>
      <c r="AG659" s="190">
        <f t="shared" si="267"/>
        <v>0</v>
      </c>
      <c r="AH659" s="190">
        <f t="shared" si="268"/>
        <v>0</v>
      </c>
      <c r="AI659" s="190">
        <f t="shared" si="269"/>
        <v>0</v>
      </c>
      <c r="AJ659" s="190">
        <f t="shared" si="269"/>
        <v>0</v>
      </c>
      <c r="AK659" s="464">
        <f t="shared" si="270"/>
        <v>0</v>
      </c>
      <c r="AL659" s="464">
        <f t="shared" si="271"/>
        <v>0</v>
      </c>
      <c r="AM659" s="464">
        <f t="shared" si="272"/>
        <v>0</v>
      </c>
      <c r="AN659" s="464">
        <f t="shared" si="260"/>
        <v>0</v>
      </c>
      <c r="AO659" s="464">
        <f t="shared" si="261"/>
        <v>0</v>
      </c>
      <c r="AP659" s="464">
        <f t="shared" si="273"/>
        <v>0</v>
      </c>
      <c r="AQ659" s="464">
        <f t="shared" si="273"/>
        <v>0</v>
      </c>
      <c r="AR659" s="190"/>
      <c r="AS659" s="464">
        <f t="shared" si="274"/>
        <v>0</v>
      </c>
    </row>
    <row r="660" spans="1:45" s="191" customFormat="1" ht="24.95" customHeight="1">
      <c r="A660" s="1129"/>
      <c r="B660" s="1129"/>
      <c r="C660" s="1128" t="s">
        <v>847</v>
      </c>
      <c r="D660" s="1129"/>
      <c r="E660" s="1129" t="s">
        <v>1075</v>
      </c>
      <c r="F660" s="1129">
        <v>3</v>
      </c>
      <c r="G660" s="1127">
        <v>3414</v>
      </c>
      <c r="H660" s="1127"/>
      <c r="I660" s="1127"/>
      <c r="J660" s="1127"/>
      <c r="K660" s="1127"/>
      <c r="L660" s="1127"/>
      <c r="M660" s="1127"/>
      <c r="N660" s="1127">
        <f>G660+H661</f>
        <v>3414</v>
      </c>
      <c r="O660" s="1127">
        <v>1</v>
      </c>
      <c r="P660" s="1127"/>
      <c r="Q660" s="1126"/>
      <c r="R660" s="1126"/>
      <c r="S660" s="1126"/>
      <c r="T660" s="1129"/>
      <c r="U660" s="1130"/>
      <c r="V660" s="1127"/>
      <c r="W660" s="1127">
        <f>AD660</f>
        <v>3086</v>
      </c>
      <c r="X660" s="1127">
        <f>(N660+V660+Q661+S660)*O660+W660</f>
        <v>6500</v>
      </c>
      <c r="Y660" s="1112"/>
      <c r="Z660" s="1112">
        <f>X660+Y660</f>
        <v>6500</v>
      </c>
      <c r="AA660" s="1109">
        <f t="shared" si="251"/>
        <v>6500</v>
      </c>
      <c r="AB660" s="1109">
        <f>AA660-X660</f>
        <v>0</v>
      </c>
      <c r="AC660" s="1127">
        <f>6500*O660</f>
        <v>6500</v>
      </c>
      <c r="AD660" s="1127">
        <f>AC660-(N660*O660)</f>
        <v>3086</v>
      </c>
      <c r="AE660" s="190">
        <f t="shared" si="265"/>
        <v>3414</v>
      </c>
      <c r="AF660" s="190">
        <f t="shared" si="266"/>
        <v>0</v>
      </c>
      <c r="AG660" s="190">
        <f t="shared" si="267"/>
        <v>3414</v>
      </c>
      <c r="AH660" s="190">
        <f t="shared" si="268"/>
        <v>0</v>
      </c>
      <c r="AI660" s="190">
        <f t="shared" si="269"/>
        <v>0</v>
      </c>
      <c r="AJ660" s="190">
        <f t="shared" si="269"/>
        <v>0</v>
      </c>
      <c r="AK660" s="464">
        <f t="shared" si="270"/>
        <v>0</v>
      </c>
      <c r="AL660" s="464">
        <f t="shared" si="271"/>
        <v>0</v>
      </c>
      <c r="AM660" s="464">
        <f t="shared" si="272"/>
        <v>3086</v>
      </c>
      <c r="AN660" s="464">
        <f t="shared" si="260"/>
        <v>0</v>
      </c>
      <c r="AO660" s="464">
        <f t="shared" si="261"/>
        <v>0</v>
      </c>
      <c r="AP660" s="464">
        <f t="shared" si="273"/>
        <v>3414</v>
      </c>
      <c r="AQ660" s="464">
        <f t="shared" si="273"/>
        <v>0</v>
      </c>
      <c r="AR660" s="190"/>
      <c r="AS660" s="464">
        <f t="shared" si="274"/>
        <v>3414</v>
      </c>
    </row>
    <row r="661" spans="1:45" s="191" customFormat="1" ht="24.95" customHeight="1">
      <c r="A661" s="1129"/>
      <c r="B661" s="1129"/>
      <c r="C661" s="1128"/>
      <c r="D661" s="1129"/>
      <c r="E661" s="1129"/>
      <c r="F661" s="1129"/>
      <c r="G661" s="1127"/>
      <c r="H661" s="1127"/>
      <c r="I661" s="1127"/>
      <c r="J661" s="1127"/>
      <c r="K661" s="1127"/>
      <c r="L661" s="1127"/>
      <c r="M661" s="1127"/>
      <c r="N661" s="1127"/>
      <c r="O661" s="1127"/>
      <c r="P661" s="1127"/>
      <c r="Q661" s="1126"/>
      <c r="R661" s="1126"/>
      <c r="S661" s="1126"/>
      <c r="T661" s="1129"/>
      <c r="U661" s="1130"/>
      <c r="V661" s="1127"/>
      <c r="W661" s="1127"/>
      <c r="X661" s="1127"/>
      <c r="Y661" s="1112"/>
      <c r="Z661" s="1112"/>
      <c r="AA661" s="1109"/>
      <c r="AB661" s="1109"/>
      <c r="AC661" s="1127"/>
      <c r="AD661" s="1127"/>
      <c r="AE661" s="190">
        <f t="shared" si="265"/>
        <v>0</v>
      </c>
      <c r="AF661" s="190">
        <f t="shared" si="266"/>
        <v>0</v>
      </c>
      <c r="AG661" s="190">
        <f t="shared" si="267"/>
        <v>0</v>
      </c>
      <c r="AH661" s="190">
        <f t="shared" si="268"/>
        <v>0</v>
      </c>
      <c r="AI661" s="190">
        <f t="shared" si="269"/>
        <v>0</v>
      </c>
      <c r="AJ661" s="190">
        <f t="shared" si="269"/>
        <v>0</v>
      </c>
      <c r="AK661" s="464">
        <f t="shared" si="270"/>
        <v>0</v>
      </c>
      <c r="AL661" s="464">
        <f t="shared" si="271"/>
        <v>0</v>
      </c>
      <c r="AM661" s="464">
        <f t="shared" si="272"/>
        <v>0</v>
      </c>
      <c r="AN661" s="464">
        <f t="shared" si="260"/>
        <v>0</v>
      </c>
      <c r="AO661" s="464">
        <f t="shared" si="261"/>
        <v>0</v>
      </c>
      <c r="AP661" s="464">
        <f t="shared" si="273"/>
        <v>0</v>
      </c>
      <c r="AQ661" s="464">
        <f t="shared" si="273"/>
        <v>0</v>
      </c>
      <c r="AR661" s="190"/>
      <c r="AS661" s="464">
        <f t="shared" si="274"/>
        <v>0</v>
      </c>
    </row>
    <row r="662" spans="1:45" s="446" customFormat="1" ht="24.95" customHeight="1">
      <c r="A662" s="441"/>
      <c r="B662" s="441"/>
      <c r="C662" s="442" t="s">
        <v>318</v>
      </c>
      <c r="D662" s="443"/>
      <c r="E662" s="441"/>
      <c r="F662" s="441"/>
      <c r="G662" s="467">
        <f>SUM(G604:G661)</f>
        <v>98738</v>
      </c>
      <c r="H662" s="468"/>
      <c r="I662" s="469"/>
      <c r="J662" s="469"/>
      <c r="K662" s="469"/>
      <c r="L662" s="469"/>
      <c r="M662" s="469"/>
      <c r="N662" s="467">
        <f>SUM(N604:N661)</f>
        <v>102938.8</v>
      </c>
      <c r="O662" s="469">
        <f>SUM(O604:O661)</f>
        <v>25.5</v>
      </c>
      <c r="P662" s="469">
        <f>SUM(P604:P661)</f>
        <v>1.5</v>
      </c>
      <c r="Q662" s="469"/>
      <c r="R662" s="469"/>
      <c r="S662" s="468"/>
      <c r="T662" s="469"/>
      <c r="U662" s="469"/>
      <c r="V662" s="469"/>
      <c r="W662" s="469">
        <f t="shared" ref="W662:AD662" si="275">SUM(W604:W661)</f>
        <v>80829.399999999994</v>
      </c>
      <c r="X662" s="469">
        <f t="shared" si="275"/>
        <v>176657.2</v>
      </c>
      <c r="Y662" s="469">
        <f t="shared" si="275"/>
        <v>0</v>
      </c>
      <c r="Z662" s="469">
        <f t="shared" si="275"/>
        <v>176657.2</v>
      </c>
      <c r="AA662" s="505">
        <f t="shared" si="275"/>
        <v>176657.2</v>
      </c>
      <c r="AB662" s="505">
        <f t="shared" si="275"/>
        <v>0</v>
      </c>
      <c r="AC662" s="469">
        <f t="shared" si="275"/>
        <v>175500</v>
      </c>
      <c r="AD662" s="469">
        <f t="shared" si="275"/>
        <v>80829.399999999994</v>
      </c>
      <c r="AE662" s="436"/>
      <c r="AF662" s="436"/>
      <c r="AG662" s="453"/>
      <c r="AH662" s="453"/>
      <c r="AI662" s="453"/>
      <c r="AJ662" s="453"/>
      <c r="AK662" s="437"/>
      <c r="AL662" s="437"/>
      <c r="AM662" s="437"/>
      <c r="AN662" s="437"/>
      <c r="AO662" s="437"/>
      <c r="AP662" s="437"/>
      <c r="AQ662" s="437"/>
      <c r="AR662" s="453"/>
      <c r="AS662" s="437">
        <f t="shared" si="274"/>
        <v>0</v>
      </c>
    </row>
    <row r="663" spans="1:45" s="446" customFormat="1" ht="24.95" customHeight="1">
      <c r="A663" s="441"/>
      <c r="B663" s="441"/>
      <c r="C663" s="442" t="s">
        <v>318</v>
      </c>
      <c r="D663" s="443"/>
      <c r="E663" s="441"/>
      <c r="F663" s="441"/>
      <c r="G663" s="467">
        <f>G189+G193+G434+G553+G557+G602+G662</f>
        <v>348157.49249999999</v>
      </c>
      <c r="H663" s="468"/>
      <c r="I663" s="469"/>
      <c r="J663" s="469"/>
      <c r="K663" s="469"/>
      <c r="L663" s="469"/>
      <c r="M663" s="469"/>
      <c r="N663" s="467">
        <f>N189+N193+N434+N553+N557+N602+N662</f>
        <v>1469303.3572124999</v>
      </c>
      <c r="O663" s="469">
        <f>O189+O193+O434+O553+O557+O602+O662</f>
        <v>220.25</v>
      </c>
      <c r="P663" s="469">
        <f>P189+P193+P434+P553+P557+P602+P662</f>
        <v>13.25</v>
      </c>
      <c r="Q663" s="469"/>
      <c r="R663" s="469"/>
      <c r="S663" s="468"/>
      <c r="T663" s="469"/>
      <c r="U663" s="469"/>
      <c r="V663" s="467"/>
      <c r="W663" s="469">
        <f t="shared" ref="W663:AD663" si="276">W189+W193+W434+W553+W557+W602+W662</f>
        <v>249242.91250000001</v>
      </c>
      <c r="X663" s="469">
        <f t="shared" si="276"/>
        <v>1751395.9862212501</v>
      </c>
      <c r="Y663" s="469">
        <f t="shared" si="276"/>
        <v>1170177.5339937499</v>
      </c>
      <c r="Z663" s="469">
        <f t="shared" si="276"/>
        <v>2921573.5202150005</v>
      </c>
      <c r="AA663" s="505">
        <f t="shared" si="276"/>
        <v>2931430.1763750003</v>
      </c>
      <c r="AB663" s="505">
        <f t="shared" si="276"/>
        <v>1176534.1901537499</v>
      </c>
      <c r="AC663" s="469">
        <f t="shared" si="276"/>
        <v>1405625</v>
      </c>
      <c r="AD663" s="469">
        <f t="shared" si="276"/>
        <v>347476.29350000003</v>
      </c>
      <c r="AE663" s="470">
        <f t="shared" ref="AE663:AO663" si="277">SUM(AE11:AE662)</f>
        <v>1185234.3187499999</v>
      </c>
      <c r="AF663" s="470">
        <f t="shared" si="277"/>
        <v>76453.25</v>
      </c>
      <c r="AG663" s="470">
        <f t="shared" si="277"/>
        <v>1303511.2822124998</v>
      </c>
      <c r="AH663" s="470">
        <f t="shared" si="277"/>
        <v>89616.124999999985</v>
      </c>
      <c r="AI663" s="470">
        <f t="shared" si="277"/>
        <v>118276.96346250008</v>
      </c>
      <c r="AJ663" s="470">
        <f t="shared" si="277"/>
        <v>13162.875</v>
      </c>
      <c r="AK663" s="470">
        <f t="shared" si="277"/>
        <v>230710.79400874997</v>
      </c>
      <c r="AL663" s="470">
        <f t="shared" si="277"/>
        <v>16039.935000000001</v>
      </c>
      <c r="AM663" s="470">
        <f t="shared" si="277"/>
        <v>278266.71250000002</v>
      </c>
      <c r="AN663" s="470">
        <f t="shared" si="277"/>
        <v>19405.82</v>
      </c>
      <c r="AO663" s="470">
        <f t="shared" si="277"/>
        <v>0</v>
      </c>
      <c r="AP663" s="470">
        <f>SUM(AP11:AP662)-AP67</f>
        <v>1174343.8572124997</v>
      </c>
      <c r="AQ663" s="470">
        <f>SUM(AQ11:AQ662)-AQ67</f>
        <v>89616.124999999971</v>
      </c>
      <c r="AR663" s="470">
        <f>SUM(AR11:AR662)-AR67</f>
        <v>0</v>
      </c>
      <c r="AS663" s="470">
        <f>SUM(AS11:AS662)-AS67</f>
        <v>1263959.9822125006</v>
      </c>
    </row>
    <row r="664" spans="1:45" s="456" customFormat="1" ht="24.95" customHeight="1">
      <c r="A664" s="455"/>
      <c r="B664" s="455"/>
      <c r="C664" s="471" t="s">
        <v>1076</v>
      </c>
      <c r="D664" s="472"/>
      <c r="E664" s="455"/>
      <c r="F664" s="455"/>
      <c r="G664" s="469"/>
      <c r="H664" s="469"/>
      <c r="I664" s="469"/>
      <c r="J664" s="469"/>
      <c r="K664" s="469"/>
      <c r="L664" s="469"/>
      <c r="M664" s="469"/>
      <c r="N664" s="469"/>
      <c r="O664" s="469">
        <f>O665+O666+O667+O668+O669+O670+O671</f>
        <v>220.25</v>
      </c>
      <c r="P664" s="469">
        <f>P665+P666+P667+P668+P669+P670+P671</f>
        <v>13.25</v>
      </c>
      <c r="Q664" s="473"/>
      <c r="R664" s="473"/>
      <c r="S664" s="473"/>
      <c r="T664" s="473"/>
      <c r="U664" s="473"/>
      <c r="V664" s="473"/>
      <c r="W664" s="469">
        <f t="shared" ref="W664:AB664" si="278">W665+W666+W667+W668+W669+W670+W671</f>
        <v>249242.91250000001</v>
      </c>
      <c r="X664" s="469">
        <f t="shared" si="278"/>
        <v>1751395.9862212499</v>
      </c>
      <c r="Y664" s="469">
        <f t="shared" si="278"/>
        <v>1170177.5339937499</v>
      </c>
      <c r="Z664" s="469">
        <f t="shared" si="278"/>
        <v>2921573.5202150005</v>
      </c>
      <c r="AA664" s="505">
        <f t="shared" si="278"/>
        <v>2931430.1763750003</v>
      </c>
      <c r="AB664" s="505">
        <f t="shared" si="278"/>
        <v>1176534.1901537499</v>
      </c>
      <c r="AC664" s="469">
        <f t="shared" ref="AC664:AS664" si="279">AC665+AC666+AC667+AC668+AC669+AC670+AC671</f>
        <v>1405625</v>
      </c>
      <c r="AD664" s="469">
        <f t="shared" si="279"/>
        <v>347476.29350000003</v>
      </c>
      <c r="AE664" s="470">
        <f t="shared" si="279"/>
        <v>1185234.3187500001</v>
      </c>
      <c r="AF664" s="470">
        <f t="shared" si="279"/>
        <v>76453.25</v>
      </c>
      <c r="AG664" s="470">
        <f t="shared" si="279"/>
        <v>1303511.2822124998</v>
      </c>
      <c r="AH664" s="470">
        <f t="shared" si="279"/>
        <v>89616.125</v>
      </c>
      <c r="AI664" s="470">
        <f t="shared" si="279"/>
        <v>118276.96346249999</v>
      </c>
      <c r="AJ664" s="470">
        <f t="shared" si="279"/>
        <v>13162.875000000002</v>
      </c>
      <c r="AK664" s="470">
        <f t="shared" si="279"/>
        <v>230710.79400875</v>
      </c>
      <c r="AL664" s="470">
        <f t="shared" si="279"/>
        <v>16039.934999999999</v>
      </c>
      <c r="AM664" s="470">
        <f t="shared" si="279"/>
        <v>278266.71250000002</v>
      </c>
      <c r="AN664" s="470">
        <f t="shared" si="279"/>
        <v>19405.820000000003</v>
      </c>
      <c r="AO664" s="470">
        <f t="shared" si="279"/>
        <v>0</v>
      </c>
      <c r="AP664" s="470">
        <f t="shared" si="279"/>
        <v>1174343.8572124999</v>
      </c>
      <c r="AQ664" s="470">
        <f t="shared" si="279"/>
        <v>89616.124999999985</v>
      </c>
      <c r="AR664" s="470">
        <f t="shared" si="279"/>
        <v>0</v>
      </c>
      <c r="AS664" s="470">
        <f t="shared" si="279"/>
        <v>1263959.9822124999</v>
      </c>
    </row>
    <row r="665" spans="1:45" s="478" customFormat="1" ht="24.95" customHeight="1">
      <c r="A665" s="472"/>
      <c r="B665" s="472"/>
      <c r="C665" s="474" t="s">
        <v>16</v>
      </c>
      <c r="D665" s="472"/>
      <c r="E665" s="472"/>
      <c r="F665" s="472"/>
      <c r="G665" s="475"/>
      <c r="H665" s="475"/>
      <c r="I665" s="475"/>
      <c r="J665" s="476"/>
      <c r="K665" s="476"/>
      <c r="L665" s="475"/>
      <c r="M665" s="475"/>
      <c r="N665" s="475"/>
      <c r="O665" s="475">
        <f>O189-O21</f>
        <v>40.75</v>
      </c>
      <c r="P665" s="475">
        <f>P189</f>
        <v>10.25</v>
      </c>
      <c r="Q665" s="476"/>
      <c r="R665" s="476"/>
      <c r="S665" s="475"/>
      <c r="T665" s="476"/>
      <c r="U665" s="476"/>
      <c r="V665" s="475"/>
      <c r="W665" s="475">
        <f>W189</f>
        <v>2470</v>
      </c>
      <c r="X665" s="475">
        <f>X189-X21</f>
        <v>488178.52577125013</v>
      </c>
      <c r="Y665" s="475">
        <f>Y189</f>
        <v>532079.78119374998</v>
      </c>
      <c r="Z665" s="475">
        <f>Z189-Z21</f>
        <v>1020258.306965</v>
      </c>
      <c r="AA665" s="506">
        <f>AA189</f>
        <v>1040000</v>
      </c>
      <c r="AB665" s="506">
        <f>AB189-AB21</f>
        <v>531821.47422874998</v>
      </c>
      <c r="AC665" s="475">
        <f>AC189</f>
        <v>232375</v>
      </c>
      <c r="AD665" s="475">
        <f>AD189</f>
        <v>103789.38100000002</v>
      </c>
      <c r="AE665" s="477">
        <f t="shared" ref="AE665:AO665" si="280">SUM(AE15:AE189)-AE21</f>
        <v>269596.66375000001</v>
      </c>
      <c r="AF665" s="477">
        <f t="shared" si="280"/>
        <v>63839.75</v>
      </c>
      <c r="AG665" s="477">
        <f t="shared" si="280"/>
        <v>324912.90996249998</v>
      </c>
      <c r="AH665" s="477">
        <f t="shared" si="280"/>
        <v>75557.55</v>
      </c>
      <c r="AI665" s="477">
        <f t="shared" si="280"/>
        <v>55316.246212500002</v>
      </c>
      <c r="AJ665" s="477">
        <f t="shared" si="280"/>
        <v>11717.800000000001</v>
      </c>
      <c r="AK665" s="477">
        <f t="shared" si="280"/>
        <v>70735.593308750002</v>
      </c>
      <c r="AL665" s="477">
        <f t="shared" si="280"/>
        <v>14502.4725</v>
      </c>
      <c r="AM665" s="477">
        <f t="shared" si="280"/>
        <v>2470</v>
      </c>
      <c r="AN665" s="477">
        <f t="shared" si="280"/>
        <v>0</v>
      </c>
      <c r="AO665" s="477">
        <f t="shared" si="280"/>
        <v>0</v>
      </c>
      <c r="AP665" s="477">
        <f>SUM(AP25:AP189)+AP15+AP17+AP19-AP67</f>
        <v>324912.90996250004</v>
      </c>
      <c r="AQ665" s="477">
        <f>SUM(AQ25:AQ189)+AQ15+AQ17+AQ19-AQ67</f>
        <v>75557.549999999988</v>
      </c>
      <c r="AR665" s="477">
        <f>SUM(AR25:AR189)+AR15+AR17+AR19-AR67</f>
        <v>0</v>
      </c>
      <c r="AS665" s="477">
        <f>SUM(AS25:AS189)+AS15+AS17+AS19-AS67</f>
        <v>400470.45996250008</v>
      </c>
    </row>
    <row r="666" spans="1:45" s="478" customFormat="1" ht="24.95" customHeight="1">
      <c r="A666" s="472"/>
      <c r="B666" s="472"/>
      <c r="C666" s="474" t="s">
        <v>855</v>
      </c>
      <c r="D666" s="472"/>
      <c r="E666" s="472"/>
      <c r="F666" s="472"/>
      <c r="G666" s="475"/>
      <c r="H666" s="475"/>
      <c r="I666" s="475"/>
      <c r="J666" s="476"/>
      <c r="K666" s="476"/>
      <c r="L666" s="475"/>
      <c r="M666" s="475"/>
      <c r="N666" s="475"/>
      <c r="O666" s="475">
        <f>O193</f>
        <v>1</v>
      </c>
      <c r="P666" s="475">
        <f>P193</f>
        <v>0</v>
      </c>
      <c r="Q666" s="476"/>
      <c r="R666" s="476"/>
      <c r="S666" s="475"/>
      <c r="T666" s="476"/>
      <c r="U666" s="476"/>
      <c r="V666" s="475"/>
      <c r="W666" s="475">
        <f t="shared" ref="W666:AD666" si="281">W193</f>
        <v>445.25</v>
      </c>
      <c r="X666" s="475">
        <f t="shared" si="281"/>
        <v>6500</v>
      </c>
      <c r="Y666" s="475">
        <f t="shared" si="281"/>
        <v>13500</v>
      </c>
      <c r="Z666" s="475">
        <f t="shared" si="281"/>
        <v>20000</v>
      </c>
      <c r="AA666" s="506">
        <f t="shared" si="281"/>
        <v>20000</v>
      </c>
      <c r="AB666" s="506">
        <f t="shared" si="281"/>
        <v>13500</v>
      </c>
      <c r="AC666" s="475">
        <f t="shared" si="281"/>
        <v>6500</v>
      </c>
      <c r="AD666" s="475">
        <f t="shared" si="281"/>
        <v>445.25</v>
      </c>
      <c r="AE666" s="477">
        <f t="shared" ref="AE666:AS666" si="282">SUM(AE191:AE192)</f>
        <v>5265</v>
      </c>
      <c r="AF666" s="477">
        <f t="shared" si="282"/>
        <v>0</v>
      </c>
      <c r="AG666" s="477">
        <f t="shared" si="282"/>
        <v>6054.75</v>
      </c>
      <c r="AH666" s="477">
        <f t="shared" si="282"/>
        <v>0</v>
      </c>
      <c r="AI666" s="477">
        <f t="shared" si="282"/>
        <v>789.75</v>
      </c>
      <c r="AJ666" s="477">
        <f t="shared" si="282"/>
        <v>0</v>
      </c>
      <c r="AK666" s="477">
        <f t="shared" si="282"/>
        <v>0</v>
      </c>
      <c r="AL666" s="477">
        <f t="shared" si="282"/>
        <v>0</v>
      </c>
      <c r="AM666" s="477">
        <f t="shared" si="282"/>
        <v>445.25</v>
      </c>
      <c r="AN666" s="477">
        <f t="shared" si="282"/>
        <v>0</v>
      </c>
      <c r="AO666" s="477">
        <f t="shared" si="282"/>
        <v>0</v>
      </c>
      <c r="AP666" s="477">
        <f t="shared" si="282"/>
        <v>6054.75</v>
      </c>
      <c r="AQ666" s="477">
        <f t="shared" si="282"/>
        <v>0</v>
      </c>
      <c r="AR666" s="477">
        <f t="shared" si="282"/>
        <v>0</v>
      </c>
      <c r="AS666" s="477">
        <f t="shared" si="282"/>
        <v>6054.75</v>
      </c>
    </row>
    <row r="667" spans="1:45" s="478" customFormat="1" ht="46.5">
      <c r="A667" s="472"/>
      <c r="B667" s="472"/>
      <c r="C667" s="474" t="s">
        <v>856</v>
      </c>
      <c r="D667" s="472"/>
      <c r="E667" s="472"/>
      <c r="F667" s="472"/>
      <c r="G667" s="475"/>
      <c r="H667" s="475"/>
      <c r="I667" s="475"/>
      <c r="J667" s="476"/>
      <c r="K667" s="476"/>
      <c r="L667" s="475"/>
      <c r="M667" s="475"/>
      <c r="N667" s="475"/>
      <c r="O667" s="475">
        <f>O434</f>
        <v>94.5</v>
      </c>
      <c r="P667" s="475">
        <f>P434</f>
        <v>1</v>
      </c>
      <c r="Q667" s="476"/>
      <c r="R667" s="476"/>
      <c r="S667" s="475"/>
      <c r="T667" s="476"/>
      <c r="U667" s="476"/>
      <c r="V667" s="475"/>
      <c r="W667" s="475">
        <f t="shared" ref="W667:AD667" si="283">W434</f>
        <v>17737.362499999999</v>
      </c>
      <c r="X667" s="475">
        <f t="shared" si="283"/>
        <v>664652.2472000001</v>
      </c>
      <c r="Y667" s="475">
        <f t="shared" si="283"/>
        <v>624597.7527999999</v>
      </c>
      <c r="Z667" s="475">
        <f t="shared" si="283"/>
        <v>1289250</v>
      </c>
      <c r="AA667" s="506">
        <f t="shared" si="283"/>
        <v>1289250</v>
      </c>
      <c r="AB667" s="506">
        <f t="shared" si="283"/>
        <v>624597.7527999999</v>
      </c>
      <c r="AC667" s="475">
        <f t="shared" si="283"/>
        <v>620750</v>
      </c>
      <c r="AD667" s="475">
        <f t="shared" si="283"/>
        <v>17737.362499999999</v>
      </c>
      <c r="AE667" s="477">
        <f>SUM(AE196:AE432)</f>
        <v>545986.5</v>
      </c>
      <c r="AF667" s="477">
        <f t="shared" ref="AF667:AS667" si="284">SUM(AF196:AF432)</f>
        <v>4730</v>
      </c>
      <c r="AG667" s="477">
        <f t="shared" si="284"/>
        <v>589902.41899999999</v>
      </c>
      <c r="AH667" s="477">
        <f t="shared" si="284"/>
        <v>5124.875</v>
      </c>
      <c r="AI667" s="477">
        <f t="shared" si="284"/>
        <v>43915.918999999994</v>
      </c>
      <c r="AJ667" s="477">
        <f t="shared" si="284"/>
        <v>394.875</v>
      </c>
      <c r="AK667" s="477">
        <f t="shared" si="284"/>
        <v>159975.20069999999</v>
      </c>
      <c r="AL667" s="477">
        <f t="shared" si="284"/>
        <v>1537.4625000000001</v>
      </c>
      <c r="AM667" s="477">
        <f t="shared" si="284"/>
        <v>18448.262499999997</v>
      </c>
      <c r="AN667" s="477">
        <f t="shared" si="284"/>
        <v>0</v>
      </c>
      <c r="AO667" s="477">
        <f t="shared" si="284"/>
        <v>0</v>
      </c>
      <c r="AP667" s="477">
        <f>SUM(AP196:AP432)</f>
        <v>503922.09399999998</v>
      </c>
      <c r="AQ667" s="477">
        <f t="shared" si="284"/>
        <v>5124.875</v>
      </c>
      <c r="AR667" s="477">
        <f t="shared" si="284"/>
        <v>0</v>
      </c>
      <c r="AS667" s="477">
        <f t="shared" si="284"/>
        <v>509046.96899999998</v>
      </c>
    </row>
    <row r="668" spans="1:45" s="478" customFormat="1" ht="24.95" customHeight="1">
      <c r="A668" s="472"/>
      <c r="B668" s="472"/>
      <c r="C668" s="474" t="s">
        <v>857</v>
      </c>
      <c r="D668" s="472"/>
      <c r="E668" s="472"/>
      <c r="F668" s="472"/>
      <c r="G668" s="475"/>
      <c r="H668" s="475"/>
      <c r="I668" s="475"/>
      <c r="J668" s="476"/>
      <c r="K668" s="476"/>
      <c r="L668" s="475"/>
      <c r="M668" s="475"/>
      <c r="N668" s="475"/>
      <c r="O668" s="475">
        <f>O553</f>
        <v>39</v>
      </c>
      <c r="P668" s="475">
        <f>P553</f>
        <v>0</v>
      </c>
      <c r="Q668" s="476"/>
      <c r="R668" s="476"/>
      <c r="S668" s="475"/>
      <c r="T668" s="476"/>
      <c r="U668" s="476"/>
      <c r="V668" s="475"/>
      <c r="W668" s="475">
        <f t="shared" ref="W668:AD668" si="285">W553</f>
        <v>114200.90000000001</v>
      </c>
      <c r="X668" s="475">
        <f t="shared" si="285"/>
        <v>267429.90999999997</v>
      </c>
      <c r="Y668" s="475">
        <f t="shared" si="285"/>
        <v>0</v>
      </c>
      <c r="Z668" s="475">
        <f t="shared" si="285"/>
        <v>267429.90999999997</v>
      </c>
      <c r="AA668" s="506">
        <f t="shared" si="285"/>
        <v>267429.90999999997</v>
      </c>
      <c r="AB668" s="506">
        <f t="shared" si="285"/>
        <v>0</v>
      </c>
      <c r="AC668" s="475">
        <f t="shared" si="285"/>
        <v>247000</v>
      </c>
      <c r="AD668" s="475">
        <f t="shared" si="285"/>
        <v>111114.90000000001</v>
      </c>
      <c r="AE668" s="479">
        <f>SUM(AE435:AE551)</f>
        <v>171220</v>
      </c>
      <c r="AF668" s="479">
        <f t="shared" ref="AF668:AS668" si="286">SUM(AF435:AF551)</f>
        <v>0</v>
      </c>
      <c r="AG668" s="479">
        <f t="shared" si="286"/>
        <v>182486.19999999998</v>
      </c>
      <c r="AH668" s="479">
        <f t="shared" si="286"/>
        <v>0</v>
      </c>
      <c r="AI668" s="479">
        <f t="shared" si="286"/>
        <v>11266.2</v>
      </c>
      <c r="AJ668" s="479">
        <f t="shared" si="286"/>
        <v>0</v>
      </c>
      <c r="AK668" s="479">
        <f t="shared" si="286"/>
        <v>0</v>
      </c>
      <c r="AL668" s="479">
        <f t="shared" si="286"/>
        <v>0</v>
      </c>
      <c r="AM668" s="479">
        <f t="shared" si="286"/>
        <v>142513.80000000002</v>
      </c>
      <c r="AN668" s="479">
        <f t="shared" si="286"/>
        <v>18248.620000000003</v>
      </c>
      <c r="AO668" s="479">
        <f t="shared" si="286"/>
        <v>0</v>
      </c>
      <c r="AP668" s="479">
        <f t="shared" si="286"/>
        <v>139299.09999999998</v>
      </c>
      <c r="AQ668" s="479">
        <f t="shared" si="286"/>
        <v>0</v>
      </c>
      <c r="AR668" s="479">
        <f t="shared" si="286"/>
        <v>0</v>
      </c>
      <c r="AS668" s="479">
        <f t="shared" si="286"/>
        <v>139299.09999999998</v>
      </c>
    </row>
    <row r="669" spans="1:45" s="478" customFormat="1" ht="24.95" customHeight="1">
      <c r="A669" s="472"/>
      <c r="B669" s="472"/>
      <c r="C669" s="474" t="s">
        <v>858</v>
      </c>
      <c r="D669" s="472"/>
      <c r="E669" s="472"/>
      <c r="F669" s="472"/>
      <c r="G669" s="475"/>
      <c r="H669" s="475"/>
      <c r="I669" s="475"/>
      <c r="J669" s="476"/>
      <c r="K669" s="476"/>
      <c r="L669" s="475"/>
      <c r="M669" s="475"/>
      <c r="N669" s="475"/>
      <c r="O669" s="475">
        <f>O557</f>
        <v>1</v>
      </c>
      <c r="P669" s="475">
        <f>P557</f>
        <v>0</v>
      </c>
      <c r="Q669" s="476"/>
      <c r="R669" s="476"/>
      <c r="S669" s="475"/>
      <c r="T669" s="476"/>
      <c r="U669" s="476"/>
      <c r="V669" s="475"/>
      <c r="W669" s="475">
        <f t="shared" ref="W669:AD669" si="287">W557</f>
        <v>2566</v>
      </c>
      <c r="X669" s="475">
        <f t="shared" si="287"/>
        <v>6500</v>
      </c>
      <c r="Y669" s="475">
        <f t="shared" si="287"/>
        <v>0</v>
      </c>
      <c r="Z669" s="475">
        <f t="shared" si="287"/>
        <v>6500</v>
      </c>
      <c r="AA669" s="506">
        <f t="shared" si="287"/>
        <v>10000</v>
      </c>
      <c r="AB669" s="506">
        <f t="shared" si="287"/>
        <v>0</v>
      </c>
      <c r="AC669" s="475">
        <f t="shared" si="287"/>
        <v>6500</v>
      </c>
      <c r="AD669" s="475">
        <f t="shared" si="287"/>
        <v>2566</v>
      </c>
      <c r="AE669" s="479">
        <f t="shared" ref="AE669:AS669" si="288">SUM(AE554:AE556)</f>
        <v>3934</v>
      </c>
      <c r="AF669" s="479">
        <f t="shared" si="288"/>
        <v>0</v>
      </c>
      <c r="AG669" s="479">
        <f t="shared" si="288"/>
        <v>3934</v>
      </c>
      <c r="AH669" s="479">
        <f t="shared" si="288"/>
        <v>0</v>
      </c>
      <c r="AI669" s="479">
        <f t="shared" si="288"/>
        <v>0</v>
      </c>
      <c r="AJ669" s="479">
        <f t="shared" si="288"/>
        <v>0</v>
      </c>
      <c r="AK669" s="479">
        <f t="shared" si="288"/>
        <v>0</v>
      </c>
      <c r="AL669" s="479">
        <f t="shared" si="288"/>
        <v>0</v>
      </c>
      <c r="AM669" s="479">
        <f t="shared" si="288"/>
        <v>2566</v>
      </c>
      <c r="AN669" s="479">
        <f t="shared" si="288"/>
        <v>0</v>
      </c>
      <c r="AO669" s="479">
        <f t="shared" si="288"/>
        <v>0</v>
      </c>
      <c r="AP669" s="479">
        <f t="shared" si="288"/>
        <v>3934</v>
      </c>
      <c r="AQ669" s="479">
        <f t="shared" si="288"/>
        <v>0</v>
      </c>
      <c r="AR669" s="479">
        <f t="shared" si="288"/>
        <v>0</v>
      </c>
      <c r="AS669" s="479">
        <f t="shared" si="288"/>
        <v>3934</v>
      </c>
    </row>
    <row r="670" spans="1:45" s="478" customFormat="1" ht="24.95" customHeight="1">
      <c r="A670" s="472"/>
      <c r="B670" s="472"/>
      <c r="C670" s="474" t="s">
        <v>859</v>
      </c>
      <c r="D670" s="472"/>
      <c r="E670" s="472"/>
      <c r="F670" s="472"/>
      <c r="G670" s="475"/>
      <c r="H670" s="475"/>
      <c r="I670" s="475"/>
      <c r="J670" s="476"/>
      <c r="K670" s="476"/>
      <c r="L670" s="475"/>
      <c r="M670" s="475"/>
      <c r="N670" s="475"/>
      <c r="O670" s="475">
        <f>O602+O21</f>
        <v>18.5</v>
      </c>
      <c r="P670" s="475">
        <f>P602</f>
        <v>0.5</v>
      </c>
      <c r="Q670" s="476"/>
      <c r="R670" s="476"/>
      <c r="S670" s="475"/>
      <c r="T670" s="476"/>
      <c r="U670" s="476"/>
      <c r="V670" s="475"/>
      <c r="W670" s="475">
        <f>W602</f>
        <v>30994</v>
      </c>
      <c r="X670" s="475">
        <f>X602+X21</f>
        <v>141478.10324999999</v>
      </c>
      <c r="Y670" s="475">
        <f>Y602</f>
        <v>0</v>
      </c>
      <c r="Z670" s="475">
        <f>Z602+Z21</f>
        <v>141478.10324999999</v>
      </c>
      <c r="AA670" s="506">
        <f>AA602</f>
        <v>128093.06637499999</v>
      </c>
      <c r="AB670" s="506">
        <f>AB602+AB21</f>
        <v>6614.9631250000002</v>
      </c>
      <c r="AC670" s="475">
        <f>AC602</f>
        <v>117000</v>
      </c>
      <c r="AD670" s="475">
        <f>AD602</f>
        <v>30994</v>
      </c>
      <c r="AE670" s="480">
        <f t="shared" ref="AE670:AS670" si="289">SUM(AE558:AE601)+AE21</f>
        <v>102963.155</v>
      </c>
      <c r="AF670" s="480">
        <f t="shared" si="289"/>
        <v>2632.5</v>
      </c>
      <c r="AG670" s="480">
        <f t="shared" si="289"/>
        <v>107851.60325</v>
      </c>
      <c r="AH670" s="480">
        <f t="shared" si="289"/>
        <v>2632.5</v>
      </c>
      <c r="AI670" s="480">
        <f t="shared" si="289"/>
        <v>4888.4482499999995</v>
      </c>
      <c r="AJ670" s="480">
        <f t="shared" si="289"/>
        <v>0</v>
      </c>
      <c r="AK670" s="480">
        <f t="shared" si="289"/>
        <v>0</v>
      </c>
      <c r="AL670" s="480">
        <f t="shared" si="289"/>
        <v>0</v>
      </c>
      <c r="AM670" s="480">
        <f t="shared" si="289"/>
        <v>30994</v>
      </c>
      <c r="AN670" s="480">
        <f t="shared" si="289"/>
        <v>0</v>
      </c>
      <c r="AO670" s="480">
        <f t="shared" si="289"/>
        <v>0</v>
      </c>
      <c r="AP670" s="480">
        <f t="shared" si="289"/>
        <v>107851.60325</v>
      </c>
      <c r="AQ670" s="480">
        <f t="shared" si="289"/>
        <v>2632.5</v>
      </c>
      <c r="AR670" s="480">
        <f t="shared" si="289"/>
        <v>0</v>
      </c>
      <c r="AS670" s="480">
        <f t="shared" si="289"/>
        <v>110484.10325</v>
      </c>
    </row>
    <row r="671" spans="1:45" s="478" customFormat="1" ht="24.95" customHeight="1">
      <c r="A671" s="472"/>
      <c r="B671" s="472"/>
      <c r="C671" s="474" t="s">
        <v>860</v>
      </c>
      <c r="D671" s="472"/>
      <c r="E671" s="472"/>
      <c r="F671" s="472"/>
      <c r="G671" s="475"/>
      <c r="H671" s="475"/>
      <c r="I671" s="475"/>
      <c r="J671" s="476"/>
      <c r="K671" s="476"/>
      <c r="L671" s="475"/>
      <c r="M671" s="475"/>
      <c r="N671" s="475"/>
      <c r="O671" s="475">
        <f>O662</f>
        <v>25.5</v>
      </c>
      <c r="P671" s="475">
        <f>P662</f>
        <v>1.5</v>
      </c>
      <c r="Q671" s="476"/>
      <c r="R671" s="476"/>
      <c r="S671" s="475"/>
      <c r="T671" s="476"/>
      <c r="U671" s="476"/>
      <c r="V671" s="475"/>
      <c r="W671" s="475">
        <f t="shared" ref="W671:AD671" si="290">W662</f>
        <v>80829.399999999994</v>
      </c>
      <c r="X671" s="475">
        <f t="shared" si="290"/>
        <v>176657.2</v>
      </c>
      <c r="Y671" s="475">
        <f t="shared" si="290"/>
        <v>0</v>
      </c>
      <c r="Z671" s="475">
        <f t="shared" si="290"/>
        <v>176657.2</v>
      </c>
      <c r="AA671" s="506">
        <f t="shared" si="290"/>
        <v>176657.2</v>
      </c>
      <c r="AB671" s="506">
        <f t="shared" si="290"/>
        <v>0</v>
      </c>
      <c r="AC671" s="475">
        <f t="shared" si="290"/>
        <v>175500</v>
      </c>
      <c r="AD671" s="475">
        <f t="shared" si="290"/>
        <v>80829.399999999994</v>
      </c>
      <c r="AE671" s="480">
        <f t="shared" ref="AE671:AS671" si="291">SUM(AE604:AE661)</f>
        <v>86269</v>
      </c>
      <c r="AF671" s="480">
        <f t="shared" si="291"/>
        <v>5251</v>
      </c>
      <c r="AG671" s="480">
        <f t="shared" si="291"/>
        <v>88369.4</v>
      </c>
      <c r="AH671" s="480">
        <f t="shared" si="291"/>
        <v>6301.2000000000007</v>
      </c>
      <c r="AI671" s="480">
        <f t="shared" si="291"/>
        <v>2100.4000000000005</v>
      </c>
      <c r="AJ671" s="480">
        <f t="shared" si="291"/>
        <v>1050.2000000000003</v>
      </c>
      <c r="AK671" s="480">
        <f t="shared" si="291"/>
        <v>0</v>
      </c>
      <c r="AL671" s="480">
        <f t="shared" si="291"/>
        <v>0</v>
      </c>
      <c r="AM671" s="480">
        <f t="shared" si="291"/>
        <v>80829.399999999994</v>
      </c>
      <c r="AN671" s="480">
        <f t="shared" si="291"/>
        <v>1157.2</v>
      </c>
      <c r="AO671" s="480">
        <f t="shared" si="291"/>
        <v>0</v>
      </c>
      <c r="AP671" s="480">
        <f t="shared" si="291"/>
        <v>88369.4</v>
      </c>
      <c r="AQ671" s="480">
        <f t="shared" si="291"/>
        <v>6301.2000000000007</v>
      </c>
      <c r="AR671" s="480">
        <f t="shared" si="291"/>
        <v>0</v>
      </c>
      <c r="AS671" s="480">
        <f t="shared" si="291"/>
        <v>94670.6</v>
      </c>
    </row>
    <row r="672" spans="1:45" s="205" customFormat="1" ht="24.95" customHeight="1">
      <c r="A672" s="201"/>
      <c r="B672" s="201"/>
      <c r="C672" s="481"/>
      <c r="D672" s="201"/>
      <c r="E672" s="482"/>
      <c r="F672" s="201"/>
      <c r="G672" s="201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507"/>
      <c r="AB672" s="507"/>
      <c r="AC672" s="201"/>
      <c r="AD672" s="201"/>
      <c r="AE672" s="1115" t="s">
        <v>276</v>
      </c>
      <c r="AF672" s="1116"/>
      <c r="AG672" s="1116"/>
      <c r="AH672" s="1116"/>
      <c r="AI672" s="1116"/>
      <c r="AJ672" s="1116"/>
      <c r="AK672" s="1120" t="s">
        <v>277</v>
      </c>
      <c r="AL672" s="1121"/>
      <c r="AM672" s="1115" t="s">
        <v>273</v>
      </c>
      <c r="AN672" s="1120" t="s">
        <v>278</v>
      </c>
      <c r="AO672" s="1121"/>
      <c r="AP672" s="1115" t="s">
        <v>279</v>
      </c>
      <c r="AQ672" s="1116"/>
      <c r="AR672" s="1116"/>
      <c r="AS672" s="1116"/>
    </row>
    <row r="673" spans="1:45" s="488" customFormat="1" ht="24.95" customHeight="1">
      <c r="A673" s="483"/>
      <c r="B673" s="483"/>
      <c r="C673" s="484" t="s">
        <v>993</v>
      </c>
      <c r="D673" s="485"/>
      <c r="E673" s="485"/>
      <c r="F673" s="485"/>
      <c r="G673" s="486"/>
      <c r="H673" s="486"/>
      <c r="I673" s="485" t="s">
        <v>252</v>
      </c>
      <c r="J673" s="487"/>
      <c r="K673" s="485"/>
      <c r="L673" s="483"/>
      <c r="M673" s="483"/>
      <c r="N673" s="483"/>
      <c r="O673" s="483"/>
      <c r="P673" s="483"/>
      <c r="Q673" s="483"/>
      <c r="R673" s="483"/>
      <c r="S673" s="483"/>
      <c r="T673" s="483"/>
      <c r="U673" s="483"/>
      <c r="V673" s="483"/>
      <c r="W673" s="483"/>
      <c r="X673" s="483"/>
      <c r="Y673" s="483"/>
      <c r="Z673" s="483"/>
      <c r="AA673" s="508"/>
      <c r="AB673" s="508"/>
      <c r="AC673" s="483"/>
      <c r="AD673" s="483"/>
      <c r="AE673" s="1116"/>
      <c r="AF673" s="1116"/>
      <c r="AG673" s="1116"/>
      <c r="AH673" s="1116"/>
      <c r="AI673" s="1116"/>
      <c r="AJ673" s="1116"/>
      <c r="AK673" s="1122"/>
      <c r="AL673" s="1123"/>
      <c r="AM673" s="1115"/>
      <c r="AN673" s="1122"/>
      <c r="AO673" s="1123"/>
      <c r="AP673" s="1116"/>
      <c r="AQ673" s="1116"/>
      <c r="AR673" s="1116"/>
      <c r="AS673" s="1116"/>
    </row>
    <row r="674" spans="1:45" s="488" customFormat="1" ht="24.95" customHeight="1">
      <c r="A674" s="483"/>
      <c r="B674" s="483"/>
      <c r="C674" s="484" t="s">
        <v>861</v>
      </c>
      <c r="D674" s="485"/>
      <c r="E674" s="485"/>
      <c r="F674" s="485"/>
      <c r="G674" s="486"/>
      <c r="H674" s="486"/>
      <c r="I674" s="485" t="s">
        <v>862</v>
      </c>
      <c r="J674" s="489"/>
      <c r="K674" s="485"/>
      <c r="L674" s="483"/>
      <c r="M674" s="483"/>
      <c r="T674" s="483"/>
      <c r="U674" s="483"/>
      <c r="V674" s="483"/>
      <c r="W674" s="483"/>
      <c r="X674" s="483"/>
      <c r="Y674" s="483"/>
      <c r="Z674" s="483"/>
      <c r="AA674" s="508"/>
      <c r="AB674" s="508"/>
      <c r="AC674" s="483"/>
      <c r="AD674" s="483"/>
      <c r="AE674" s="1117" t="s">
        <v>298</v>
      </c>
      <c r="AF674" s="1118"/>
      <c r="AG674" s="1117" t="s">
        <v>299</v>
      </c>
      <c r="AH674" s="1118"/>
      <c r="AI674" s="1117" t="s">
        <v>300</v>
      </c>
      <c r="AJ674" s="1118"/>
      <c r="AK674" s="1124"/>
      <c r="AL674" s="1125"/>
      <c r="AM674" s="1115"/>
      <c r="AN674" s="1124"/>
      <c r="AO674" s="1125"/>
      <c r="AP674" s="1119" t="s">
        <v>301</v>
      </c>
      <c r="AQ674" s="1119"/>
      <c r="AR674" s="514"/>
      <c r="AS674" s="514" t="s">
        <v>303</v>
      </c>
    </row>
    <row r="675" spans="1:45" s="488" customFormat="1" ht="24.95" customHeight="1">
      <c r="A675" s="483"/>
      <c r="B675" s="483"/>
      <c r="C675" s="484"/>
      <c r="D675" s="485"/>
      <c r="E675" s="485"/>
      <c r="F675" s="485"/>
      <c r="G675" s="485"/>
      <c r="H675" s="485"/>
      <c r="I675" s="485"/>
      <c r="J675" s="487"/>
      <c r="K675" s="485"/>
      <c r="L675" s="483"/>
      <c r="M675" s="483"/>
      <c r="N675" s="486"/>
      <c r="O675" s="486"/>
      <c r="P675" s="484" t="s">
        <v>1077</v>
      </c>
      <c r="Q675" s="489"/>
      <c r="R675" s="485"/>
      <c r="S675" s="483"/>
      <c r="T675" s="483"/>
      <c r="U675" s="483"/>
      <c r="V675" s="483"/>
      <c r="W675" s="483"/>
      <c r="X675" s="483"/>
      <c r="Y675" s="483"/>
      <c r="Z675" s="483"/>
      <c r="AA675" s="508"/>
      <c r="AB675" s="508"/>
      <c r="AC675" s="483"/>
      <c r="AD675" s="483"/>
      <c r="AE675" s="490"/>
      <c r="AF675" s="490"/>
      <c r="AG675" s="490"/>
      <c r="AH675" s="490"/>
      <c r="AI675" s="490"/>
      <c r="AJ675" s="490"/>
      <c r="AK675" s="490"/>
      <c r="AL675" s="490"/>
      <c r="AM675" s="490"/>
      <c r="AN675" s="490"/>
      <c r="AO675" s="490"/>
      <c r="AP675" s="490"/>
      <c r="AQ675" s="490"/>
      <c r="AR675" s="490"/>
      <c r="AS675" s="490"/>
    </row>
    <row r="676" spans="1:45" s="488" customFormat="1" ht="24.95" customHeight="1">
      <c r="A676" s="483"/>
      <c r="B676" s="483"/>
      <c r="C676" s="484" t="s">
        <v>863</v>
      </c>
      <c r="D676" s="485"/>
      <c r="E676" s="485"/>
      <c r="F676" s="485"/>
      <c r="G676" s="486"/>
      <c r="H676" s="486"/>
      <c r="I676" s="484" t="s">
        <v>864</v>
      </c>
      <c r="J676" s="489"/>
      <c r="K676" s="485"/>
      <c r="L676" s="483"/>
      <c r="M676" s="483"/>
      <c r="N676" s="486"/>
      <c r="O676" s="486"/>
      <c r="P676" s="484" t="s">
        <v>865</v>
      </c>
      <c r="Q676" s="487"/>
      <c r="R676" s="485"/>
      <c r="S676" s="483"/>
      <c r="T676" s="483"/>
      <c r="U676" s="483"/>
      <c r="V676" s="483"/>
      <c r="W676" s="483"/>
      <c r="X676" s="483"/>
      <c r="Y676" s="483"/>
      <c r="Z676" s="483"/>
      <c r="AA676" s="508"/>
      <c r="AB676" s="508"/>
      <c r="AC676" s="483"/>
      <c r="AD676" s="483"/>
      <c r="AE676" s="491">
        <f>AE663-AE664</f>
        <v>0</v>
      </c>
      <c r="AF676" s="491">
        <f t="shared" ref="AF676:AS676" si="292">AF663-AF664</f>
        <v>0</v>
      </c>
      <c r="AG676" s="491">
        <f t="shared" si="292"/>
        <v>0</v>
      </c>
      <c r="AH676" s="491">
        <f t="shared" si="292"/>
        <v>0</v>
      </c>
      <c r="AI676" s="491">
        <f t="shared" si="292"/>
        <v>0</v>
      </c>
      <c r="AJ676" s="491">
        <f t="shared" si="292"/>
        <v>0</v>
      </c>
      <c r="AK676" s="491">
        <f t="shared" si="292"/>
        <v>0</v>
      </c>
      <c r="AL676" s="491">
        <f t="shared" si="292"/>
        <v>0</v>
      </c>
      <c r="AM676" s="491">
        <f t="shared" si="292"/>
        <v>0</v>
      </c>
      <c r="AN676" s="491">
        <f t="shared" si="292"/>
        <v>0</v>
      </c>
      <c r="AO676" s="491">
        <f t="shared" si="292"/>
        <v>0</v>
      </c>
      <c r="AP676" s="491">
        <f>AP663-AP664</f>
        <v>0</v>
      </c>
      <c r="AQ676" s="491">
        <f t="shared" si="292"/>
        <v>0</v>
      </c>
      <c r="AR676" s="491">
        <f t="shared" si="292"/>
        <v>0</v>
      </c>
      <c r="AS676" s="491">
        <f t="shared" si="292"/>
        <v>0</v>
      </c>
    </row>
    <row r="677" spans="1:45" s="488" customFormat="1" ht="24.95" customHeight="1">
      <c r="A677" s="483"/>
      <c r="B677" s="483"/>
      <c r="C677" s="484"/>
      <c r="D677" s="485"/>
      <c r="E677" s="485"/>
      <c r="F677" s="485"/>
      <c r="G677" s="486"/>
      <c r="H677" s="486"/>
      <c r="I677" s="484" t="s">
        <v>866</v>
      </c>
      <c r="J677" s="489"/>
      <c r="K677" s="485"/>
      <c r="L677" s="483"/>
      <c r="M677" s="483"/>
      <c r="N677" s="492"/>
      <c r="O677" s="492"/>
      <c r="P677" s="484" t="s">
        <v>867</v>
      </c>
      <c r="R677" s="485"/>
      <c r="S677" s="483"/>
      <c r="T677" s="483"/>
      <c r="U677" s="483"/>
      <c r="V677" s="483"/>
      <c r="W677" s="483"/>
      <c r="X677" s="483"/>
      <c r="Y677" s="483"/>
      <c r="Z677" s="483"/>
      <c r="AA677" s="508"/>
      <c r="AB677" s="508"/>
      <c r="AC677" s="483"/>
      <c r="AD677" s="483"/>
      <c r="AE677" s="490"/>
      <c r="AF677" s="490"/>
      <c r="AG677" s="490"/>
      <c r="AH677" s="490"/>
      <c r="AI677" s="490"/>
      <c r="AJ677" s="490"/>
      <c r="AK677" s="490"/>
      <c r="AL677" s="490"/>
      <c r="AM677" s="490"/>
      <c r="AN677" s="490"/>
      <c r="AO677" s="490"/>
      <c r="AP677" s="490"/>
      <c r="AQ677" s="490"/>
      <c r="AR677" s="490"/>
      <c r="AS677" s="490"/>
    </row>
    <row r="678" spans="1:45" s="488" customFormat="1" ht="24.95" customHeight="1">
      <c r="A678" s="483"/>
      <c r="B678" s="483"/>
      <c r="C678" s="484"/>
      <c r="D678" s="485"/>
      <c r="E678" s="485"/>
      <c r="F678" s="485"/>
      <c r="G678" s="486"/>
      <c r="H678" s="486"/>
      <c r="I678" s="484" t="s">
        <v>1078</v>
      </c>
      <c r="J678" s="487"/>
      <c r="K678" s="485"/>
      <c r="L678" s="483"/>
      <c r="M678" s="483"/>
      <c r="N678" s="492"/>
      <c r="O678" s="492"/>
      <c r="P678" s="484" t="s">
        <v>1079</v>
      </c>
      <c r="Q678" s="487"/>
      <c r="R678" s="485"/>
      <c r="S678" s="483"/>
      <c r="T678" s="483"/>
      <c r="U678" s="483"/>
      <c r="V678" s="483"/>
      <c r="W678" s="483"/>
      <c r="X678" s="483"/>
      <c r="Y678" s="483"/>
      <c r="Z678" s="483"/>
      <c r="AA678" s="508"/>
      <c r="AB678" s="508"/>
      <c r="AC678" s="483"/>
      <c r="AD678" s="483"/>
      <c r="AE678" s="490"/>
      <c r="AF678" s="490"/>
      <c r="AG678" s="490"/>
      <c r="AH678" s="490"/>
      <c r="AI678" s="490"/>
      <c r="AJ678" s="490"/>
      <c r="AK678" s="490"/>
      <c r="AL678" s="490"/>
      <c r="AM678" s="490"/>
      <c r="AN678" s="490"/>
      <c r="AO678" s="490"/>
      <c r="AP678" s="490"/>
      <c r="AQ678" s="490"/>
      <c r="AR678" s="490"/>
      <c r="AS678" s="490"/>
    </row>
    <row r="679" spans="1:45" s="488" customFormat="1" ht="24.95" customHeight="1">
      <c r="A679" s="483"/>
      <c r="B679" s="483"/>
      <c r="C679" s="484"/>
      <c r="D679" s="485"/>
      <c r="E679" s="485"/>
      <c r="F679" s="485"/>
      <c r="G679" s="486"/>
      <c r="H679" s="486"/>
      <c r="I679" s="484" t="s">
        <v>868</v>
      </c>
      <c r="J679" s="487"/>
      <c r="K679" s="485"/>
      <c r="L679" s="483"/>
      <c r="M679" s="483"/>
      <c r="N679" s="486"/>
      <c r="O679" s="486"/>
      <c r="P679" s="484" t="s">
        <v>869</v>
      </c>
      <c r="Q679" s="487"/>
      <c r="R679" s="485"/>
      <c r="S679" s="483"/>
      <c r="T679" s="483"/>
      <c r="U679" s="483"/>
      <c r="V679" s="483"/>
      <c r="W679" s="483"/>
      <c r="X679" s="483"/>
      <c r="Y679" s="483"/>
      <c r="Z679" s="483"/>
      <c r="AA679" s="508"/>
      <c r="AB679" s="508"/>
      <c r="AC679" s="483"/>
      <c r="AD679" s="483"/>
      <c r="AE679" s="490"/>
      <c r="AF679" s="490"/>
      <c r="AG679" s="490"/>
      <c r="AH679" s="490"/>
      <c r="AI679" s="490"/>
      <c r="AJ679" s="490"/>
      <c r="AK679" s="490"/>
      <c r="AL679" s="490"/>
      <c r="AM679" s="490"/>
      <c r="AN679" s="490"/>
      <c r="AO679" s="490"/>
      <c r="AP679" s="490"/>
      <c r="AQ679" s="490"/>
      <c r="AR679" s="490"/>
      <c r="AS679" s="490"/>
    </row>
    <row r="680" spans="1:45" s="169" customFormat="1" ht="38.25">
      <c r="A680" s="162"/>
      <c r="B680" s="162"/>
      <c r="C680" s="212" t="s">
        <v>1227</v>
      </c>
      <c r="D680" s="211"/>
      <c r="E680" s="211"/>
      <c r="F680" s="211"/>
      <c r="G680" s="211"/>
      <c r="H680" s="211"/>
      <c r="I680" s="211"/>
      <c r="J680" s="211"/>
      <c r="K680" s="211"/>
      <c r="L680" s="211"/>
      <c r="M680" s="213"/>
      <c r="N680" s="213"/>
      <c r="O680" s="216">
        <f>O15+O17+O19+O21</f>
        <v>4</v>
      </c>
      <c r="P680" s="216">
        <f>P15+P17+P19+P21</f>
        <v>0</v>
      </c>
      <c r="Q680" s="216"/>
      <c r="R680" s="216"/>
      <c r="S680" s="216"/>
      <c r="T680" s="216"/>
      <c r="U680" s="216"/>
      <c r="V680" s="216"/>
      <c r="W680" s="216"/>
      <c r="X680" s="216">
        <f>X15+X17+X19+X21</f>
        <v>66606.537896250011</v>
      </c>
      <c r="Y680" s="216"/>
      <c r="Z680" s="216">
        <f>Z15+Z17+Z19+Z21</f>
        <v>73643.343840000001</v>
      </c>
      <c r="AA680" s="509"/>
      <c r="AB680" s="509">
        <f>AB15+AB17+AB19+AB21</f>
        <v>13393.462103749996</v>
      </c>
      <c r="AC680" s="293"/>
      <c r="AD680" s="293"/>
      <c r="AE680" s="509"/>
      <c r="AF680" s="509"/>
      <c r="AG680" s="509"/>
      <c r="AH680" s="509"/>
      <c r="AI680" s="509"/>
      <c r="AJ680" s="509"/>
      <c r="AK680" s="509"/>
      <c r="AL680" s="509"/>
      <c r="AM680" s="509"/>
      <c r="AN680" s="509"/>
      <c r="AO680" s="509"/>
      <c r="AP680" s="293">
        <f>AP15+AP17+AP19+AP21</f>
        <v>55414.989337500003</v>
      </c>
      <c r="AQ680" s="293">
        <f>AQ15+AQ17+AQ19+AQ21</f>
        <v>0</v>
      </c>
      <c r="AR680" s="293">
        <f>AR15+AR17+AR19+AR21</f>
        <v>0</v>
      </c>
      <c r="AS680" s="293">
        <f>AS15+AS17+AS19+AS21</f>
        <v>55414.989337500003</v>
      </c>
    </row>
    <row r="681" spans="1:45" s="215" customFormat="1" ht="76.5">
      <c r="A681" s="214"/>
      <c r="B681" s="214"/>
      <c r="C681" s="212" t="s">
        <v>1224</v>
      </c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6">
        <f>O69+O97+O129+O135+O141+O172+O182+O196+O560</f>
        <v>9</v>
      </c>
      <c r="P681" s="216">
        <f>P69+P97+P129+P135+P141+P172+P182+P196+P560</f>
        <v>0</v>
      </c>
      <c r="Q681" s="216"/>
      <c r="R681" s="216"/>
      <c r="S681" s="216"/>
      <c r="T681" s="216"/>
      <c r="U681" s="216"/>
      <c r="V681" s="216"/>
      <c r="W681" s="216"/>
      <c r="X681" s="216">
        <f>X69+X97+X129+X135+X141+X172+X182+X196+X560</f>
        <v>103956.85395</v>
      </c>
      <c r="Y681" s="216"/>
      <c r="Z681" s="216">
        <f>Z69+Z97+Z129+Z135+Z141+Z172+Z182+Z196+Z560</f>
        <v>166180.56125</v>
      </c>
      <c r="AA681" s="509"/>
      <c r="AB681" s="509">
        <f>AB69+AB97+AB129+AB135+AB141+AB172+AB182+AB196+AB560</f>
        <v>62223.707299999995</v>
      </c>
      <c r="AC681" s="293"/>
      <c r="AD681" s="293"/>
      <c r="AE681" s="509"/>
      <c r="AF681" s="509"/>
      <c r="AG681" s="509"/>
      <c r="AH681" s="509"/>
      <c r="AI681" s="509"/>
      <c r="AJ681" s="509"/>
      <c r="AK681" s="509"/>
      <c r="AL681" s="509"/>
      <c r="AM681" s="509"/>
      <c r="AN681" s="509"/>
      <c r="AO681" s="509"/>
      <c r="AP681" s="293">
        <f>AP69+AP97+AP129+AP135+AP141+AP172+AP182+AP196+AP560</f>
        <v>83857.540249999991</v>
      </c>
      <c r="AQ681" s="293">
        <f>AQ69+AQ97+AQ129+AQ135+AQ141+AQ172+AQ182+AQ196+AQ560</f>
        <v>0</v>
      </c>
      <c r="AR681" s="293">
        <f>AR69+AR97+AR129+AR135+AR141+AR172+AR182+AR196+AR560</f>
        <v>0</v>
      </c>
      <c r="AS681" s="293">
        <f>AS69+AS97+AS129+AS135+AS141+AS172+AS182+AS196+AS560</f>
        <v>83857.540249999991</v>
      </c>
    </row>
    <row r="682" spans="1:45" s="215" customFormat="1" ht="38.25">
      <c r="A682" s="214"/>
      <c r="B682" s="214"/>
      <c r="C682" s="212" t="s">
        <v>16</v>
      </c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94"/>
      <c r="O682" s="217">
        <f>O67+O71+O73+O75+O77+O79+O81+O83+O85+O87+O89+O91+O93+O99+O101+O103+O105+O107+O109+O111+O113+O115+O117+O119+O123+O125+O131+O137+O143+O145+O147+O149+O151+O153+O155+O157+O161+O163+O165+O167+O174+O178+O191</f>
        <v>31.75</v>
      </c>
      <c r="P682" s="217">
        <f>P67+P71+P73+P75+P77+P79+P81+P83+P85+P87+P89+P91+P93+P99+P101+P103+P105+P107+P109+P111+P113+P115+P117+P119+P123+P125+P131+P137+P143+P145+P147+P149+P151+P153+P155+P157+P161+P163+P165+P167+P174+P178+P191</f>
        <v>10.25</v>
      </c>
      <c r="Q682" s="217"/>
      <c r="R682" s="217"/>
      <c r="S682" s="217"/>
      <c r="T682" s="217"/>
      <c r="U682" s="217"/>
      <c r="V682" s="217"/>
      <c r="W682" s="217"/>
      <c r="X682" s="217">
        <f>X67+X71+X73+X75+X77+X79+X81+X83+X85+X87+X89+X91+X93+X99+X101+X103+X105+X107+X109+X111+X113+X115+X117+X119+X123+X125+X131+X137+X143+X145+X147+X149+X151+X153+X155+X157+X161+X163+X165+X167+X174+X178+X191</f>
        <v>359765.07175</v>
      </c>
      <c r="Y682" s="217"/>
      <c r="Z682" s="217">
        <f>Z67+Z71+Z73+Z75+Z77+Z79+Z81+Z83+Z85+Z87+Z89+Z91+Z93+Z99+Z101+Z103+Z105+Z107+Z109+Z111+Z113+Z115+Z117+Z119+Z123+Z125+Z131+Z137+Z143+Z145+Z147+Z149+Z151+Z153+Z155+Z157+Z161+Z163+Z165+Z167+Z174+Z178+Z191</f>
        <v>840000</v>
      </c>
      <c r="AA682" s="510"/>
      <c r="AB682" s="510">
        <f>AB67+AB71+AB73+AB75+AB77+AB79+AB81+AB83+AB85+AB87+AB89+AB91+AB93+AB99+AB101+AB103+AB105+AB107+AB109+AB111+AB113+AB115+AB117+AB119+AB123+AB125+AB131+AB137+AB143+AB145+AB147+AB149+AB151+AB153+AB155+AB157+AB161+AB163+AB165+AB167+AB174+AB178+AB191</f>
        <v>480234.92825000011</v>
      </c>
      <c r="AC682" s="293"/>
      <c r="AD682" s="293"/>
      <c r="AE682" s="510"/>
      <c r="AF682" s="510"/>
      <c r="AG682" s="510"/>
      <c r="AH682" s="510"/>
      <c r="AI682" s="510"/>
      <c r="AJ682" s="510"/>
      <c r="AK682" s="510"/>
      <c r="AL682" s="510"/>
      <c r="AM682" s="510"/>
      <c r="AN682" s="510"/>
      <c r="AO682" s="510"/>
      <c r="AP682" s="293">
        <f>AP67+AP71+AP73+AP75+AP77+AP79+AP81+AP83+AP85+AP87+AP89+AP91+AP93+AP99+AP101+AP103+AP105+AP107+AP109+AP111+AP113+AP115+AP117+AP119+AP123+AP125+AP131+AP137+AP143+AP145+AP147+AP149+AP151+AP153+AP155+AP157+AP161+AP163+AP165+AP167+AP174+AP178+AP191</f>
        <v>225133.29749999999</v>
      </c>
      <c r="AQ682" s="293">
        <f>AQ67+AQ71+AQ73+AQ75+AQ77+AQ79+AQ81+AQ83+AQ85+AQ87+AQ89+AQ91+AQ93+AQ99+AQ101+AQ103+AQ105+AQ107+AQ109+AQ111+AQ113+AQ115+AQ117+AQ119+AQ123+AQ125+AQ131+AQ137+AQ143+AQ145+AQ147+AQ149+AQ151+AQ153+AQ155+AQ157+AQ161+AQ163+AQ165+AQ167+AQ174+AQ178+AQ191</f>
        <v>75557.55</v>
      </c>
      <c r="AR682" s="293">
        <f>AR67+AR71+AR73+AR75+AR77+AR79+AR81+AR83+AR85+AR87+AR89+AR91+AR93+AR99+AR101+AR103+AR105+AR107+AR109+AR111+AR113+AR115+AR117+AR119+AR123+AR125+AR131+AR137+AR143+AR145+AR147+AR149+AR151+AR153+AR155+AR157+AR161+AR163+AR165+AR167+AR174+AR178+AR191</f>
        <v>0</v>
      </c>
      <c r="AS682" s="293">
        <f>AS67+AS71+AS73+AS75+AS77+AS79+AS81+AS83+AS85+AS87+AS89+AS91+AS93+AS99+AS101+AS103+AS105+AS107+AS109+AS111+AS113+AS115+AS117+AS119+AS123+AS125+AS131+AS137+AS143+AS145+AS147+AS149+AS151+AS153+AS155+AS157+AS161+AS163+AS165+AS167+AS174+AS178+AS191</f>
        <v>300690.84749999997</v>
      </c>
    </row>
    <row r="683" spans="1:45" s="215" customFormat="1" ht="38.25">
      <c r="A683" s="214"/>
      <c r="B683" s="214"/>
      <c r="C683" s="212" t="s">
        <v>1228</v>
      </c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7">
        <f>O667-O196</f>
        <v>93.5</v>
      </c>
      <c r="P683" s="217">
        <f>P667-P196</f>
        <v>1</v>
      </c>
      <c r="Q683" s="217"/>
      <c r="R683" s="217"/>
      <c r="S683" s="217"/>
      <c r="T683" s="217"/>
      <c r="U683" s="217"/>
      <c r="V683" s="217"/>
      <c r="W683" s="217"/>
      <c r="X683" s="217">
        <f>X667-X196</f>
        <v>655067.90750000009</v>
      </c>
      <c r="Y683" s="217"/>
      <c r="Z683" s="217">
        <f>Z667-Z196</f>
        <v>1275750</v>
      </c>
      <c r="AA683" s="510"/>
      <c r="AB683" s="510">
        <f>AB667-AB196</f>
        <v>620682.09249999991</v>
      </c>
      <c r="AC683" s="293"/>
      <c r="AD683" s="293"/>
      <c r="AE683" s="510"/>
      <c r="AF683" s="510"/>
      <c r="AG683" s="510"/>
      <c r="AH683" s="510"/>
      <c r="AI683" s="510"/>
      <c r="AJ683" s="510"/>
      <c r="AK683" s="510"/>
      <c r="AL683" s="510"/>
      <c r="AM683" s="510"/>
      <c r="AN683" s="510"/>
      <c r="AO683" s="510"/>
      <c r="AP683" s="293">
        <f>AP667-AP196</f>
        <v>496549.52499999997</v>
      </c>
      <c r="AQ683" s="293">
        <f>AQ667-AQ196</f>
        <v>5124.875</v>
      </c>
      <c r="AR683" s="293">
        <f>AR667-AR196</f>
        <v>0</v>
      </c>
      <c r="AS683" s="293">
        <f>AS667-AS196</f>
        <v>501674.39999999997</v>
      </c>
    </row>
    <row r="684" spans="1:45" s="215" customFormat="1" ht="38.25">
      <c r="A684" s="214"/>
      <c r="B684" s="214"/>
      <c r="C684" s="212" t="s">
        <v>102</v>
      </c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7">
        <f>O668</f>
        <v>39</v>
      </c>
      <c r="P684" s="217">
        <f>P668</f>
        <v>0</v>
      </c>
      <c r="Q684" s="217"/>
      <c r="R684" s="217"/>
      <c r="S684" s="217"/>
      <c r="T684" s="217"/>
      <c r="U684" s="217"/>
      <c r="V684" s="217"/>
      <c r="W684" s="217"/>
      <c r="X684" s="217">
        <f>X668</f>
        <v>267429.90999999997</v>
      </c>
      <c r="Y684" s="217"/>
      <c r="Z684" s="217">
        <f>Z668</f>
        <v>267429.90999999997</v>
      </c>
      <c r="AA684" s="510"/>
      <c r="AB684" s="510">
        <f>AB668</f>
        <v>0</v>
      </c>
      <c r="AC684" s="293"/>
      <c r="AD684" s="293"/>
      <c r="AE684" s="510"/>
      <c r="AF684" s="510"/>
      <c r="AG684" s="510"/>
      <c r="AH684" s="510"/>
      <c r="AI684" s="510"/>
      <c r="AJ684" s="510"/>
      <c r="AK684" s="510"/>
      <c r="AL684" s="510"/>
      <c r="AM684" s="510"/>
      <c r="AN684" s="510"/>
      <c r="AO684" s="510"/>
      <c r="AP684" s="293">
        <f>AP668</f>
        <v>139299.09999999998</v>
      </c>
      <c r="AQ684" s="293">
        <f>AQ668</f>
        <v>0</v>
      </c>
      <c r="AR684" s="293">
        <f>AR668</f>
        <v>0</v>
      </c>
      <c r="AS684" s="293">
        <f>AS668</f>
        <v>139299.09999999998</v>
      </c>
    </row>
    <row r="685" spans="1:45" s="215" customFormat="1" ht="38.25">
      <c r="A685" s="214"/>
      <c r="B685" s="214"/>
      <c r="C685" s="212" t="s">
        <v>1225</v>
      </c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7">
        <f>O669+O670+O671-O560-O21</f>
        <v>43</v>
      </c>
      <c r="P685" s="217">
        <f>P669+P670+P671-P560-P21</f>
        <v>2</v>
      </c>
      <c r="Q685" s="217"/>
      <c r="R685" s="217"/>
      <c r="S685" s="217"/>
      <c r="T685" s="217"/>
      <c r="U685" s="217"/>
      <c r="V685" s="217"/>
      <c r="W685" s="217"/>
      <c r="X685" s="217">
        <f>X669+X670+X671-X560-X21</f>
        <v>298569.70512499998</v>
      </c>
      <c r="Y685" s="217"/>
      <c r="Z685" s="217">
        <f>Z669+Z670+Z671-Z560-Z21</f>
        <v>298569.70512499998</v>
      </c>
      <c r="AA685" s="510"/>
      <c r="AB685" s="510">
        <f>AB669+AB670+AB671-AB560-AB21</f>
        <v>0</v>
      </c>
      <c r="AC685" s="293"/>
      <c r="AD685" s="293"/>
      <c r="AE685" s="510"/>
      <c r="AF685" s="510"/>
      <c r="AG685" s="510"/>
      <c r="AH685" s="510"/>
      <c r="AI685" s="510"/>
      <c r="AJ685" s="510"/>
      <c r="AK685" s="510"/>
      <c r="AL685" s="510"/>
      <c r="AM685" s="510"/>
      <c r="AN685" s="510"/>
      <c r="AO685" s="510"/>
      <c r="AP685" s="293">
        <f>AP669+AP670+AP671-AP560-AP21</f>
        <v>174089.40512500002</v>
      </c>
      <c r="AQ685" s="293">
        <f>AQ669+AQ670+AQ671-AQ560-AQ21</f>
        <v>8933.7000000000007</v>
      </c>
      <c r="AR685" s="293">
        <f>AR669+AR670+AR671-AR560-AR21</f>
        <v>0</v>
      </c>
      <c r="AS685" s="293">
        <f>AS669+AS670+AS671-AS560-AS21</f>
        <v>183023.10512500003</v>
      </c>
    </row>
    <row r="686" spans="1:45" s="205" customFormat="1">
      <c r="A686" s="200"/>
      <c r="B686" s="200"/>
      <c r="C686" s="193" t="s">
        <v>318</v>
      </c>
      <c r="D686" s="194"/>
      <c r="E686" s="192"/>
      <c r="F686" s="192"/>
      <c r="G686" s="196"/>
      <c r="H686" s="197"/>
      <c r="I686" s="198"/>
      <c r="J686" s="198"/>
      <c r="K686" s="198"/>
      <c r="L686" s="198"/>
      <c r="M686" s="198"/>
      <c r="N686" s="196"/>
      <c r="O686" s="198">
        <f>SUM(O680:O685)</f>
        <v>220.25</v>
      </c>
      <c r="P686" s="198">
        <f>SUM(P680:P685)</f>
        <v>13.25</v>
      </c>
      <c r="Q686" s="198"/>
      <c r="R686" s="198"/>
      <c r="S686" s="197"/>
      <c r="T686" s="198"/>
      <c r="U686" s="198"/>
      <c r="V686" s="198"/>
      <c r="W686" s="198"/>
      <c r="X686" s="198">
        <f>SUM(X680:X685)</f>
        <v>1751395.9862212501</v>
      </c>
      <c r="Y686" s="198"/>
      <c r="Z686" s="198">
        <f>SUM(Z680:Z685)</f>
        <v>2921573.520215</v>
      </c>
      <c r="AA686" s="511"/>
      <c r="AB686" s="511">
        <f>SUM(AB680:AB685)</f>
        <v>1176534.1901537501</v>
      </c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>
        <f>SUM(AP680:AP685)</f>
        <v>1174343.8572124999</v>
      </c>
      <c r="AQ686" s="195">
        <f>SUM(AQ680:AQ685)</f>
        <v>89616.125</v>
      </c>
      <c r="AR686" s="195">
        <f>SUM(AR680:AR685)</f>
        <v>0</v>
      </c>
      <c r="AS686" s="195">
        <f>SUM(AS680:AS685)</f>
        <v>1263959.9822124999</v>
      </c>
    </row>
    <row r="687" spans="1:45" s="205" customFormat="1">
      <c r="A687" s="200"/>
      <c r="B687" s="200"/>
      <c r="C687" s="199"/>
      <c r="D687" s="156"/>
      <c r="E687" s="158"/>
      <c r="F687" s="156"/>
      <c r="G687" s="156"/>
      <c r="H687" s="156"/>
      <c r="I687" s="156"/>
      <c r="J687" s="156"/>
      <c r="K687" s="156"/>
      <c r="L687" s="156"/>
      <c r="M687" s="156"/>
      <c r="N687" s="156"/>
      <c r="O687" s="206">
        <f>O686-O663</f>
        <v>0</v>
      </c>
      <c r="P687" s="206">
        <f>P686-P663</f>
        <v>0</v>
      </c>
      <c r="Q687" s="156"/>
      <c r="R687" s="156"/>
      <c r="S687" s="156"/>
      <c r="T687" s="156"/>
      <c r="U687" s="156"/>
      <c r="V687" s="156"/>
      <c r="W687" s="156"/>
      <c r="X687" s="206">
        <f>X663-X686</f>
        <v>0</v>
      </c>
      <c r="Y687" s="156"/>
      <c r="Z687" s="206">
        <f>Z663-Z686</f>
        <v>0</v>
      </c>
      <c r="AA687" s="494"/>
      <c r="AB687" s="512">
        <f>AB663-AB686</f>
        <v>0</v>
      </c>
      <c r="AC687" s="233"/>
      <c r="AD687" s="233"/>
      <c r="AE687" s="233"/>
      <c r="AF687" s="233"/>
      <c r="AG687" s="233"/>
      <c r="AH687" s="233"/>
      <c r="AI687" s="233"/>
      <c r="AJ687" s="233"/>
      <c r="AK687" s="233"/>
      <c r="AL687" s="233"/>
      <c r="AM687" s="233"/>
      <c r="AN687" s="233"/>
      <c r="AO687" s="233"/>
      <c r="AP687" s="233"/>
      <c r="AQ687" s="233"/>
      <c r="AR687" s="233"/>
      <c r="AS687" s="233">
        <f>AS686-AS663</f>
        <v>0</v>
      </c>
    </row>
    <row r="688" spans="1:45" s="205" customFormat="1">
      <c r="A688" s="200"/>
      <c r="B688" s="200"/>
      <c r="C688" s="199"/>
      <c r="D688" s="156"/>
      <c r="E688" s="158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897">
        <v>0.22</v>
      </c>
      <c r="AA688" s="494"/>
      <c r="AB688" s="494"/>
      <c r="AC688" s="201"/>
      <c r="AD688" s="201"/>
      <c r="AE688" s="202"/>
      <c r="AF688" s="202"/>
      <c r="AG688" s="202"/>
      <c r="AH688" s="202"/>
      <c r="AI688" s="203"/>
      <c r="AJ688" s="203"/>
      <c r="AK688" s="204"/>
      <c r="AL688" s="203"/>
      <c r="AM688" s="204"/>
      <c r="AN688" s="204"/>
      <c r="AO688" s="203"/>
      <c r="AP688" s="202"/>
      <c r="AQ688" s="202"/>
      <c r="AR688" s="202"/>
      <c r="AS688" s="754"/>
    </row>
    <row r="689" spans="1:45" s="205" customFormat="1">
      <c r="A689" s="200"/>
      <c r="B689" s="200"/>
      <c r="C689" s="199"/>
      <c r="D689" s="156"/>
      <c r="E689" s="158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>
        <f>Z686*Z688</f>
        <v>642746.17444730003</v>
      </c>
      <c r="AA689" s="494"/>
      <c r="AB689" s="494"/>
      <c r="AC689" s="201"/>
      <c r="AD689" s="201"/>
      <c r="AE689" s="202"/>
      <c r="AF689" s="202"/>
      <c r="AG689" s="202"/>
      <c r="AH689" s="202"/>
      <c r="AI689" s="203"/>
      <c r="AJ689" s="203"/>
      <c r="AK689" s="204"/>
      <c r="AL689" s="203"/>
      <c r="AM689" s="204"/>
      <c r="AN689" s="204"/>
      <c r="AO689" s="203"/>
      <c r="AP689" s="202"/>
      <c r="AQ689" s="202"/>
      <c r="AR689" s="202"/>
      <c r="AS689" s="202"/>
    </row>
    <row r="690" spans="1:45" s="205" customFormat="1">
      <c r="A690" s="200"/>
      <c r="B690" s="200"/>
      <c r="C690" s="199"/>
      <c r="D690" s="156"/>
      <c r="E690" s="158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703">
        <f>Z689+Z686</f>
        <v>3564319.6946622999</v>
      </c>
      <c r="AA690" s="494"/>
      <c r="AB690" s="494"/>
      <c r="AC690" s="201"/>
      <c r="AD690" s="201"/>
      <c r="AE690" s="202"/>
      <c r="AF690" s="202"/>
      <c r="AG690" s="202"/>
      <c r="AH690" s="202"/>
      <c r="AI690" s="203"/>
      <c r="AJ690" s="203"/>
      <c r="AK690" s="204"/>
      <c r="AL690" s="203"/>
      <c r="AM690" s="204"/>
      <c r="AN690" s="204"/>
      <c r="AO690" s="203"/>
      <c r="AP690" s="202"/>
      <c r="AQ690" s="202"/>
      <c r="AR690" s="202"/>
      <c r="AS690" s="202"/>
    </row>
    <row r="691" spans="1:45" s="205" customFormat="1">
      <c r="A691" s="200"/>
      <c r="B691" s="200"/>
      <c r="C691" s="199"/>
      <c r="D691" s="156"/>
      <c r="E691" s="158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  <c r="AA691" s="494"/>
      <c r="AB691" s="494"/>
      <c r="AC691" s="201"/>
      <c r="AD691" s="201"/>
      <c r="AE691" s="202"/>
      <c r="AF691" s="202"/>
      <c r="AG691" s="202"/>
      <c r="AH691" s="202"/>
      <c r="AI691" s="203"/>
      <c r="AJ691" s="203"/>
      <c r="AK691" s="204"/>
      <c r="AL691" s="203"/>
      <c r="AM691" s="204"/>
      <c r="AN691" s="204"/>
      <c r="AO691" s="203"/>
      <c r="AP691" s="202"/>
      <c r="AQ691" s="202"/>
      <c r="AR691" s="202"/>
      <c r="AS691" s="202"/>
    </row>
    <row r="692" spans="1:45" s="205" customFormat="1">
      <c r="A692" s="200"/>
      <c r="B692" s="200"/>
      <c r="C692" s="199"/>
      <c r="D692" s="156"/>
      <c r="E692" s="158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494"/>
      <c r="AB692" s="494"/>
      <c r="AC692" s="201"/>
      <c r="AD692" s="201"/>
      <c r="AE692" s="202"/>
      <c r="AF692" s="202"/>
      <c r="AG692" s="202"/>
      <c r="AH692" s="202"/>
      <c r="AI692" s="203"/>
      <c r="AJ692" s="203"/>
      <c r="AK692" s="204"/>
      <c r="AL692" s="203"/>
      <c r="AM692" s="204"/>
      <c r="AN692" s="204"/>
      <c r="AO692" s="203"/>
      <c r="AP692" s="202"/>
      <c r="AQ692" s="202"/>
      <c r="AR692" s="202"/>
      <c r="AS692" s="202"/>
    </row>
    <row r="693" spans="1:45" s="205" customFormat="1">
      <c r="A693" s="200"/>
      <c r="B693" s="200"/>
      <c r="C693" s="199"/>
      <c r="D693" s="156"/>
      <c r="E693" s="158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206"/>
      <c r="X693" s="156"/>
      <c r="Y693" s="206"/>
      <c r="Z693" s="156"/>
      <c r="AA693" s="512"/>
      <c r="AB693" s="494"/>
      <c r="AC693" s="201"/>
      <c r="AD693" s="201"/>
      <c r="AE693" s="202"/>
      <c r="AF693" s="202"/>
      <c r="AG693" s="202"/>
      <c r="AH693" s="202"/>
      <c r="AI693" s="203"/>
      <c r="AJ693" s="203"/>
      <c r="AK693" s="204"/>
      <c r="AL693" s="203"/>
      <c r="AM693" s="204"/>
      <c r="AN693" s="204"/>
      <c r="AO693" s="203"/>
      <c r="AP693" s="202"/>
      <c r="AQ693" s="202"/>
      <c r="AR693" s="202"/>
      <c r="AS693" s="202"/>
    </row>
    <row r="694" spans="1:45" s="205" customFormat="1">
      <c r="A694" s="200"/>
      <c r="B694" s="200"/>
      <c r="C694" s="199"/>
      <c r="D694" s="156"/>
      <c r="E694" s="158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494"/>
      <c r="AB694" s="494"/>
      <c r="AC694" s="201"/>
      <c r="AD694" s="201"/>
      <c r="AE694" s="202"/>
      <c r="AF694" s="202"/>
      <c r="AG694" s="202"/>
      <c r="AH694" s="202"/>
      <c r="AI694" s="203"/>
      <c r="AJ694" s="203"/>
      <c r="AK694" s="204"/>
      <c r="AL694" s="203"/>
      <c r="AM694" s="204"/>
      <c r="AN694" s="204"/>
      <c r="AO694" s="203"/>
      <c r="AP694" s="202"/>
      <c r="AQ694" s="202"/>
      <c r="AR694" s="202"/>
      <c r="AS694" s="202"/>
    </row>
    <row r="695" spans="1:45" s="205" customFormat="1">
      <c r="A695" s="200"/>
      <c r="B695" s="200"/>
      <c r="C695" s="199"/>
      <c r="D695" s="156"/>
      <c r="E695" s="158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207"/>
      <c r="X695" s="207"/>
      <c r="Y695" s="207"/>
      <c r="Z695" s="207"/>
      <c r="AA695" s="513"/>
      <c r="AB695" s="513"/>
      <c r="AC695" s="208"/>
      <c r="AD695" s="208"/>
      <c r="AE695" s="202"/>
      <c r="AF695" s="202"/>
      <c r="AG695" s="202"/>
      <c r="AH695" s="202"/>
      <c r="AI695" s="203"/>
      <c r="AJ695" s="203"/>
      <c r="AK695" s="204"/>
      <c r="AL695" s="203"/>
      <c r="AM695" s="204"/>
      <c r="AN695" s="204"/>
      <c r="AO695" s="203"/>
      <c r="AP695" s="202"/>
      <c r="AQ695" s="202"/>
      <c r="AR695" s="202"/>
      <c r="AS695" s="202"/>
    </row>
    <row r="696" spans="1:45" s="205" customFormat="1">
      <c r="A696" s="200"/>
      <c r="B696" s="200"/>
      <c r="C696" s="199"/>
      <c r="D696" s="156"/>
      <c r="E696" s="158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494"/>
      <c r="AB696" s="494"/>
      <c r="AC696" s="201"/>
      <c r="AD696" s="201"/>
      <c r="AE696" s="202"/>
      <c r="AF696" s="202"/>
      <c r="AG696" s="202"/>
      <c r="AH696" s="202"/>
      <c r="AI696" s="203"/>
      <c r="AJ696" s="203"/>
      <c r="AK696" s="204"/>
      <c r="AL696" s="203"/>
      <c r="AM696" s="204"/>
      <c r="AN696" s="204"/>
      <c r="AO696" s="203"/>
      <c r="AP696" s="202"/>
      <c r="AQ696" s="202"/>
      <c r="AR696" s="202"/>
      <c r="AS696" s="202"/>
    </row>
    <row r="697" spans="1:45" s="205" customFormat="1">
      <c r="A697" s="200"/>
      <c r="B697" s="200"/>
      <c r="C697" s="199"/>
      <c r="D697" s="156"/>
      <c r="E697" s="158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  <c r="AA697" s="494"/>
      <c r="AB697" s="494"/>
      <c r="AC697" s="201"/>
      <c r="AD697" s="201"/>
      <c r="AE697" s="202"/>
      <c r="AF697" s="202"/>
      <c r="AG697" s="202"/>
      <c r="AH697" s="202"/>
      <c r="AI697" s="203"/>
      <c r="AJ697" s="203"/>
      <c r="AK697" s="204"/>
      <c r="AL697" s="203"/>
      <c r="AM697" s="204"/>
      <c r="AN697" s="204"/>
      <c r="AO697" s="203"/>
      <c r="AP697" s="202"/>
      <c r="AQ697" s="202"/>
      <c r="AR697" s="202"/>
      <c r="AS697" s="202"/>
    </row>
    <row r="698" spans="1:45" s="205" customFormat="1">
      <c r="A698" s="200"/>
      <c r="B698" s="200"/>
      <c r="C698" s="199"/>
      <c r="D698" s="156"/>
      <c r="E698" s="158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  <c r="AA698" s="494"/>
      <c r="AB698" s="494"/>
      <c r="AC698" s="201"/>
      <c r="AD698" s="201"/>
      <c r="AE698" s="202"/>
      <c r="AF698" s="202"/>
      <c r="AG698" s="202"/>
      <c r="AH698" s="202"/>
      <c r="AI698" s="203"/>
      <c r="AJ698" s="203"/>
      <c r="AK698" s="204"/>
      <c r="AL698" s="203"/>
      <c r="AM698" s="204"/>
      <c r="AN698" s="204"/>
      <c r="AO698" s="203"/>
      <c r="AP698" s="202"/>
      <c r="AQ698" s="202"/>
      <c r="AR698" s="202"/>
      <c r="AS698" s="202"/>
    </row>
    <row r="699" spans="1:45" s="205" customFormat="1">
      <c r="A699" s="200"/>
      <c r="B699" s="200"/>
      <c r="C699" s="199"/>
      <c r="D699" s="156"/>
      <c r="E699" s="158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  <c r="AA699" s="494"/>
      <c r="AB699" s="494"/>
      <c r="AC699" s="201"/>
      <c r="AD699" s="201"/>
      <c r="AE699" s="202"/>
      <c r="AF699" s="202"/>
      <c r="AG699" s="202"/>
      <c r="AH699" s="202"/>
      <c r="AI699" s="203"/>
      <c r="AJ699" s="203"/>
      <c r="AK699" s="204"/>
      <c r="AL699" s="203"/>
      <c r="AM699" s="204"/>
      <c r="AN699" s="204"/>
      <c r="AO699" s="203"/>
      <c r="AP699" s="202"/>
      <c r="AQ699" s="202"/>
      <c r="AR699" s="202"/>
      <c r="AS699" s="202"/>
    </row>
    <row r="700" spans="1:45" s="205" customFormat="1">
      <c r="A700" s="200"/>
      <c r="B700" s="200"/>
      <c r="C700" s="199"/>
      <c r="D700" s="156"/>
      <c r="E700" s="158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  <c r="AA700" s="494"/>
      <c r="AB700" s="494"/>
      <c r="AC700" s="201"/>
      <c r="AD700" s="201"/>
      <c r="AE700" s="202"/>
      <c r="AF700" s="202"/>
      <c r="AG700" s="202"/>
      <c r="AH700" s="202"/>
      <c r="AI700" s="203"/>
      <c r="AJ700" s="203"/>
      <c r="AK700" s="204"/>
      <c r="AL700" s="203"/>
      <c r="AM700" s="204"/>
      <c r="AN700" s="204"/>
      <c r="AO700" s="203"/>
      <c r="AP700" s="202"/>
      <c r="AQ700" s="202"/>
      <c r="AR700" s="202"/>
      <c r="AS700" s="202"/>
    </row>
    <row r="701" spans="1:45" s="205" customFormat="1">
      <c r="A701" s="200"/>
      <c r="B701" s="200"/>
      <c r="C701" s="199"/>
      <c r="D701" s="156"/>
      <c r="E701" s="158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  <c r="AA701" s="494"/>
      <c r="AB701" s="494"/>
      <c r="AC701" s="201"/>
      <c r="AD701" s="201"/>
      <c r="AE701" s="202"/>
      <c r="AF701" s="202"/>
      <c r="AG701" s="202"/>
      <c r="AH701" s="202"/>
      <c r="AI701" s="203"/>
      <c r="AJ701" s="203"/>
      <c r="AK701" s="204"/>
      <c r="AL701" s="203"/>
      <c r="AM701" s="204"/>
      <c r="AN701" s="204"/>
      <c r="AO701" s="203"/>
      <c r="AP701" s="202"/>
      <c r="AQ701" s="202"/>
      <c r="AR701" s="202"/>
      <c r="AS701" s="202"/>
    </row>
    <row r="702" spans="1:45" s="205" customFormat="1">
      <c r="A702" s="200"/>
      <c r="B702" s="200"/>
      <c r="C702" s="199"/>
      <c r="D702" s="156"/>
      <c r="E702" s="158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494"/>
      <c r="AB702" s="494"/>
      <c r="AC702" s="201"/>
      <c r="AD702" s="201"/>
      <c r="AE702" s="202"/>
      <c r="AF702" s="202"/>
      <c r="AG702" s="202"/>
      <c r="AH702" s="202"/>
      <c r="AI702" s="203"/>
      <c r="AJ702" s="203"/>
      <c r="AK702" s="204"/>
      <c r="AL702" s="203"/>
      <c r="AM702" s="204"/>
      <c r="AN702" s="204"/>
      <c r="AO702" s="203"/>
      <c r="AP702" s="202"/>
      <c r="AQ702" s="202"/>
      <c r="AR702" s="202"/>
      <c r="AS702" s="202"/>
    </row>
    <row r="703" spans="1:45" s="205" customFormat="1">
      <c r="A703" s="200"/>
      <c r="B703" s="200"/>
      <c r="C703" s="199"/>
      <c r="D703" s="156"/>
      <c r="E703" s="158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  <c r="AA703" s="494"/>
      <c r="AB703" s="494"/>
      <c r="AC703" s="201"/>
      <c r="AD703" s="201"/>
      <c r="AE703" s="202"/>
      <c r="AF703" s="202"/>
      <c r="AG703" s="202"/>
      <c r="AH703" s="202"/>
      <c r="AI703" s="203"/>
      <c r="AJ703" s="203"/>
      <c r="AK703" s="204"/>
      <c r="AL703" s="203"/>
      <c r="AM703" s="204"/>
      <c r="AN703" s="204"/>
      <c r="AO703" s="203"/>
      <c r="AP703" s="202"/>
      <c r="AQ703" s="202"/>
      <c r="AR703" s="202"/>
      <c r="AS703" s="202"/>
    </row>
    <row r="704" spans="1:45" s="205" customFormat="1">
      <c r="A704" s="200"/>
      <c r="B704" s="200"/>
      <c r="C704" s="199"/>
      <c r="D704" s="156"/>
      <c r="E704" s="158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  <c r="AA704" s="494"/>
      <c r="AB704" s="494"/>
      <c r="AC704" s="201"/>
      <c r="AD704" s="201"/>
      <c r="AE704" s="202"/>
      <c r="AF704" s="202"/>
      <c r="AG704" s="202"/>
      <c r="AH704" s="202"/>
      <c r="AI704" s="203"/>
      <c r="AJ704" s="203"/>
      <c r="AK704" s="204"/>
      <c r="AL704" s="203"/>
      <c r="AM704" s="204"/>
      <c r="AN704" s="204"/>
      <c r="AO704" s="203"/>
      <c r="AP704" s="202"/>
      <c r="AQ704" s="202"/>
      <c r="AR704" s="202"/>
      <c r="AS704" s="202"/>
    </row>
    <row r="705" spans="1:45" s="205" customFormat="1">
      <c r="A705" s="200"/>
      <c r="B705" s="200"/>
      <c r="C705" s="199"/>
      <c r="D705" s="156"/>
      <c r="E705" s="158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494"/>
      <c r="AB705" s="494"/>
      <c r="AC705" s="201"/>
      <c r="AD705" s="201"/>
      <c r="AE705" s="202"/>
      <c r="AF705" s="202"/>
      <c r="AG705" s="202"/>
      <c r="AH705" s="202"/>
      <c r="AI705" s="203"/>
      <c r="AJ705" s="203"/>
      <c r="AK705" s="204"/>
      <c r="AL705" s="203"/>
      <c r="AM705" s="204"/>
      <c r="AN705" s="204"/>
      <c r="AO705" s="203"/>
      <c r="AP705" s="202"/>
      <c r="AQ705" s="202"/>
      <c r="AR705" s="202"/>
      <c r="AS705" s="202"/>
    </row>
    <row r="706" spans="1:45" s="205" customFormat="1">
      <c r="A706" s="200"/>
      <c r="B706" s="200"/>
      <c r="C706" s="199"/>
      <c r="D706" s="156"/>
      <c r="E706" s="158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494"/>
      <c r="AB706" s="494"/>
      <c r="AC706" s="201"/>
      <c r="AD706" s="201"/>
      <c r="AE706" s="202"/>
      <c r="AF706" s="202"/>
      <c r="AG706" s="202"/>
      <c r="AH706" s="202"/>
      <c r="AI706" s="203"/>
      <c r="AJ706" s="203"/>
      <c r="AK706" s="204"/>
      <c r="AL706" s="203"/>
      <c r="AM706" s="204"/>
      <c r="AN706" s="204"/>
      <c r="AO706" s="203"/>
      <c r="AP706" s="202"/>
      <c r="AQ706" s="202"/>
      <c r="AR706" s="202"/>
      <c r="AS706" s="202"/>
    </row>
    <row r="707" spans="1:45" s="205" customFormat="1">
      <c r="A707" s="200"/>
      <c r="B707" s="200"/>
      <c r="C707" s="199"/>
      <c r="D707" s="156"/>
      <c r="E707" s="158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494"/>
      <c r="AB707" s="494"/>
      <c r="AC707" s="201"/>
      <c r="AD707" s="201"/>
      <c r="AE707" s="202"/>
      <c r="AF707" s="202"/>
      <c r="AG707" s="202"/>
      <c r="AH707" s="202"/>
      <c r="AI707" s="203"/>
      <c r="AJ707" s="203"/>
      <c r="AK707" s="204"/>
      <c r="AL707" s="203"/>
      <c r="AM707" s="204"/>
      <c r="AN707" s="204"/>
      <c r="AO707" s="203"/>
      <c r="AP707" s="202"/>
      <c r="AQ707" s="202"/>
      <c r="AR707" s="202"/>
      <c r="AS707" s="202"/>
    </row>
    <row r="708" spans="1:45" s="205" customFormat="1">
      <c r="A708" s="200"/>
      <c r="B708" s="200"/>
      <c r="C708" s="199"/>
      <c r="D708" s="156"/>
      <c r="E708" s="158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494"/>
      <c r="AB708" s="494"/>
      <c r="AC708" s="201"/>
      <c r="AD708" s="201"/>
      <c r="AE708" s="202"/>
      <c r="AF708" s="202"/>
      <c r="AG708" s="202"/>
      <c r="AH708" s="202"/>
      <c r="AI708" s="203"/>
      <c r="AJ708" s="203"/>
      <c r="AK708" s="204"/>
      <c r="AL708" s="203"/>
      <c r="AM708" s="204"/>
      <c r="AN708" s="204"/>
      <c r="AO708" s="203"/>
      <c r="AP708" s="202"/>
      <c r="AQ708" s="202"/>
      <c r="AR708" s="202"/>
      <c r="AS708" s="202"/>
    </row>
    <row r="709" spans="1:45" s="205" customFormat="1">
      <c r="A709" s="200"/>
      <c r="B709" s="200"/>
      <c r="C709" s="199"/>
      <c r="D709" s="156"/>
      <c r="E709" s="158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494"/>
      <c r="AB709" s="494"/>
      <c r="AC709" s="201"/>
      <c r="AD709" s="201"/>
      <c r="AE709" s="202"/>
      <c r="AF709" s="202"/>
      <c r="AG709" s="202"/>
      <c r="AH709" s="202"/>
      <c r="AI709" s="203"/>
      <c r="AJ709" s="203"/>
      <c r="AK709" s="204"/>
      <c r="AL709" s="203"/>
      <c r="AM709" s="204"/>
      <c r="AN709" s="204"/>
      <c r="AO709" s="203"/>
      <c r="AP709" s="202"/>
      <c r="AQ709" s="202"/>
      <c r="AR709" s="202"/>
      <c r="AS709" s="202"/>
    </row>
    <row r="710" spans="1:45" s="205" customFormat="1">
      <c r="A710" s="200"/>
      <c r="B710" s="200"/>
      <c r="C710" s="199"/>
      <c r="D710" s="156"/>
      <c r="E710" s="158"/>
      <c r="F710" s="156"/>
      <c r="G710" s="156"/>
      <c r="H710" s="156"/>
      <c r="I710" s="156"/>
      <c r="J710" s="156"/>
      <c r="K710" s="156"/>
      <c r="L710" s="156"/>
      <c r="M710" s="156"/>
      <c r="N710" s="156"/>
      <c r="O710" s="207"/>
      <c r="P710" s="156"/>
      <c r="Q710" s="156"/>
      <c r="R710" s="156"/>
      <c r="S710" s="156"/>
      <c r="T710" s="156"/>
      <c r="U710" s="156"/>
      <c r="V710" s="156"/>
      <c r="W710" s="207"/>
      <c r="X710" s="207"/>
      <c r="Y710" s="207"/>
      <c r="Z710" s="207"/>
      <c r="AA710" s="513"/>
      <c r="AB710" s="513"/>
      <c r="AC710" s="208"/>
      <c r="AD710" s="208"/>
      <c r="AE710" s="202"/>
      <c r="AF710" s="202"/>
      <c r="AG710" s="202"/>
      <c r="AH710" s="202"/>
      <c r="AI710" s="203"/>
      <c r="AJ710" s="203"/>
      <c r="AK710" s="204"/>
      <c r="AL710" s="203"/>
      <c r="AM710" s="204"/>
      <c r="AN710" s="204"/>
      <c r="AO710" s="203"/>
      <c r="AP710" s="202"/>
      <c r="AQ710" s="202"/>
      <c r="AR710" s="202"/>
      <c r="AS710" s="202"/>
    </row>
    <row r="711" spans="1:45" s="205" customFormat="1">
      <c r="A711" s="200"/>
      <c r="B711" s="200"/>
      <c r="C711" s="199"/>
      <c r="D711" s="156"/>
      <c r="E711" s="158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  <c r="AA711" s="494"/>
      <c r="AB711" s="494"/>
      <c r="AC711" s="201"/>
      <c r="AD711" s="201"/>
      <c r="AE711" s="202"/>
      <c r="AF711" s="202"/>
      <c r="AG711" s="202"/>
      <c r="AH711" s="202"/>
      <c r="AI711" s="203"/>
      <c r="AJ711" s="203"/>
      <c r="AK711" s="204"/>
      <c r="AL711" s="203"/>
      <c r="AM711" s="204"/>
      <c r="AN711" s="204"/>
      <c r="AO711" s="203"/>
      <c r="AP711" s="202"/>
      <c r="AQ711" s="202"/>
      <c r="AR711" s="202"/>
      <c r="AS711" s="202"/>
    </row>
    <row r="712" spans="1:45" s="205" customFormat="1">
      <c r="A712" s="200"/>
      <c r="B712" s="200"/>
      <c r="C712" s="199"/>
      <c r="D712" s="156"/>
      <c r="E712" s="158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  <c r="AA712" s="494"/>
      <c r="AB712" s="494"/>
      <c r="AC712" s="201"/>
      <c r="AD712" s="201"/>
      <c r="AE712" s="202"/>
      <c r="AF712" s="202"/>
      <c r="AG712" s="202"/>
      <c r="AH712" s="202"/>
      <c r="AI712" s="203"/>
      <c r="AJ712" s="203"/>
      <c r="AK712" s="204"/>
      <c r="AL712" s="203"/>
      <c r="AM712" s="204"/>
      <c r="AN712" s="204"/>
      <c r="AO712" s="203"/>
      <c r="AP712" s="202"/>
      <c r="AQ712" s="202"/>
      <c r="AR712" s="202"/>
      <c r="AS712" s="202"/>
    </row>
    <row r="713" spans="1:45" s="205" customFormat="1">
      <c r="A713" s="200"/>
      <c r="B713" s="200"/>
      <c r="C713" s="199"/>
      <c r="D713" s="156"/>
      <c r="E713" s="158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  <c r="AA713" s="494"/>
      <c r="AB713" s="494"/>
      <c r="AC713" s="201"/>
      <c r="AD713" s="201"/>
      <c r="AE713" s="202"/>
      <c r="AF713" s="202"/>
      <c r="AG713" s="202"/>
      <c r="AH713" s="202"/>
      <c r="AI713" s="203"/>
      <c r="AJ713" s="203"/>
      <c r="AK713" s="204"/>
      <c r="AL713" s="203"/>
      <c r="AM713" s="204"/>
      <c r="AN713" s="204"/>
      <c r="AO713" s="203"/>
      <c r="AP713" s="202"/>
      <c r="AQ713" s="202"/>
      <c r="AR713" s="202"/>
      <c r="AS713" s="202"/>
    </row>
    <row r="714" spans="1:45" s="205" customFormat="1">
      <c r="A714" s="200"/>
      <c r="B714" s="200"/>
      <c r="C714" s="199"/>
      <c r="D714" s="156"/>
      <c r="E714" s="158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  <c r="AA714" s="494"/>
      <c r="AB714" s="494"/>
      <c r="AC714" s="201"/>
      <c r="AD714" s="201"/>
      <c r="AE714" s="202"/>
      <c r="AF714" s="202"/>
      <c r="AG714" s="202"/>
      <c r="AH714" s="202"/>
      <c r="AI714" s="203"/>
      <c r="AJ714" s="203"/>
      <c r="AK714" s="204"/>
      <c r="AL714" s="203"/>
      <c r="AM714" s="204"/>
      <c r="AN714" s="204"/>
      <c r="AO714" s="203"/>
      <c r="AP714" s="202"/>
      <c r="AQ714" s="202"/>
      <c r="AR714" s="202"/>
      <c r="AS714" s="202"/>
    </row>
    <row r="715" spans="1:45" s="205" customFormat="1">
      <c r="A715" s="200"/>
      <c r="B715" s="200"/>
      <c r="C715" s="199"/>
      <c r="D715" s="156"/>
      <c r="E715" s="158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  <c r="AA715" s="494"/>
      <c r="AB715" s="494"/>
      <c r="AC715" s="201"/>
      <c r="AD715" s="201"/>
      <c r="AE715" s="202"/>
      <c r="AF715" s="202"/>
      <c r="AG715" s="202"/>
      <c r="AH715" s="202"/>
      <c r="AI715" s="203"/>
      <c r="AJ715" s="203"/>
      <c r="AK715" s="204"/>
      <c r="AL715" s="203"/>
      <c r="AM715" s="204"/>
      <c r="AN715" s="204"/>
      <c r="AO715" s="203"/>
      <c r="AP715" s="202"/>
      <c r="AQ715" s="202"/>
      <c r="AR715" s="202"/>
      <c r="AS715" s="202"/>
    </row>
    <row r="716" spans="1:45" s="205" customFormat="1">
      <c r="A716" s="200"/>
      <c r="B716" s="200"/>
      <c r="C716" s="199"/>
      <c r="D716" s="156"/>
      <c r="E716" s="158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  <c r="AA716" s="494"/>
      <c r="AB716" s="494"/>
      <c r="AC716" s="201"/>
      <c r="AD716" s="201"/>
      <c r="AE716" s="202"/>
      <c r="AF716" s="202"/>
      <c r="AG716" s="202"/>
      <c r="AH716" s="202"/>
      <c r="AI716" s="203"/>
      <c r="AJ716" s="203"/>
      <c r="AK716" s="204"/>
      <c r="AL716" s="203"/>
      <c r="AM716" s="204"/>
      <c r="AN716" s="204"/>
      <c r="AO716" s="203"/>
      <c r="AP716" s="202"/>
      <c r="AQ716" s="202"/>
      <c r="AR716" s="202"/>
      <c r="AS716" s="202"/>
    </row>
    <row r="717" spans="1:45" s="205" customFormat="1">
      <c r="A717" s="200"/>
      <c r="B717" s="200"/>
      <c r="C717" s="199"/>
      <c r="D717" s="156"/>
      <c r="E717" s="158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  <c r="AA717" s="494"/>
      <c r="AB717" s="494"/>
      <c r="AC717" s="201"/>
      <c r="AD717" s="201"/>
      <c r="AE717" s="202"/>
      <c r="AF717" s="202"/>
      <c r="AG717" s="202"/>
      <c r="AH717" s="202"/>
      <c r="AI717" s="203"/>
      <c r="AJ717" s="203"/>
      <c r="AK717" s="204"/>
      <c r="AL717" s="203"/>
      <c r="AM717" s="204"/>
      <c r="AN717" s="204"/>
      <c r="AO717" s="203"/>
      <c r="AP717" s="202"/>
      <c r="AQ717" s="202"/>
      <c r="AR717" s="202"/>
      <c r="AS717" s="202"/>
    </row>
    <row r="718" spans="1:45" s="205" customFormat="1">
      <c r="A718" s="200"/>
      <c r="B718" s="200"/>
      <c r="C718" s="199"/>
      <c r="D718" s="156"/>
      <c r="E718" s="158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  <c r="AA718" s="494"/>
      <c r="AB718" s="494"/>
      <c r="AC718" s="201"/>
      <c r="AD718" s="201"/>
      <c r="AE718" s="202"/>
      <c r="AF718" s="202"/>
      <c r="AG718" s="202"/>
      <c r="AH718" s="202"/>
      <c r="AI718" s="203"/>
      <c r="AJ718" s="203"/>
      <c r="AK718" s="204"/>
      <c r="AL718" s="203"/>
      <c r="AM718" s="204"/>
      <c r="AN718" s="204"/>
      <c r="AO718" s="203"/>
      <c r="AP718" s="202"/>
      <c r="AQ718" s="202"/>
      <c r="AR718" s="202"/>
      <c r="AS718" s="202"/>
    </row>
    <row r="719" spans="1:45" s="205" customFormat="1">
      <c r="A719" s="200"/>
      <c r="B719" s="200"/>
      <c r="C719" s="199"/>
      <c r="D719" s="156"/>
      <c r="E719" s="158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  <c r="AA719" s="494"/>
      <c r="AB719" s="494"/>
      <c r="AC719" s="201"/>
      <c r="AD719" s="201"/>
      <c r="AE719" s="202"/>
      <c r="AF719" s="202"/>
      <c r="AG719" s="202"/>
      <c r="AH719" s="202"/>
      <c r="AI719" s="203"/>
      <c r="AJ719" s="203"/>
      <c r="AK719" s="204"/>
      <c r="AL719" s="203"/>
      <c r="AM719" s="204"/>
      <c r="AN719" s="204"/>
      <c r="AO719" s="203"/>
      <c r="AP719" s="202"/>
      <c r="AQ719" s="202"/>
      <c r="AR719" s="202"/>
      <c r="AS719" s="202"/>
    </row>
    <row r="720" spans="1:45" s="205" customFormat="1">
      <c r="A720" s="200"/>
      <c r="B720" s="200"/>
      <c r="C720" s="199"/>
      <c r="D720" s="156"/>
      <c r="E720" s="158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  <c r="AA720" s="494"/>
      <c r="AB720" s="494"/>
      <c r="AC720" s="201"/>
      <c r="AD720" s="201"/>
      <c r="AE720" s="202"/>
      <c r="AF720" s="202"/>
      <c r="AG720" s="202"/>
      <c r="AH720" s="202"/>
      <c r="AI720" s="203"/>
      <c r="AJ720" s="203"/>
      <c r="AK720" s="204"/>
      <c r="AL720" s="203"/>
      <c r="AM720" s="204"/>
      <c r="AN720" s="204"/>
      <c r="AO720" s="203"/>
      <c r="AP720" s="202"/>
      <c r="AQ720" s="202"/>
      <c r="AR720" s="202"/>
      <c r="AS720" s="202"/>
    </row>
    <row r="721" spans="1:45" s="205" customFormat="1">
      <c r="A721" s="200"/>
      <c r="B721" s="200"/>
      <c r="C721" s="199"/>
      <c r="D721" s="156"/>
      <c r="E721" s="158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  <c r="AA721" s="494"/>
      <c r="AB721" s="494"/>
      <c r="AC721" s="201"/>
      <c r="AD721" s="201"/>
      <c r="AE721" s="202"/>
      <c r="AF721" s="202"/>
      <c r="AG721" s="202"/>
      <c r="AH721" s="202"/>
      <c r="AI721" s="203"/>
      <c r="AJ721" s="203"/>
      <c r="AK721" s="204"/>
      <c r="AL721" s="203"/>
      <c r="AM721" s="204"/>
      <c r="AN721" s="204"/>
      <c r="AO721" s="203"/>
      <c r="AP721" s="202"/>
      <c r="AQ721" s="202"/>
      <c r="AR721" s="202"/>
      <c r="AS721" s="202"/>
    </row>
    <row r="722" spans="1:45" s="205" customFormat="1">
      <c r="A722" s="200"/>
      <c r="B722" s="200"/>
      <c r="C722" s="199"/>
      <c r="D722" s="156"/>
      <c r="E722" s="158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  <c r="AA722" s="494"/>
      <c r="AB722" s="494"/>
      <c r="AC722" s="201"/>
      <c r="AD722" s="201"/>
      <c r="AE722" s="202"/>
      <c r="AF722" s="202"/>
      <c r="AG722" s="202"/>
      <c r="AH722" s="202"/>
      <c r="AI722" s="203"/>
      <c r="AJ722" s="203"/>
      <c r="AK722" s="204"/>
      <c r="AL722" s="203"/>
      <c r="AM722" s="204"/>
      <c r="AN722" s="204"/>
      <c r="AO722" s="203"/>
      <c r="AP722" s="202"/>
      <c r="AQ722" s="202"/>
      <c r="AR722" s="202"/>
      <c r="AS722" s="202"/>
    </row>
    <row r="723" spans="1:45" s="205" customFormat="1">
      <c r="A723" s="200"/>
      <c r="B723" s="200"/>
      <c r="C723" s="199"/>
      <c r="D723" s="156"/>
      <c r="E723" s="158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494"/>
      <c r="AB723" s="494"/>
      <c r="AC723" s="201"/>
      <c r="AD723" s="201"/>
      <c r="AE723" s="202"/>
      <c r="AF723" s="202"/>
      <c r="AG723" s="202"/>
      <c r="AH723" s="202"/>
      <c r="AI723" s="203"/>
      <c r="AJ723" s="203"/>
      <c r="AK723" s="204"/>
      <c r="AL723" s="203"/>
      <c r="AM723" s="204"/>
      <c r="AN723" s="204"/>
      <c r="AO723" s="203"/>
      <c r="AP723" s="202"/>
      <c r="AQ723" s="202"/>
      <c r="AR723" s="202"/>
      <c r="AS723" s="202"/>
    </row>
    <row r="724" spans="1:45" s="205" customFormat="1">
      <c r="A724" s="200"/>
      <c r="B724" s="200"/>
      <c r="C724" s="199"/>
      <c r="D724" s="156"/>
      <c r="E724" s="158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  <c r="AA724" s="494"/>
      <c r="AB724" s="494"/>
      <c r="AC724" s="201"/>
      <c r="AD724" s="201"/>
      <c r="AE724" s="202"/>
      <c r="AF724" s="202"/>
      <c r="AG724" s="202"/>
      <c r="AH724" s="202"/>
      <c r="AI724" s="203"/>
      <c r="AJ724" s="203"/>
      <c r="AK724" s="204"/>
      <c r="AL724" s="203"/>
      <c r="AM724" s="204"/>
      <c r="AN724" s="204"/>
      <c r="AO724" s="203"/>
      <c r="AP724" s="202"/>
      <c r="AQ724" s="202"/>
      <c r="AR724" s="202"/>
      <c r="AS724" s="202"/>
    </row>
    <row r="725" spans="1:45" s="205" customFormat="1">
      <c r="A725" s="200"/>
      <c r="B725" s="200"/>
      <c r="C725" s="199"/>
      <c r="D725" s="156"/>
      <c r="E725" s="158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  <c r="AA725" s="494"/>
      <c r="AB725" s="494"/>
      <c r="AC725" s="201"/>
      <c r="AD725" s="201"/>
      <c r="AE725" s="202"/>
      <c r="AF725" s="202"/>
      <c r="AG725" s="202"/>
      <c r="AH725" s="202"/>
      <c r="AI725" s="203"/>
      <c r="AJ725" s="203"/>
      <c r="AK725" s="204"/>
      <c r="AL725" s="203"/>
      <c r="AM725" s="204"/>
      <c r="AN725" s="204"/>
      <c r="AO725" s="203"/>
      <c r="AP725" s="202"/>
      <c r="AQ725" s="202"/>
      <c r="AR725" s="202"/>
      <c r="AS725" s="202"/>
    </row>
    <row r="726" spans="1:45" s="205" customFormat="1">
      <c r="A726" s="200"/>
      <c r="B726" s="200"/>
      <c r="C726" s="199"/>
      <c r="D726" s="156"/>
      <c r="E726" s="158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  <c r="AA726" s="494"/>
      <c r="AB726" s="494"/>
      <c r="AC726" s="201"/>
      <c r="AD726" s="201"/>
      <c r="AE726" s="202"/>
      <c r="AF726" s="202"/>
      <c r="AG726" s="202"/>
      <c r="AH726" s="202"/>
      <c r="AI726" s="203"/>
      <c r="AJ726" s="203"/>
      <c r="AK726" s="204"/>
      <c r="AL726" s="203"/>
      <c r="AM726" s="204"/>
      <c r="AN726" s="204"/>
      <c r="AO726" s="203"/>
      <c r="AP726" s="202"/>
      <c r="AQ726" s="202"/>
      <c r="AR726" s="202"/>
      <c r="AS726" s="202"/>
    </row>
    <row r="727" spans="1:45" s="205" customFormat="1">
      <c r="A727" s="200"/>
      <c r="B727" s="200"/>
      <c r="C727" s="199"/>
      <c r="D727" s="156"/>
      <c r="E727" s="158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  <c r="AA727" s="494"/>
      <c r="AB727" s="494"/>
      <c r="AC727" s="201"/>
      <c r="AD727" s="201"/>
      <c r="AE727" s="202"/>
      <c r="AF727" s="202"/>
      <c r="AG727" s="202"/>
      <c r="AH727" s="202"/>
      <c r="AI727" s="203"/>
      <c r="AJ727" s="203"/>
      <c r="AK727" s="204"/>
      <c r="AL727" s="203"/>
      <c r="AM727" s="204"/>
      <c r="AN727" s="204"/>
      <c r="AO727" s="203"/>
      <c r="AP727" s="202"/>
      <c r="AQ727" s="202"/>
      <c r="AR727" s="202"/>
      <c r="AS727" s="202"/>
    </row>
    <row r="728" spans="1:45" s="205" customFormat="1">
      <c r="A728" s="200"/>
      <c r="B728" s="200"/>
      <c r="C728" s="199"/>
      <c r="D728" s="156"/>
      <c r="E728" s="158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  <c r="AA728" s="494"/>
      <c r="AB728" s="494"/>
      <c r="AC728" s="201"/>
      <c r="AD728" s="201"/>
      <c r="AE728" s="202"/>
      <c r="AF728" s="202"/>
      <c r="AG728" s="202"/>
      <c r="AH728" s="202"/>
      <c r="AI728" s="203"/>
      <c r="AJ728" s="203"/>
      <c r="AK728" s="204"/>
      <c r="AL728" s="203"/>
      <c r="AM728" s="204"/>
      <c r="AN728" s="204"/>
      <c r="AO728" s="203"/>
      <c r="AP728" s="202"/>
      <c r="AQ728" s="202"/>
      <c r="AR728" s="202"/>
      <c r="AS728" s="202"/>
    </row>
    <row r="729" spans="1:45" s="205" customFormat="1">
      <c r="A729" s="200"/>
      <c r="B729" s="200"/>
      <c r="C729" s="199"/>
      <c r="D729" s="156"/>
      <c r="E729" s="158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494"/>
      <c r="AB729" s="494"/>
      <c r="AC729" s="201"/>
      <c r="AD729" s="201"/>
      <c r="AE729" s="202"/>
      <c r="AF729" s="202"/>
      <c r="AG729" s="202"/>
      <c r="AH729" s="202"/>
      <c r="AI729" s="203"/>
      <c r="AJ729" s="203"/>
      <c r="AK729" s="204"/>
      <c r="AL729" s="203"/>
      <c r="AM729" s="204"/>
      <c r="AN729" s="204"/>
      <c r="AO729" s="203"/>
      <c r="AP729" s="202"/>
      <c r="AQ729" s="202"/>
      <c r="AR729" s="202"/>
      <c r="AS729" s="202"/>
    </row>
    <row r="730" spans="1:45" s="205" customFormat="1">
      <c r="A730" s="200"/>
      <c r="B730" s="200"/>
      <c r="C730" s="199"/>
      <c r="D730" s="156"/>
      <c r="E730" s="158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  <c r="AA730" s="494"/>
      <c r="AB730" s="494"/>
      <c r="AC730" s="201"/>
      <c r="AD730" s="201"/>
      <c r="AE730" s="202"/>
      <c r="AF730" s="202"/>
      <c r="AG730" s="202"/>
      <c r="AH730" s="202"/>
      <c r="AI730" s="203"/>
      <c r="AJ730" s="203"/>
      <c r="AK730" s="204"/>
      <c r="AL730" s="203"/>
      <c r="AM730" s="204"/>
      <c r="AN730" s="204"/>
      <c r="AO730" s="203"/>
      <c r="AP730" s="202"/>
      <c r="AQ730" s="202"/>
      <c r="AR730" s="202"/>
      <c r="AS730" s="202"/>
    </row>
    <row r="731" spans="1:45" s="205" customFormat="1">
      <c r="A731" s="200"/>
      <c r="B731" s="200"/>
      <c r="C731" s="199"/>
      <c r="D731" s="156"/>
      <c r="E731" s="158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  <c r="AA731" s="494"/>
      <c r="AB731" s="494"/>
      <c r="AC731" s="201"/>
      <c r="AD731" s="201"/>
      <c r="AE731" s="202"/>
      <c r="AF731" s="202"/>
      <c r="AG731" s="202"/>
      <c r="AH731" s="202"/>
      <c r="AI731" s="203"/>
      <c r="AJ731" s="203"/>
      <c r="AK731" s="204"/>
      <c r="AL731" s="203"/>
      <c r="AM731" s="204"/>
      <c r="AN731" s="204"/>
      <c r="AO731" s="203"/>
      <c r="AP731" s="202"/>
      <c r="AQ731" s="202"/>
      <c r="AR731" s="202"/>
      <c r="AS731" s="202"/>
    </row>
    <row r="732" spans="1:45" s="205" customFormat="1">
      <c r="A732" s="200"/>
      <c r="B732" s="200"/>
      <c r="C732" s="199"/>
      <c r="D732" s="156"/>
      <c r="E732" s="158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  <c r="AA732" s="494"/>
      <c r="AB732" s="494"/>
      <c r="AC732" s="201"/>
      <c r="AD732" s="201"/>
      <c r="AE732" s="202"/>
      <c r="AF732" s="202"/>
      <c r="AG732" s="202"/>
      <c r="AH732" s="202"/>
      <c r="AI732" s="203"/>
      <c r="AJ732" s="203"/>
      <c r="AK732" s="204"/>
      <c r="AL732" s="203"/>
      <c r="AM732" s="204"/>
      <c r="AN732" s="204"/>
      <c r="AO732" s="203"/>
      <c r="AP732" s="202"/>
      <c r="AQ732" s="202"/>
      <c r="AR732" s="202"/>
      <c r="AS732" s="202"/>
    </row>
    <row r="733" spans="1:45" s="205" customFormat="1">
      <c r="A733" s="200"/>
      <c r="B733" s="200"/>
      <c r="C733" s="199"/>
      <c r="D733" s="156"/>
      <c r="E733" s="158"/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  <c r="AA733" s="494"/>
      <c r="AB733" s="494"/>
      <c r="AC733" s="201"/>
      <c r="AD733" s="201"/>
      <c r="AE733" s="202"/>
      <c r="AF733" s="202"/>
      <c r="AG733" s="202"/>
      <c r="AH733" s="202"/>
      <c r="AI733" s="203"/>
      <c r="AJ733" s="203"/>
      <c r="AK733" s="204"/>
      <c r="AL733" s="203"/>
      <c r="AM733" s="204"/>
      <c r="AN733" s="204"/>
      <c r="AO733" s="203"/>
      <c r="AP733" s="202"/>
      <c r="AQ733" s="202"/>
      <c r="AR733" s="202"/>
      <c r="AS733" s="202"/>
    </row>
    <row r="734" spans="1:45" s="205" customFormat="1">
      <c r="A734" s="200"/>
      <c r="B734" s="200"/>
      <c r="C734" s="199"/>
      <c r="D734" s="156"/>
      <c r="E734" s="158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  <c r="AA734" s="494"/>
      <c r="AB734" s="494"/>
      <c r="AC734" s="201"/>
      <c r="AD734" s="201"/>
      <c r="AE734" s="202"/>
      <c r="AF734" s="202"/>
      <c r="AG734" s="202"/>
      <c r="AH734" s="202"/>
      <c r="AI734" s="203"/>
      <c r="AJ734" s="203"/>
      <c r="AK734" s="204"/>
      <c r="AL734" s="203"/>
      <c r="AM734" s="204"/>
      <c r="AN734" s="204"/>
      <c r="AO734" s="203"/>
      <c r="AP734" s="202"/>
      <c r="AQ734" s="202"/>
      <c r="AR734" s="202"/>
      <c r="AS734" s="202"/>
    </row>
    <row r="735" spans="1:45" s="205" customFormat="1">
      <c r="A735" s="200"/>
      <c r="B735" s="200"/>
      <c r="C735" s="199"/>
      <c r="D735" s="156"/>
      <c r="E735" s="158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  <c r="AA735" s="494"/>
      <c r="AB735" s="494"/>
      <c r="AC735" s="201"/>
      <c r="AD735" s="201"/>
      <c r="AE735" s="202"/>
      <c r="AF735" s="202"/>
      <c r="AG735" s="202"/>
      <c r="AH735" s="202"/>
      <c r="AI735" s="203"/>
      <c r="AJ735" s="203"/>
      <c r="AK735" s="204"/>
      <c r="AL735" s="203"/>
      <c r="AM735" s="204"/>
      <c r="AN735" s="204"/>
      <c r="AO735" s="203"/>
      <c r="AP735" s="202"/>
      <c r="AQ735" s="202"/>
      <c r="AR735" s="202"/>
      <c r="AS735" s="202"/>
    </row>
    <row r="736" spans="1:45" s="205" customFormat="1">
      <c r="A736" s="200"/>
      <c r="B736" s="200"/>
      <c r="C736" s="199"/>
      <c r="D736" s="156"/>
      <c r="E736" s="158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  <c r="AA736" s="494"/>
      <c r="AB736" s="494"/>
      <c r="AC736" s="201"/>
      <c r="AD736" s="201"/>
      <c r="AE736" s="202"/>
      <c r="AF736" s="202"/>
      <c r="AG736" s="202"/>
      <c r="AH736" s="202"/>
      <c r="AI736" s="203"/>
      <c r="AJ736" s="203"/>
      <c r="AK736" s="204"/>
      <c r="AL736" s="203"/>
      <c r="AM736" s="204"/>
      <c r="AN736" s="204"/>
      <c r="AO736" s="203"/>
      <c r="AP736" s="202"/>
      <c r="AQ736" s="202"/>
      <c r="AR736" s="202"/>
      <c r="AS736" s="202"/>
    </row>
    <row r="737" spans="1:45" s="205" customFormat="1">
      <c r="A737" s="200"/>
      <c r="B737" s="200"/>
      <c r="C737" s="199"/>
      <c r="D737" s="156"/>
      <c r="E737" s="158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494"/>
      <c r="AB737" s="494"/>
      <c r="AC737" s="201"/>
      <c r="AD737" s="201"/>
      <c r="AE737" s="202"/>
      <c r="AF737" s="202"/>
      <c r="AG737" s="202"/>
      <c r="AH737" s="202"/>
      <c r="AI737" s="203"/>
      <c r="AJ737" s="203"/>
      <c r="AK737" s="204"/>
      <c r="AL737" s="203"/>
      <c r="AM737" s="204"/>
      <c r="AN737" s="204"/>
      <c r="AO737" s="203"/>
      <c r="AP737" s="202"/>
      <c r="AQ737" s="202"/>
      <c r="AR737" s="202"/>
      <c r="AS737" s="202"/>
    </row>
    <row r="738" spans="1:45" s="205" customFormat="1">
      <c r="A738" s="200"/>
      <c r="B738" s="200"/>
      <c r="C738" s="199"/>
      <c r="D738" s="156"/>
      <c r="E738" s="158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  <c r="AA738" s="494"/>
      <c r="AB738" s="494"/>
      <c r="AC738" s="201"/>
      <c r="AD738" s="201"/>
      <c r="AE738" s="202"/>
      <c r="AF738" s="202"/>
      <c r="AG738" s="202"/>
      <c r="AH738" s="202"/>
      <c r="AI738" s="203"/>
      <c r="AJ738" s="203"/>
      <c r="AK738" s="204"/>
      <c r="AL738" s="203"/>
      <c r="AM738" s="204"/>
      <c r="AN738" s="204"/>
      <c r="AO738" s="203"/>
      <c r="AP738" s="202"/>
      <c r="AQ738" s="202"/>
      <c r="AR738" s="202"/>
      <c r="AS738" s="202"/>
    </row>
    <row r="739" spans="1:45" s="205" customFormat="1">
      <c r="A739" s="200"/>
      <c r="B739" s="200"/>
      <c r="C739" s="199"/>
      <c r="D739" s="156"/>
      <c r="E739" s="158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494"/>
      <c r="AB739" s="494"/>
      <c r="AC739" s="201"/>
      <c r="AD739" s="201"/>
      <c r="AE739" s="202"/>
      <c r="AF739" s="202"/>
      <c r="AG739" s="202"/>
      <c r="AH739" s="202"/>
      <c r="AI739" s="203"/>
      <c r="AJ739" s="203"/>
      <c r="AK739" s="204"/>
      <c r="AL739" s="203"/>
      <c r="AM739" s="204"/>
      <c r="AN739" s="204"/>
      <c r="AO739" s="203"/>
      <c r="AP739" s="202"/>
      <c r="AQ739" s="202"/>
      <c r="AR739" s="202"/>
      <c r="AS739" s="202"/>
    </row>
    <row r="740" spans="1:45" s="205" customFormat="1">
      <c r="A740" s="200"/>
      <c r="B740" s="200"/>
      <c r="C740" s="199"/>
      <c r="D740" s="156"/>
      <c r="E740" s="158"/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  <c r="AA740" s="494"/>
      <c r="AB740" s="494"/>
      <c r="AC740" s="201"/>
      <c r="AD740" s="201"/>
      <c r="AE740" s="202"/>
      <c r="AF740" s="202"/>
      <c r="AG740" s="202"/>
      <c r="AH740" s="202"/>
      <c r="AI740" s="203"/>
      <c r="AJ740" s="203"/>
      <c r="AK740" s="204"/>
      <c r="AL740" s="203"/>
      <c r="AM740" s="204"/>
      <c r="AN740" s="204"/>
      <c r="AO740" s="203"/>
      <c r="AP740" s="202"/>
      <c r="AQ740" s="202"/>
      <c r="AR740" s="202"/>
      <c r="AS740" s="202"/>
    </row>
    <row r="741" spans="1:45" s="205" customFormat="1">
      <c r="A741" s="200"/>
      <c r="B741" s="200"/>
      <c r="C741" s="199"/>
      <c r="D741" s="156"/>
      <c r="E741" s="158"/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  <c r="AA741" s="494"/>
      <c r="AB741" s="494"/>
      <c r="AC741" s="201"/>
      <c r="AD741" s="201"/>
      <c r="AE741" s="202"/>
      <c r="AF741" s="202"/>
      <c r="AG741" s="202"/>
      <c r="AH741" s="202"/>
      <c r="AI741" s="203"/>
      <c r="AJ741" s="203"/>
      <c r="AK741" s="204"/>
      <c r="AL741" s="203"/>
      <c r="AM741" s="204"/>
      <c r="AN741" s="204"/>
      <c r="AO741" s="203"/>
      <c r="AP741" s="202"/>
      <c r="AQ741" s="202"/>
      <c r="AR741" s="202"/>
      <c r="AS741" s="202"/>
    </row>
    <row r="742" spans="1:45" s="205" customFormat="1">
      <c r="A742" s="200"/>
      <c r="B742" s="200"/>
      <c r="C742" s="199"/>
      <c r="D742" s="156"/>
      <c r="E742" s="158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  <c r="AA742" s="494"/>
      <c r="AB742" s="494"/>
      <c r="AC742" s="201"/>
      <c r="AD742" s="201"/>
      <c r="AE742" s="202"/>
      <c r="AF742" s="202"/>
      <c r="AG742" s="202"/>
      <c r="AH742" s="202"/>
      <c r="AI742" s="203"/>
      <c r="AJ742" s="203"/>
      <c r="AK742" s="204"/>
      <c r="AL742" s="203"/>
      <c r="AM742" s="204"/>
      <c r="AN742" s="204"/>
      <c r="AO742" s="203"/>
      <c r="AP742" s="202"/>
      <c r="AQ742" s="202"/>
      <c r="AR742" s="202"/>
      <c r="AS742" s="202"/>
    </row>
    <row r="743" spans="1:45" s="205" customFormat="1">
      <c r="A743" s="200"/>
      <c r="B743" s="200"/>
      <c r="C743" s="199"/>
      <c r="D743" s="156"/>
      <c r="E743" s="158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  <c r="AA743" s="494"/>
      <c r="AB743" s="494"/>
      <c r="AC743" s="201"/>
      <c r="AD743" s="201"/>
      <c r="AE743" s="202"/>
      <c r="AF743" s="202"/>
      <c r="AG743" s="202"/>
      <c r="AH743" s="202"/>
      <c r="AI743" s="203"/>
      <c r="AJ743" s="203"/>
      <c r="AK743" s="204"/>
      <c r="AL743" s="203"/>
      <c r="AM743" s="204"/>
      <c r="AN743" s="204"/>
      <c r="AO743" s="203"/>
      <c r="AP743" s="202"/>
      <c r="AQ743" s="202"/>
      <c r="AR743" s="202"/>
      <c r="AS743" s="202"/>
    </row>
    <row r="744" spans="1:45" s="205" customFormat="1">
      <c r="A744" s="200"/>
      <c r="B744" s="200"/>
      <c r="C744" s="199"/>
      <c r="D744" s="156"/>
      <c r="E744" s="158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  <c r="AA744" s="494"/>
      <c r="AB744" s="494"/>
      <c r="AC744" s="201"/>
      <c r="AD744" s="201"/>
      <c r="AE744" s="202"/>
      <c r="AF744" s="202"/>
      <c r="AG744" s="202"/>
      <c r="AH744" s="202"/>
      <c r="AI744" s="203"/>
      <c r="AJ744" s="203"/>
      <c r="AK744" s="204"/>
      <c r="AL744" s="203"/>
      <c r="AM744" s="204"/>
      <c r="AN744" s="204"/>
      <c r="AO744" s="203"/>
      <c r="AP744" s="202"/>
      <c r="AQ744" s="202"/>
      <c r="AR744" s="202"/>
      <c r="AS744" s="202"/>
    </row>
    <row r="745" spans="1:45" s="205" customFormat="1">
      <c r="A745" s="200"/>
      <c r="B745" s="200"/>
      <c r="C745" s="199"/>
      <c r="D745" s="156"/>
      <c r="E745" s="158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494"/>
      <c r="AB745" s="494"/>
      <c r="AC745" s="201"/>
      <c r="AD745" s="201"/>
      <c r="AE745" s="202"/>
      <c r="AF745" s="202"/>
      <c r="AG745" s="202"/>
      <c r="AH745" s="202"/>
      <c r="AI745" s="203"/>
      <c r="AJ745" s="203"/>
      <c r="AK745" s="204"/>
      <c r="AL745" s="203"/>
      <c r="AM745" s="204"/>
      <c r="AN745" s="204"/>
      <c r="AO745" s="203"/>
      <c r="AP745" s="202"/>
      <c r="AQ745" s="202"/>
      <c r="AR745" s="202"/>
      <c r="AS745" s="202"/>
    </row>
    <row r="746" spans="1:45" s="205" customFormat="1">
      <c r="A746" s="200"/>
      <c r="B746" s="200"/>
      <c r="C746" s="199"/>
      <c r="D746" s="156"/>
      <c r="E746" s="158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  <c r="AA746" s="494"/>
      <c r="AB746" s="494"/>
      <c r="AC746" s="201"/>
      <c r="AD746" s="201"/>
      <c r="AE746" s="202"/>
      <c r="AF746" s="202"/>
      <c r="AG746" s="202"/>
      <c r="AH746" s="202"/>
      <c r="AI746" s="203"/>
      <c r="AJ746" s="203"/>
      <c r="AK746" s="204"/>
      <c r="AL746" s="203"/>
      <c r="AM746" s="204"/>
      <c r="AN746" s="204"/>
      <c r="AO746" s="203"/>
      <c r="AP746" s="202"/>
      <c r="AQ746" s="202"/>
      <c r="AR746" s="202"/>
      <c r="AS746" s="202"/>
    </row>
    <row r="747" spans="1:45" s="205" customFormat="1">
      <c r="A747" s="200"/>
      <c r="B747" s="200"/>
      <c r="C747" s="199"/>
      <c r="D747" s="156"/>
      <c r="E747" s="158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494"/>
      <c r="AB747" s="494"/>
      <c r="AC747" s="201"/>
      <c r="AD747" s="201"/>
      <c r="AE747" s="202"/>
      <c r="AF747" s="202"/>
      <c r="AG747" s="202"/>
      <c r="AH747" s="202"/>
      <c r="AI747" s="203"/>
      <c r="AJ747" s="203"/>
      <c r="AK747" s="204"/>
      <c r="AL747" s="203"/>
      <c r="AM747" s="204"/>
      <c r="AN747" s="204"/>
      <c r="AO747" s="203"/>
      <c r="AP747" s="202"/>
      <c r="AQ747" s="202"/>
      <c r="AR747" s="202"/>
      <c r="AS747" s="202"/>
    </row>
    <row r="748" spans="1:45" s="205" customFormat="1">
      <c r="A748" s="200"/>
      <c r="B748" s="200"/>
      <c r="C748" s="199"/>
      <c r="D748" s="156"/>
      <c r="E748" s="158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494"/>
      <c r="AB748" s="494"/>
      <c r="AC748" s="201"/>
      <c r="AD748" s="201"/>
      <c r="AE748" s="202"/>
      <c r="AF748" s="202"/>
      <c r="AG748" s="202"/>
      <c r="AH748" s="202"/>
      <c r="AI748" s="203"/>
      <c r="AJ748" s="203"/>
      <c r="AK748" s="204"/>
      <c r="AL748" s="203"/>
      <c r="AM748" s="204"/>
      <c r="AN748" s="204"/>
      <c r="AO748" s="203"/>
      <c r="AP748" s="202"/>
      <c r="AQ748" s="202"/>
      <c r="AR748" s="202"/>
      <c r="AS748" s="202"/>
    </row>
    <row r="749" spans="1:45" s="205" customFormat="1">
      <c r="A749" s="200"/>
      <c r="B749" s="200"/>
      <c r="C749" s="199"/>
      <c r="D749" s="156"/>
      <c r="E749" s="158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494"/>
      <c r="AB749" s="494"/>
      <c r="AC749" s="201"/>
      <c r="AD749" s="201"/>
      <c r="AE749" s="202"/>
      <c r="AF749" s="202"/>
      <c r="AG749" s="202"/>
      <c r="AH749" s="202"/>
      <c r="AI749" s="203"/>
      <c r="AJ749" s="203"/>
      <c r="AK749" s="204"/>
      <c r="AL749" s="203"/>
      <c r="AM749" s="204"/>
      <c r="AN749" s="204"/>
      <c r="AO749" s="203"/>
      <c r="AP749" s="202"/>
      <c r="AQ749" s="202"/>
      <c r="AR749" s="202"/>
      <c r="AS749" s="202"/>
    </row>
    <row r="750" spans="1:45" s="205" customFormat="1">
      <c r="A750" s="200"/>
      <c r="B750" s="200"/>
      <c r="C750" s="199"/>
      <c r="D750" s="156"/>
      <c r="E750" s="158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494"/>
      <c r="AB750" s="494"/>
      <c r="AC750" s="201"/>
      <c r="AD750" s="201"/>
      <c r="AE750" s="202"/>
      <c r="AF750" s="202"/>
      <c r="AG750" s="202"/>
      <c r="AH750" s="202"/>
      <c r="AI750" s="203"/>
      <c r="AJ750" s="203"/>
      <c r="AK750" s="204"/>
      <c r="AL750" s="203"/>
      <c r="AM750" s="204"/>
      <c r="AN750" s="204"/>
      <c r="AO750" s="203"/>
      <c r="AP750" s="202"/>
      <c r="AQ750" s="202"/>
      <c r="AR750" s="202"/>
      <c r="AS750" s="202"/>
    </row>
    <row r="751" spans="1:45" s="205" customFormat="1">
      <c r="A751" s="200"/>
      <c r="B751" s="200"/>
      <c r="C751" s="199"/>
      <c r="D751" s="156"/>
      <c r="E751" s="158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494"/>
      <c r="AB751" s="494"/>
      <c r="AC751" s="201"/>
      <c r="AD751" s="201"/>
      <c r="AE751" s="202"/>
      <c r="AF751" s="202"/>
      <c r="AG751" s="202"/>
      <c r="AH751" s="202"/>
      <c r="AI751" s="203"/>
      <c r="AJ751" s="203"/>
      <c r="AK751" s="204"/>
      <c r="AL751" s="203"/>
      <c r="AM751" s="204"/>
      <c r="AN751" s="204"/>
      <c r="AO751" s="203"/>
      <c r="AP751" s="202"/>
      <c r="AQ751" s="202"/>
      <c r="AR751" s="202"/>
      <c r="AS751" s="202"/>
    </row>
    <row r="752" spans="1:45" s="205" customFormat="1">
      <c r="A752" s="200"/>
      <c r="B752" s="200"/>
      <c r="C752" s="199"/>
      <c r="D752" s="156"/>
      <c r="E752" s="158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494"/>
      <c r="AB752" s="494"/>
      <c r="AC752" s="201"/>
      <c r="AD752" s="201"/>
      <c r="AE752" s="202"/>
      <c r="AF752" s="202"/>
      <c r="AG752" s="202"/>
      <c r="AH752" s="202"/>
      <c r="AI752" s="203"/>
      <c r="AJ752" s="203"/>
      <c r="AK752" s="204"/>
      <c r="AL752" s="203"/>
      <c r="AM752" s="204"/>
      <c r="AN752" s="204"/>
      <c r="AO752" s="203"/>
      <c r="AP752" s="202"/>
      <c r="AQ752" s="202"/>
      <c r="AR752" s="202"/>
      <c r="AS752" s="202"/>
    </row>
    <row r="753" spans="1:45" s="205" customFormat="1">
      <c r="A753" s="200"/>
      <c r="B753" s="200"/>
      <c r="C753" s="199"/>
      <c r="D753" s="156"/>
      <c r="E753" s="158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  <c r="AA753" s="494"/>
      <c r="AB753" s="494"/>
      <c r="AC753" s="201"/>
      <c r="AD753" s="201"/>
      <c r="AE753" s="202"/>
      <c r="AF753" s="202"/>
      <c r="AG753" s="202"/>
      <c r="AH753" s="202"/>
      <c r="AI753" s="203"/>
      <c r="AJ753" s="203"/>
      <c r="AK753" s="204"/>
      <c r="AL753" s="203"/>
      <c r="AM753" s="204"/>
      <c r="AN753" s="204"/>
      <c r="AO753" s="203"/>
      <c r="AP753" s="202"/>
      <c r="AQ753" s="202"/>
      <c r="AR753" s="202"/>
      <c r="AS753" s="202"/>
    </row>
    <row r="754" spans="1:45" s="205" customFormat="1">
      <c r="A754" s="200"/>
      <c r="B754" s="200"/>
      <c r="C754" s="199"/>
      <c r="D754" s="156"/>
      <c r="E754" s="158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494"/>
      <c r="AB754" s="494"/>
      <c r="AC754" s="201"/>
      <c r="AD754" s="201"/>
      <c r="AE754" s="202"/>
      <c r="AF754" s="202"/>
      <c r="AG754" s="202"/>
      <c r="AH754" s="202"/>
      <c r="AI754" s="203"/>
      <c r="AJ754" s="203"/>
      <c r="AK754" s="204"/>
      <c r="AL754" s="203"/>
      <c r="AM754" s="204"/>
      <c r="AN754" s="204"/>
      <c r="AO754" s="203"/>
      <c r="AP754" s="202"/>
      <c r="AQ754" s="202"/>
      <c r="AR754" s="202"/>
      <c r="AS754" s="202"/>
    </row>
    <row r="755" spans="1:45" s="205" customFormat="1">
      <c r="A755" s="200"/>
      <c r="B755" s="200"/>
      <c r="C755" s="199"/>
      <c r="D755" s="156"/>
      <c r="E755" s="158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  <c r="AA755" s="494"/>
      <c r="AB755" s="494"/>
      <c r="AC755" s="201"/>
      <c r="AD755" s="201"/>
      <c r="AE755" s="202"/>
      <c r="AF755" s="202"/>
      <c r="AG755" s="202"/>
      <c r="AH755" s="202"/>
      <c r="AI755" s="203"/>
      <c r="AJ755" s="203"/>
      <c r="AK755" s="204"/>
      <c r="AL755" s="203"/>
      <c r="AM755" s="204"/>
      <c r="AN755" s="204"/>
      <c r="AO755" s="203"/>
      <c r="AP755" s="202"/>
      <c r="AQ755" s="202"/>
      <c r="AR755" s="202"/>
      <c r="AS755" s="202"/>
    </row>
    <row r="756" spans="1:45" s="205" customFormat="1">
      <c r="A756" s="200"/>
      <c r="B756" s="200"/>
      <c r="C756" s="199"/>
      <c r="D756" s="156"/>
      <c r="E756" s="158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  <c r="AA756" s="494"/>
      <c r="AB756" s="494"/>
      <c r="AC756" s="201"/>
      <c r="AD756" s="201"/>
      <c r="AE756" s="202"/>
      <c r="AF756" s="202"/>
      <c r="AG756" s="202"/>
      <c r="AH756" s="202"/>
      <c r="AI756" s="203"/>
      <c r="AJ756" s="203"/>
      <c r="AK756" s="204"/>
      <c r="AL756" s="203"/>
      <c r="AM756" s="204"/>
      <c r="AN756" s="204"/>
      <c r="AO756" s="203"/>
      <c r="AP756" s="202"/>
      <c r="AQ756" s="202"/>
      <c r="AR756" s="202"/>
      <c r="AS756" s="202"/>
    </row>
    <row r="757" spans="1:45" s="205" customFormat="1">
      <c r="A757" s="200"/>
      <c r="B757" s="200"/>
      <c r="C757" s="199"/>
      <c r="D757" s="156"/>
      <c r="E757" s="158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  <c r="AA757" s="494"/>
      <c r="AB757" s="494"/>
      <c r="AC757" s="201"/>
      <c r="AD757" s="201"/>
      <c r="AE757" s="202"/>
      <c r="AF757" s="202"/>
      <c r="AG757" s="202"/>
      <c r="AH757" s="202"/>
      <c r="AI757" s="203"/>
      <c r="AJ757" s="203"/>
      <c r="AK757" s="204"/>
      <c r="AL757" s="203"/>
      <c r="AM757" s="204"/>
      <c r="AN757" s="204"/>
      <c r="AO757" s="203"/>
      <c r="AP757" s="202"/>
      <c r="AQ757" s="202"/>
      <c r="AR757" s="202"/>
      <c r="AS757" s="202"/>
    </row>
    <row r="758" spans="1:45" s="205" customFormat="1">
      <c r="A758" s="200"/>
      <c r="B758" s="200"/>
      <c r="C758" s="199"/>
      <c r="D758" s="156"/>
      <c r="E758" s="158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  <c r="AA758" s="494"/>
      <c r="AB758" s="494"/>
      <c r="AC758" s="201"/>
      <c r="AD758" s="201"/>
      <c r="AE758" s="202"/>
      <c r="AF758" s="202"/>
      <c r="AG758" s="202"/>
      <c r="AH758" s="202"/>
      <c r="AI758" s="203"/>
      <c r="AJ758" s="203"/>
      <c r="AK758" s="204"/>
      <c r="AL758" s="203"/>
      <c r="AM758" s="204"/>
      <c r="AN758" s="204"/>
      <c r="AO758" s="203"/>
      <c r="AP758" s="202"/>
      <c r="AQ758" s="202"/>
      <c r="AR758" s="202"/>
      <c r="AS758" s="202"/>
    </row>
    <row r="759" spans="1:45" s="205" customFormat="1">
      <c r="A759" s="200"/>
      <c r="B759" s="200"/>
      <c r="C759" s="199"/>
      <c r="D759" s="156"/>
      <c r="E759" s="158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  <c r="AA759" s="494"/>
      <c r="AB759" s="494"/>
      <c r="AC759" s="201"/>
      <c r="AD759" s="201"/>
      <c r="AE759" s="202"/>
      <c r="AF759" s="202"/>
      <c r="AG759" s="202"/>
      <c r="AH759" s="202"/>
      <c r="AI759" s="203"/>
      <c r="AJ759" s="203"/>
      <c r="AK759" s="204"/>
      <c r="AL759" s="203"/>
      <c r="AM759" s="204"/>
      <c r="AN759" s="204"/>
      <c r="AO759" s="203"/>
      <c r="AP759" s="202"/>
      <c r="AQ759" s="202"/>
      <c r="AR759" s="202"/>
      <c r="AS759" s="202"/>
    </row>
    <row r="760" spans="1:45" s="205" customFormat="1">
      <c r="A760" s="200"/>
      <c r="B760" s="200"/>
      <c r="C760" s="199"/>
      <c r="D760" s="156"/>
      <c r="E760" s="158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  <c r="AA760" s="494"/>
      <c r="AB760" s="494"/>
      <c r="AC760" s="201"/>
      <c r="AD760" s="201"/>
      <c r="AE760" s="202"/>
      <c r="AF760" s="202"/>
      <c r="AG760" s="202"/>
      <c r="AH760" s="202"/>
      <c r="AI760" s="203"/>
      <c r="AJ760" s="203"/>
      <c r="AK760" s="204"/>
      <c r="AL760" s="203"/>
      <c r="AM760" s="204"/>
      <c r="AN760" s="204"/>
      <c r="AO760" s="203"/>
      <c r="AP760" s="202"/>
      <c r="AQ760" s="202"/>
      <c r="AR760" s="202"/>
      <c r="AS760" s="202"/>
    </row>
    <row r="761" spans="1:45" s="205" customFormat="1">
      <c r="A761" s="200"/>
      <c r="B761" s="200"/>
      <c r="C761" s="199"/>
      <c r="D761" s="156"/>
      <c r="E761" s="158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  <c r="AA761" s="494"/>
      <c r="AB761" s="494"/>
      <c r="AC761" s="201"/>
      <c r="AD761" s="201"/>
      <c r="AE761" s="202"/>
      <c r="AF761" s="202"/>
      <c r="AG761" s="202"/>
      <c r="AH761" s="202"/>
      <c r="AI761" s="203"/>
      <c r="AJ761" s="203"/>
      <c r="AK761" s="204"/>
      <c r="AL761" s="203"/>
      <c r="AM761" s="204"/>
      <c r="AN761" s="204"/>
      <c r="AO761" s="203"/>
      <c r="AP761" s="202"/>
      <c r="AQ761" s="202"/>
      <c r="AR761" s="202"/>
      <c r="AS761" s="202"/>
    </row>
    <row r="762" spans="1:45" s="205" customFormat="1">
      <c r="A762" s="200"/>
      <c r="B762" s="200"/>
      <c r="C762" s="199"/>
      <c r="D762" s="156"/>
      <c r="E762" s="158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  <c r="AA762" s="494"/>
      <c r="AB762" s="494"/>
      <c r="AC762" s="201"/>
      <c r="AD762" s="201"/>
      <c r="AE762" s="202"/>
      <c r="AF762" s="202"/>
      <c r="AG762" s="202"/>
      <c r="AH762" s="202"/>
      <c r="AI762" s="203"/>
      <c r="AJ762" s="203"/>
      <c r="AK762" s="204"/>
      <c r="AL762" s="203"/>
      <c r="AM762" s="204"/>
      <c r="AN762" s="204"/>
      <c r="AO762" s="203"/>
      <c r="AP762" s="202"/>
      <c r="AQ762" s="202"/>
      <c r="AR762" s="202"/>
      <c r="AS762" s="202"/>
    </row>
    <row r="763" spans="1:45" s="205" customFormat="1">
      <c r="A763" s="200"/>
      <c r="B763" s="200"/>
      <c r="C763" s="199"/>
      <c r="D763" s="156"/>
      <c r="E763" s="158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  <c r="AA763" s="494"/>
      <c r="AB763" s="494"/>
      <c r="AC763" s="201"/>
      <c r="AD763" s="201"/>
      <c r="AE763" s="202"/>
      <c r="AF763" s="202"/>
      <c r="AG763" s="202"/>
      <c r="AH763" s="202"/>
      <c r="AI763" s="203"/>
      <c r="AJ763" s="203"/>
      <c r="AK763" s="204"/>
      <c r="AL763" s="203"/>
      <c r="AM763" s="204"/>
      <c r="AN763" s="204"/>
      <c r="AO763" s="203"/>
      <c r="AP763" s="202"/>
      <c r="AQ763" s="202"/>
      <c r="AR763" s="202"/>
      <c r="AS763" s="202"/>
    </row>
    <row r="764" spans="1:45" s="205" customFormat="1">
      <c r="A764" s="200"/>
      <c r="B764" s="200"/>
      <c r="C764" s="199"/>
      <c r="D764" s="156"/>
      <c r="E764" s="158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494"/>
      <c r="AB764" s="494"/>
      <c r="AC764" s="201"/>
      <c r="AD764" s="201"/>
      <c r="AE764" s="202"/>
      <c r="AF764" s="202"/>
      <c r="AG764" s="202"/>
      <c r="AH764" s="202"/>
      <c r="AI764" s="203"/>
      <c r="AJ764" s="203"/>
      <c r="AK764" s="204"/>
      <c r="AL764" s="203"/>
      <c r="AM764" s="204"/>
      <c r="AN764" s="204"/>
      <c r="AO764" s="203"/>
      <c r="AP764" s="202"/>
      <c r="AQ764" s="202"/>
      <c r="AR764" s="202"/>
      <c r="AS764" s="202"/>
    </row>
    <row r="765" spans="1:45" s="205" customFormat="1">
      <c r="A765" s="200"/>
      <c r="B765" s="200"/>
      <c r="C765" s="199"/>
      <c r="D765" s="156"/>
      <c r="E765" s="158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494"/>
      <c r="AB765" s="494"/>
      <c r="AC765" s="201"/>
      <c r="AD765" s="201"/>
      <c r="AE765" s="202"/>
      <c r="AF765" s="202"/>
      <c r="AG765" s="202"/>
      <c r="AH765" s="202"/>
      <c r="AI765" s="203"/>
      <c r="AJ765" s="203"/>
      <c r="AK765" s="204"/>
      <c r="AL765" s="203"/>
      <c r="AM765" s="204"/>
      <c r="AN765" s="204"/>
      <c r="AO765" s="203"/>
      <c r="AP765" s="202"/>
      <c r="AQ765" s="202"/>
      <c r="AR765" s="202"/>
      <c r="AS765" s="202"/>
    </row>
    <row r="766" spans="1:45" s="205" customFormat="1">
      <c r="A766" s="200"/>
      <c r="B766" s="200"/>
      <c r="C766" s="199"/>
      <c r="D766" s="156"/>
      <c r="E766" s="158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494"/>
      <c r="AB766" s="494"/>
      <c r="AC766" s="201"/>
      <c r="AD766" s="201"/>
      <c r="AE766" s="202"/>
      <c r="AF766" s="202"/>
      <c r="AG766" s="202"/>
      <c r="AH766" s="202"/>
      <c r="AI766" s="203"/>
      <c r="AJ766" s="203"/>
      <c r="AK766" s="204"/>
      <c r="AL766" s="203"/>
      <c r="AM766" s="204"/>
      <c r="AN766" s="204"/>
      <c r="AO766" s="203"/>
      <c r="AP766" s="202"/>
      <c r="AQ766" s="202"/>
      <c r="AR766" s="202"/>
      <c r="AS766" s="202"/>
    </row>
    <row r="767" spans="1:45" s="205" customFormat="1">
      <c r="A767" s="200"/>
      <c r="B767" s="200"/>
      <c r="C767" s="199"/>
      <c r="D767" s="156"/>
      <c r="E767" s="158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494"/>
      <c r="AB767" s="494"/>
      <c r="AC767" s="201"/>
      <c r="AD767" s="201"/>
      <c r="AE767" s="202"/>
      <c r="AF767" s="202"/>
      <c r="AG767" s="202"/>
      <c r="AH767" s="202"/>
      <c r="AI767" s="203"/>
      <c r="AJ767" s="203"/>
      <c r="AK767" s="204"/>
      <c r="AL767" s="203"/>
      <c r="AM767" s="204"/>
      <c r="AN767" s="204"/>
      <c r="AO767" s="203"/>
      <c r="AP767" s="202"/>
      <c r="AQ767" s="202"/>
      <c r="AR767" s="202"/>
      <c r="AS767" s="202"/>
    </row>
    <row r="768" spans="1:45" s="205" customFormat="1">
      <c r="A768" s="200"/>
      <c r="B768" s="200"/>
      <c r="C768" s="199"/>
      <c r="D768" s="156"/>
      <c r="E768" s="158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494"/>
      <c r="AB768" s="494"/>
      <c r="AC768" s="201"/>
      <c r="AD768" s="201"/>
      <c r="AE768" s="202"/>
      <c r="AF768" s="202"/>
      <c r="AG768" s="202"/>
      <c r="AH768" s="202"/>
      <c r="AI768" s="203"/>
      <c r="AJ768" s="203"/>
      <c r="AK768" s="204"/>
      <c r="AL768" s="203"/>
      <c r="AM768" s="204"/>
      <c r="AN768" s="204"/>
      <c r="AO768" s="203"/>
      <c r="AP768" s="202"/>
      <c r="AQ768" s="202"/>
      <c r="AR768" s="202"/>
      <c r="AS768" s="202"/>
    </row>
    <row r="769" spans="1:45" s="205" customFormat="1">
      <c r="A769" s="200"/>
      <c r="B769" s="200"/>
      <c r="C769" s="199"/>
      <c r="D769" s="156"/>
      <c r="E769" s="158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494"/>
      <c r="AB769" s="494"/>
      <c r="AC769" s="201"/>
      <c r="AD769" s="201"/>
      <c r="AE769" s="202"/>
      <c r="AF769" s="202"/>
      <c r="AG769" s="202"/>
      <c r="AH769" s="202"/>
      <c r="AI769" s="203"/>
      <c r="AJ769" s="203"/>
      <c r="AK769" s="204"/>
      <c r="AL769" s="203"/>
      <c r="AM769" s="204"/>
      <c r="AN769" s="204"/>
      <c r="AO769" s="203"/>
      <c r="AP769" s="202"/>
      <c r="AQ769" s="202"/>
      <c r="AR769" s="202"/>
      <c r="AS769" s="202"/>
    </row>
    <row r="770" spans="1:45" s="205" customFormat="1">
      <c r="A770" s="200"/>
      <c r="B770" s="200"/>
      <c r="C770" s="199"/>
      <c r="D770" s="156"/>
      <c r="E770" s="158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494"/>
      <c r="AB770" s="494"/>
      <c r="AC770" s="201"/>
      <c r="AD770" s="201"/>
      <c r="AE770" s="202"/>
      <c r="AF770" s="202"/>
      <c r="AG770" s="202"/>
      <c r="AH770" s="202"/>
      <c r="AI770" s="203"/>
      <c r="AJ770" s="203"/>
      <c r="AK770" s="204"/>
      <c r="AL770" s="203"/>
      <c r="AM770" s="204"/>
      <c r="AN770" s="204"/>
      <c r="AO770" s="203"/>
      <c r="AP770" s="202"/>
      <c r="AQ770" s="202"/>
      <c r="AR770" s="202"/>
      <c r="AS770" s="202"/>
    </row>
    <row r="771" spans="1:45" s="205" customFormat="1">
      <c r="A771" s="200"/>
      <c r="B771" s="200"/>
      <c r="C771" s="199"/>
      <c r="D771" s="156"/>
      <c r="E771" s="158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494"/>
      <c r="AB771" s="494"/>
      <c r="AC771" s="201"/>
      <c r="AD771" s="201"/>
      <c r="AE771" s="202"/>
      <c r="AF771" s="202"/>
      <c r="AG771" s="202"/>
      <c r="AH771" s="202"/>
      <c r="AI771" s="203"/>
      <c r="AJ771" s="203"/>
      <c r="AK771" s="204"/>
      <c r="AL771" s="203"/>
      <c r="AM771" s="204"/>
      <c r="AN771" s="204"/>
      <c r="AO771" s="203"/>
      <c r="AP771" s="202"/>
      <c r="AQ771" s="202"/>
      <c r="AR771" s="202"/>
      <c r="AS771" s="202"/>
    </row>
    <row r="772" spans="1:45" s="205" customFormat="1">
      <c r="A772" s="200"/>
      <c r="B772" s="200"/>
      <c r="C772" s="199"/>
      <c r="D772" s="156"/>
      <c r="E772" s="158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494"/>
      <c r="AB772" s="494"/>
      <c r="AC772" s="201"/>
      <c r="AD772" s="201"/>
      <c r="AE772" s="202"/>
      <c r="AF772" s="202"/>
      <c r="AG772" s="202"/>
      <c r="AH772" s="202"/>
      <c r="AI772" s="203"/>
      <c r="AJ772" s="203"/>
      <c r="AK772" s="204"/>
      <c r="AL772" s="203"/>
      <c r="AM772" s="204"/>
      <c r="AN772" s="204"/>
      <c r="AO772" s="203"/>
      <c r="AP772" s="202"/>
      <c r="AQ772" s="202"/>
      <c r="AR772" s="202"/>
      <c r="AS772" s="202"/>
    </row>
    <row r="773" spans="1:45" s="205" customFormat="1">
      <c r="A773" s="200"/>
      <c r="B773" s="200"/>
      <c r="C773" s="199"/>
      <c r="D773" s="156"/>
      <c r="E773" s="158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494"/>
      <c r="AB773" s="494"/>
      <c r="AC773" s="201"/>
      <c r="AD773" s="201"/>
      <c r="AE773" s="202"/>
      <c r="AF773" s="202"/>
      <c r="AG773" s="202"/>
      <c r="AH773" s="202"/>
      <c r="AI773" s="203"/>
      <c r="AJ773" s="203"/>
      <c r="AK773" s="204"/>
      <c r="AL773" s="203"/>
      <c r="AM773" s="204"/>
      <c r="AN773" s="204"/>
      <c r="AO773" s="203"/>
      <c r="AP773" s="202"/>
      <c r="AQ773" s="202"/>
      <c r="AR773" s="202"/>
      <c r="AS773" s="202"/>
    </row>
    <row r="774" spans="1:45" s="205" customFormat="1">
      <c r="A774" s="200"/>
      <c r="B774" s="200"/>
      <c r="C774" s="199"/>
      <c r="D774" s="156"/>
      <c r="E774" s="158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494"/>
      <c r="AB774" s="494"/>
      <c r="AC774" s="201"/>
      <c r="AD774" s="201"/>
      <c r="AE774" s="202"/>
      <c r="AF774" s="202"/>
      <c r="AG774" s="202"/>
      <c r="AH774" s="202"/>
      <c r="AI774" s="203"/>
      <c r="AJ774" s="203"/>
      <c r="AK774" s="204"/>
      <c r="AL774" s="203"/>
      <c r="AM774" s="204"/>
      <c r="AN774" s="204"/>
      <c r="AO774" s="203"/>
      <c r="AP774" s="202"/>
      <c r="AQ774" s="202"/>
      <c r="AR774" s="202"/>
      <c r="AS774" s="202"/>
    </row>
    <row r="775" spans="1:45" s="205" customFormat="1">
      <c r="A775" s="200"/>
      <c r="B775" s="200"/>
      <c r="C775" s="199"/>
      <c r="D775" s="156"/>
      <c r="E775" s="158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494"/>
      <c r="AB775" s="494"/>
      <c r="AC775" s="201"/>
      <c r="AD775" s="201"/>
      <c r="AE775" s="202"/>
      <c r="AF775" s="202"/>
      <c r="AG775" s="202"/>
      <c r="AH775" s="202"/>
      <c r="AI775" s="203"/>
      <c r="AJ775" s="203"/>
      <c r="AK775" s="204"/>
      <c r="AL775" s="203"/>
      <c r="AM775" s="204"/>
      <c r="AN775" s="204"/>
      <c r="AO775" s="203"/>
      <c r="AP775" s="202"/>
      <c r="AQ775" s="202"/>
      <c r="AR775" s="202"/>
      <c r="AS775" s="202"/>
    </row>
    <row r="776" spans="1:45" s="205" customFormat="1">
      <c r="A776" s="200"/>
      <c r="B776" s="200"/>
      <c r="C776" s="199"/>
      <c r="D776" s="156"/>
      <c r="E776" s="158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494"/>
      <c r="AB776" s="494"/>
      <c r="AC776" s="201"/>
      <c r="AD776" s="201"/>
      <c r="AE776" s="202"/>
      <c r="AF776" s="202"/>
      <c r="AG776" s="202"/>
      <c r="AH776" s="202"/>
      <c r="AI776" s="203"/>
      <c r="AJ776" s="203"/>
      <c r="AK776" s="204"/>
      <c r="AL776" s="203"/>
      <c r="AM776" s="204"/>
      <c r="AN776" s="204"/>
      <c r="AO776" s="203"/>
      <c r="AP776" s="202"/>
      <c r="AQ776" s="202"/>
      <c r="AR776" s="202"/>
      <c r="AS776" s="202"/>
    </row>
    <row r="777" spans="1:45" s="205" customFormat="1">
      <c r="A777" s="200"/>
      <c r="B777" s="200"/>
      <c r="C777" s="199"/>
      <c r="D777" s="156"/>
      <c r="E777" s="158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494"/>
      <c r="AB777" s="494"/>
      <c r="AC777" s="201"/>
      <c r="AD777" s="201"/>
      <c r="AE777" s="202"/>
      <c r="AF777" s="202"/>
      <c r="AG777" s="202"/>
      <c r="AH777" s="202"/>
      <c r="AI777" s="203"/>
      <c r="AJ777" s="203"/>
      <c r="AK777" s="204"/>
      <c r="AL777" s="203"/>
      <c r="AM777" s="204"/>
      <c r="AN777" s="204"/>
      <c r="AO777" s="203"/>
      <c r="AP777" s="202"/>
      <c r="AQ777" s="202"/>
      <c r="AR777" s="202"/>
      <c r="AS777" s="202"/>
    </row>
    <row r="778" spans="1:45" s="205" customFormat="1">
      <c r="A778" s="200"/>
      <c r="B778" s="200"/>
      <c r="C778" s="199"/>
      <c r="D778" s="156"/>
      <c r="E778" s="158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494"/>
      <c r="AB778" s="494"/>
      <c r="AC778" s="201"/>
      <c r="AD778" s="201"/>
      <c r="AE778" s="202"/>
      <c r="AF778" s="202"/>
      <c r="AG778" s="202"/>
      <c r="AH778" s="202"/>
      <c r="AI778" s="203"/>
      <c r="AJ778" s="203"/>
      <c r="AK778" s="204"/>
      <c r="AL778" s="203"/>
      <c r="AM778" s="204"/>
      <c r="AN778" s="204"/>
      <c r="AO778" s="203"/>
      <c r="AP778" s="202"/>
      <c r="AQ778" s="202"/>
      <c r="AR778" s="202"/>
      <c r="AS778" s="202"/>
    </row>
    <row r="779" spans="1:45" s="205" customFormat="1">
      <c r="A779" s="200"/>
      <c r="B779" s="200"/>
      <c r="C779" s="199"/>
      <c r="D779" s="156"/>
      <c r="E779" s="158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494"/>
      <c r="AB779" s="494"/>
      <c r="AC779" s="201"/>
      <c r="AD779" s="201"/>
      <c r="AE779" s="202"/>
      <c r="AF779" s="202"/>
      <c r="AG779" s="202"/>
      <c r="AH779" s="202"/>
      <c r="AI779" s="203"/>
      <c r="AJ779" s="203"/>
      <c r="AK779" s="204"/>
      <c r="AL779" s="203"/>
      <c r="AM779" s="204"/>
      <c r="AN779" s="204"/>
      <c r="AO779" s="203"/>
      <c r="AP779" s="202"/>
      <c r="AQ779" s="202"/>
      <c r="AR779" s="202"/>
      <c r="AS779" s="202"/>
    </row>
    <row r="780" spans="1:45" s="205" customFormat="1">
      <c r="A780" s="200"/>
      <c r="B780" s="200"/>
      <c r="C780" s="199"/>
      <c r="D780" s="156"/>
      <c r="E780" s="158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494"/>
      <c r="AB780" s="494"/>
      <c r="AC780" s="201"/>
      <c r="AD780" s="201"/>
      <c r="AE780" s="202"/>
      <c r="AF780" s="202"/>
      <c r="AG780" s="202"/>
      <c r="AH780" s="202"/>
      <c r="AI780" s="203"/>
      <c r="AJ780" s="203"/>
      <c r="AK780" s="204"/>
      <c r="AL780" s="203"/>
      <c r="AM780" s="204"/>
      <c r="AN780" s="204"/>
      <c r="AO780" s="203"/>
      <c r="AP780" s="202"/>
      <c r="AQ780" s="202"/>
      <c r="AR780" s="202"/>
      <c r="AS780" s="202"/>
    </row>
    <row r="781" spans="1:45" s="205" customFormat="1">
      <c r="A781" s="200"/>
      <c r="B781" s="200"/>
      <c r="C781" s="199"/>
      <c r="D781" s="156"/>
      <c r="E781" s="158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494"/>
      <c r="AB781" s="494"/>
      <c r="AC781" s="201"/>
      <c r="AD781" s="201"/>
      <c r="AE781" s="202"/>
      <c r="AF781" s="202"/>
      <c r="AG781" s="202"/>
      <c r="AH781" s="202"/>
      <c r="AI781" s="203"/>
      <c r="AJ781" s="203"/>
      <c r="AK781" s="204"/>
      <c r="AL781" s="203"/>
      <c r="AM781" s="204"/>
      <c r="AN781" s="204"/>
      <c r="AO781" s="203"/>
      <c r="AP781" s="202"/>
      <c r="AQ781" s="202"/>
      <c r="AR781" s="202"/>
      <c r="AS781" s="202"/>
    </row>
    <row r="782" spans="1:45" s="205" customFormat="1">
      <c r="A782" s="200"/>
      <c r="B782" s="200"/>
      <c r="C782" s="199"/>
      <c r="D782" s="156"/>
      <c r="E782" s="158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494"/>
      <c r="AB782" s="494"/>
      <c r="AC782" s="201"/>
      <c r="AD782" s="201"/>
      <c r="AE782" s="202"/>
      <c r="AF782" s="202"/>
      <c r="AG782" s="202"/>
      <c r="AH782" s="202"/>
      <c r="AI782" s="203"/>
      <c r="AJ782" s="203"/>
      <c r="AK782" s="204"/>
      <c r="AL782" s="203"/>
      <c r="AM782" s="204"/>
      <c r="AN782" s="204"/>
      <c r="AO782" s="203"/>
      <c r="AP782" s="202"/>
      <c r="AQ782" s="202"/>
      <c r="AR782" s="202"/>
      <c r="AS782" s="202"/>
    </row>
    <row r="783" spans="1:45" s="205" customFormat="1">
      <c r="A783" s="200"/>
      <c r="B783" s="200"/>
      <c r="C783" s="199"/>
      <c r="D783" s="156"/>
      <c r="E783" s="158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494"/>
      <c r="AB783" s="494"/>
      <c r="AC783" s="201"/>
      <c r="AD783" s="201"/>
      <c r="AE783" s="202"/>
      <c r="AF783" s="202"/>
      <c r="AG783" s="202"/>
      <c r="AH783" s="202"/>
      <c r="AI783" s="203"/>
      <c r="AJ783" s="203"/>
      <c r="AK783" s="204"/>
      <c r="AL783" s="203"/>
      <c r="AM783" s="204"/>
      <c r="AN783" s="204"/>
      <c r="AO783" s="203"/>
      <c r="AP783" s="202"/>
      <c r="AQ783" s="202"/>
      <c r="AR783" s="202"/>
      <c r="AS783" s="202"/>
    </row>
    <row r="784" spans="1:45" s="205" customFormat="1">
      <c r="A784" s="200"/>
      <c r="B784" s="200"/>
      <c r="C784" s="199"/>
      <c r="D784" s="156"/>
      <c r="E784" s="158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494"/>
      <c r="AB784" s="494"/>
      <c r="AC784" s="201"/>
      <c r="AD784" s="201"/>
      <c r="AE784" s="202"/>
      <c r="AF784" s="202"/>
      <c r="AG784" s="202"/>
      <c r="AH784" s="202"/>
      <c r="AI784" s="203"/>
      <c r="AJ784" s="203"/>
      <c r="AK784" s="204"/>
      <c r="AL784" s="203"/>
      <c r="AM784" s="204"/>
      <c r="AN784" s="204"/>
      <c r="AO784" s="203"/>
      <c r="AP784" s="202"/>
      <c r="AQ784" s="202"/>
      <c r="AR784" s="202"/>
      <c r="AS784" s="202"/>
    </row>
  </sheetData>
  <autoFilter ref="C8:X686"/>
  <mergeCells count="8328">
    <mergeCell ref="J598:J599"/>
    <mergeCell ref="K598:K599"/>
    <mergeCell ref="W598:W599"/>
    <mergeCell ref="X598:X599"/>
    <mergeCell ref="O598:O599"/>
    <mergeCell ref="AC596:AC597"/>
    <mergeCell ref="R598:R599"/>
    <mergeCell ref="S598:S599"/>
    <mergeCell ref="T598:T599"/>
    <mergeCell ref="U598:U599"/>
    <mergeCell ref="AD598:AD599"/>
    <mergeCell ref="Q596:Q597"/>
    <mergeCell ref="AC598:AC599"/>
    <mergeCell ref="R596:R597"/>
    <mergeCell ref="S596:S597"/>
    <mergeCell ref="Z598:Z599"/>
    <mergeCell ref="AD596:AD597"/>
    <mergeCell ref="V598:V599"/>
    <mergeCell ref="V596:V597"/>
    <mergeCell ref="W596:W597"/>
    <mergeCell ref="U660:U661"/>
    <mergeCell ref="AA660:AA661"/>
    <mergeCell ref="AB660:AB661"/>
    <mergeCell ref="K596:K597"/>
    <mergeCell ref="L596:L597"/>
    <mergeCell ref="Y596:Y597"/>
    <mergeCell ref="Z596:Z597"/>
    <mergeCell ref="P596:P597"/>
    <mergeCell ref="X596:X597"/>
    <mergeCell ref="AA598:AA599"/>
    <mergeCell ref="A660:A661"/>
    <mergeCell ref="B660:B661"/>
    <mergeCell ref="C660:C661"/>
    <mergeCell ref="D660:D661"/>
    <mergeCell ref="AD660:AD661"/>
    <mergeCell ref="P660:P661"/>
    <mergeCell ref="Q660:Q661"/>
    <mergeCell ref="R660:R661"/>
    <mergeCell ref="S660:S661"/>
    <mergeCell ref="T660:T661"/>
    <mergeCell ref="N658:N659"/>
    <mergeCell ref="O658:O659"/>
    <mergeCell ref="N660:N661"/>
    <mergeCell ref="L660:L661"/>
    <mergeCell ref="M660:M661"/>
    <mergeCell ref="E658:E659"/>
    <mergeCell ref="F658:F659"/>
    <mergeCell ref="G658:G659"/>
    <mergeCell ref="P658:P659"/>
    <mergeCell ref="P598:P599"/>
    <mergeCell ref="P650:P651"/>
    <mergeCell ref="AD658:AD659"/>
    <mergeCell ref="S658:S659"/>
    <mergeCell ref="R656:R657"/>
    <mergeCell ref="Q598:Q599"/>
    <mergeCell ref="T652:T653"/>
    <mergeCell ref="U652:U653"/>
    <mergeCell ref="Q650:Q651"/>
    <mergeCell ref="O654:O655"/>
    <mergeCell ref="Q654:Q655"/>
    <mergeCell ref="AC660:AC661"/>
    <mergeCell ref="AC658:AC659"/>
    <mergeCell ref="X654:X655"/>
    <mergeCell ref="V658:V659"/>
    <mergeCell ref="Y660:Y661"/>
    <mergeCell ref="O660:O661"/>
    <mergeCell ref="Z660:Z661"/>
    <mergeCell ref="V660:V661"/>
    <mergeCell ref="F598:F599"/>
    <mergeCell ref="G598:G599"/>
    <mergeCell ref="X658:X659"/>
    <mergeCell ref="W656:W657"/>
    <mergeCell ref="L656:L657"/>
    <mergeCell ref="M656:M657"/>
    <mergeCell ref="N656:N657"/>
    <mergeCell ref="O656:O657"/>
    <mergeCell ref="P656:P657"/>
    <mergeCell ref="Q656:Q657"/>
    <mergeCell ref="E598:E599"/>
    <mergeCell ref="G660:G661"/>
    <mergeCell ref="Y658:Y659"/>
    <mergeCell ref="Z658:Z659"/>
    <mergeCell ref="R650:R651"/>
    <mergeCell ref="S650:S651"/>
    <mergeCell ref="T650:T651"/>
    <mergeCell ref="U650:U651"/>
    <mergeCell ref="W660:W661"/>
    <mergeCell ref="X660:X661"/>
    <mergeCell ref="W658:W659"/>
    <mergeCell ref="R654:R655"/>
    <mergeCell ref="S654:S655"/>
    <mergeCell ref="A656:A657"/>
    <mergeCell ref="B656:B657"/>
    <mergeCell ref="C656:C657"/>
    <mergeCell ref="D656:D657"/>
    <mergeCell ref="E656:E657"/>
    <mergeCell ref="A658:A659"/>
    <mergeCell ref="B658:B659"/>
    <mergeCell ref="K654:K655"/>
    <mergeCell ref="L654:L655"/>
    <mergeCell ref="M654:M655"/>
    <mergeCell ref="C658:C659"/>
    <mergeCell ref="D658:D659"/>
    <mergeCell ref="J660:J661"/>
    <mergeCell ref="K660:K661"/>
    <mergeCell ref="E660:E661"/>
    <mergeCell ref="F660:F661"/>
    <mergeCell ref="J656:J657"/>
    <mergeCell ref="K656:K657"/>
    <mergeCell ref="H660:H661"/>
    <mergeCell ref="I660:I661"/>
    <mergeCell ref="H658:H659"/>
    <mergeCell ref="I658:I659"/>
    <mergeCell ref="I654:I655"/>
    <mergeCell ref="AC652:AC653"/>
    <mergeCell ref="N652:N653"/>
    <mergeCell ref="O652:O653"/>
    <mergeCell ref="P652:P653"/>
    <mergeCell ref="Q652:Q653"/>
    <mergeCell ref="R652:R653"/>
    <mergeCell ref="S652:S653"/>
    <mergeCell ref="W654:W655"/>
    <mergeCell ref="V652:V653"/>
    <mergeCell ref="F656:F657"/>
    <mergeCell ref="G656:G657"/>
    <mergeCell ref="H656:H657"/>
    <mergeCell ref="I656:I657"/>
    <mergeCell ref="Q658:Q659"/>
    <mergeCell ref="R658:R659"/>
    <mergeCell ref="J658:J659"/>
    <mergeCell ref="K658:K659"/>
    <mergeCell ref="L658:L659"/>
    <mergeCell ref="M658:M659"/>
    <mergeCell ref="G652:G653"/>
    <mergeCell ref="Y652:Y653"/>
    <mergeCell ref="T658:T659"/>
    <mergeCell ref="U658:U659"/>
    <mergeCell ref="X656:X657"/>
    <mergeCell ref="M652:M653"/>
    <mergeCell ref="T656:T657"/>
    <mergeCell ref="U656:U657"/>
    <mergeCell ref="V656:V657"/>
    <mergeCell ref="S656:S657"/>
    <mergeCell ref="A652:A653"/>
    <mergeCell ref="B652:B653"/>
    <mergeCell ref="C652:C653"/>
    <mergeCell ref="D652:D653"/>
    <mergeCell ref="E652:E653"/>
    <mergeCell ref="F652:F653"/>
    <mergeCell ref="AD656:AD657"/>
    <mergeCell ref="Y654:Y655"/>
    <mergeCell ref="Z654:Z655"/>
    <mergeCell ref="Y656:Y657"/>
    <mergeCell ref="Z656:Z657"/>
    <mergeCell ref="AA656:AA657"/>
    <mergeCell ref="AB656:AB657"/>
    <mergeCell ref="AC656:AC657"/>
    <mergeCell ref="AD654:AD655"/>
    <mergeCell ref="AC654:AC655"/>
    <mergeCell ref="AD652:AD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X652:X653"/>
    <mergeCell ref="X650:X651"/>
    <mergeCell ref="AD650:AD651"/>
    <mergeCell ref="F650:F651"/>
    <mergeCell ref="G650:G651"/>
    <mergeCell ref="H650:H651"/>
    <mergeCell ref="I650:I651"/>
    <mergeCell ref="V650:V651"/>
    <mergeCell ref="W650:W651"/>
    <mergeCell ref="L650:L651"/>
    <mergeCell ref="M650:M651"/>
    <mergeCell ref="X648:X649"/>
    <mergeCell ref="T648:T649"/>
    <mergeCell ref="U648:U649"/>
    <mergeCell ref="J648:J649"/>
    <mergeCell ref="K648:K649"/>
    <mergeCell ref="L648:L649"/>
    <mergeCell ref="S648:S649"/>
    <mergeCell ref="W652:W653"/>
    <mergeCell ref="P654:P655"/>
    <mergeCell ref="T654:T655"/>
    <mergeCell ref="U654:U655"/>
    <mergeCell ref="J650:J651"/>
    <mergeCell ref="K650:K651"/>
    <mergeCell ref="O650:O651"/>
    <mergeCell ref="N654:N655"/>
    <mergeCell ref="V654:V655"/>
    <mergeCell ref="J654:J655"/>
    <mergeCell ref="A650:A651"/>
    <mergeCell ref="B650:B651"/>
    <mergeCell ref="C650:C651"/>
    <mergeCell ref="D650:D651"/>
    <mergeCell ref="Z652:Z653"/>
    <mergeCell ref="H652:H653"/>
    <mergeCell ref="I652:I653"/>
    <mergeCell ref="J652:J653"/>
    <mergeCell ref="K652:K653"/>
    <mergeCell ref="L652:L653"/>
    <mergeCell ref="E650:E651"/>
    <mergeCell ref="P648:P649"/>
    <mergeCell ref="Q648:Q649"/>
    <mergeCell ref="R648:R649"/>
    <mergeCell ref="N650:N651"/>
    <mergeCell ref="M648:M649"/>
    <mergeCell ref="E648:E649"/>
    <mergeCell ref="F648:F649"/>
    <mergeCell ref="G648:G649"/>
    <mergeCell ref="AC650:AC651"/>
    <mergeCell ref="Y648:Y649"/>
    <mergeCell ref="Z648:Z649"/>
    <mergeCell ref="Y650:Y651"/>
    <mergeCell ref="Z650:Z651"/>
    <mergeCell ref="AA648:AA649"/>
    <mergeCell ref="AB648:AB649"/>
    <mergeCell ref="AC648:AC649"/>
    <mergeCell ref="AA650:AA651"/>
    <mergeCell ref="AB650:AB651"/>
    <mergeCell ref="V648:V649"/>
    <mergeCell ref="W648:W649"/>
    <mergeCell ref="H646:H647"/>
    <mergeCell ref="I646:I647"/>
    <mergeCell ref="S646:S647"/>
    <mergeCell ref="A648:A649"/>
    <mergeCell ref="B648:B649"/>
    <mergeCell ref="C648:C649"/>
    <mergeCell ref="D648:D649"/>
    <mergeCell ref="AA646:AA647"/>
    <mergeCell ref="H648:H649"/>
    <mergeCell ref="N648:N649"/>
    <mergeCell ref="O648:O649"/>
    <mergeCell ref="N646:N647"/>
    <mergeCell ref="O646:O647"/>
    <mergeCell ref="L646:L647"/>
    <mergeCell ref="M646:M647"/>
    <mergeCell ref="J646:J647"/>
    <mergeCell ref="K646:K647"/>
    <mergeCell ref="AD648:AD649"/>
    <mergeCell ref="P642:P643"/>
    <mergeCell ref="Q642:Q643"/>
    <mergeCell ref="R642:R643"/>
    <mergeCell ref="AB646:AB647"/>
    <mergeCell ref="P646:P647"/>
    <mergeCell ref="Q646:Q647"/>
    <mergeCell ref="R646:R647"/>
    <mergeCell ref="AC644:AC645"/>
    <mergeCell ref="T644:T645"/>
    <mergeCell ref="H644:H645"/>
    <mergeCell ref="I644:I645"/>
    <mergeCell ref="AD646:AD647"/>
    <mergeCell ref="I648:I649"/>
    <mergeCell ref="T646:T647"/>
    <mergeCell ref="U646:U647"/>
    <mergeCell ref="V646:V647"/>
    <mergeCell ref="W646:W647"/>
    <mergeCell ref="X646:X647"/>
    <mergeCell ref="AC646:AC647"/>
    <mergeCell ref="V644:V645"/>
    <mergeCell ref="W644:W645"/>
    <mergeCell ref="AA644:AA645"/>
    <mergeCell ref="A646:A647"/>
    <mergeCell ref="B646:B647"/>
    <mergeCell ref="C646:C647"/>
    <mergeCell ref="D646:D647"/>
    <mergeCell ref="J644:J645"/>
    <mergeCell ref="K644:K645"/>
    <mergeCell ref="P644:P645"/>
    <mergeCell ref="AD644:AD645"/>
    <mergeCell ref="A642:A643"/>
    <mergeCell ref="B642:B643"/>
    <mergeCell ref="C642:C643"/>
    <mergeCell ref="D642:D643"/>
    <mergeCell ref="E642:E643"/>
    <mergeCell ref="AC642:AC643"/>
    <mergeCell ref="AD642:AD643"/>
    <mergeCell ref="A644:A645"/>
    <mergeCell ref="U644:U645"/>
    <mergeCell ref="B644:B645"/>
    <mergeCell ref="E646:E647"/>
    <mergeCell ref="F646:F647"/>
    <mergeCell ref="G646:G647"/>
    <mergeCell ref="C644:C645"/>
    <mergeCell ref="D644:D645"/>
    <mergeCell ref="E644:E645"/>
    <mergeCell ref="S644:S645"/>
    <mergeCell ref="R644:R645"/>
    <mergeCell ref="L644:L645"/>
    <mergeCell ref="M644:M645"/>
    <mergeCell ref="N644:N645"/>
    <mergeCell ref="O644:O645"/>
    <mergeCell ref="Q644:Q645"/>
    <mergeCell ref="P638:P639"/>
    <mergeCell ref="W642:W643"/>
    <mergeCell ref="X642:X643"/>
    <mergeCell ref="X644:X645"/>
    <mergeCell ref="F644:F645"/>
    <mergeCell ref="V642:V643"/>
    <mergeCell ref="G644:G645"/>
    <mergeCell ref="H642:H643"/>
    <mergeCell ref="J642:J643"/>
    <mergeCell ref="K642:K643"/>
    <mergeCell ref="M638:M639"/>
    <mergeCell ref="E640:E641"/>
    <mergeCell ref="F640:F641"/>
    <mergeCell ref="U638:U639"/>
    <mergeCell ref="V638:V639"/>
    <mergeCell ref="O638:O639"/>
    <mergeCell ref="O640:O641"/>
    <mergeCell ref="T638:T639"/>
    <mergeCell ref="H638:H639"/>
    <mergeCell ref="N638:N639"/>
    <mergeCell ref="L642:L643"/>
    <mergeCell ref="F642:F643"/>
    <mergeCell ref="G642:G643"/>
    <mergeCell ref="O642:O643"/>
    <mergeCell ref="I642:I643"/>
    <mergeCell ref="Q638:Q639"/>
    <mergeCell ref="K638:K639"/>
    <mergeCell ref="I638:I639"/>
    <mergeCell ref="J638:J639"/>
    <mergeCell ref="L638:L639"/>
    <mergeCell ref="U642:U643"/>
    <mergeCell ref="M642:M643"/>
    <mergeCell ref="N642:N643"/>
    <mergeCell ref="M640:M641"/>
    <mergeCell ref="Q640:Q641"/>
    <mergeCell ref="U640:U641"/>
    <mergeCell ref="R638:R639"/>
    <mergeCell ref="S638:S639"/>
    <mergeCell ref="S642:S643"/>
    <mergeCell ref="T642:T643"/>
    <mergeCell ref="R640:R641"/>
    <mergeCell ref="S640:S641"/>
    <mergeCell ref="T640:T641"/>
    <mergeCell ref="V640:V641"/>
    <mergeCell ref="W640:W641"/>
    <mergeCell ref="X640:X641"/>
    <mergeCell ref="K640:K641"/>
    <mergeCell ref="N640:N641"/>
    <mergeCell ref="P640:P641"/>
    <mergeCell ref="A628:A629"/>
    <mergeCell ref="B628:B629"/>
    <mergeCell ref="C628:C629"/>
    <mergeCell ref="A638:A639"/>
    <mergeCell ref="B638:B639"/>
    <mergeCell ref="C638:C639"/>
    <mergeCell ref="A632:A633"/>
    <mergeCell ref="B632:B633"/>
    <mergeCell ref="A630:A631"/>
    <mergeCell ref="A636:A637"/>
    <mergeCell ref="F634:F635"/>
    <mergeCell ref="G634:G635"/>
    <mergeCell ref="A640:A641"/>
    <mergeCell ref="B640:B641"/>
    <mergeCell ref="C640:C641"/>
    <mergeCell ref="D640:D641"/>
    <mergeCell ref="D638:D639"/>
    <mergeCell ref="E638:E639"/>
    <mergeCell ref="E636:E637"/>
    <mergeCell ref="F638:F639"/>
    <mergeCell ref="G638:G639"/>
    <mergeCell ref="F628:F629"/>
    <mergeCell ref="G628:G629"/>
    <mergeCell ref="G630:G631"/>
    <mergeCell ref="F636:F637"/>
    <mergeCell ref="G636:G637"/>
    <mergeCell ref="D628:D629"/>
    <mergeCell ref="E628:E629"/>
    <mergeCell ref="F632:F633"/>
    <mergeCell ref="B630:B631"/>
    <mergeCell ref="C630:C631"/>
    <mergeCell ref="D630:D631"/>
    <mergeCell ref="E630:E631"/>
    <mergeCell ref="F630:F631"/>
    <mergeCell ref="D632:D633"/>
    <mergeCell ref="E632:E633"/>
    <mergeCell ref="B636:B637"/>
    <mergeCell ref="AC630:AC631"/>
    <mergeCell ref="AA630:AA631"/>
    <mergeCell ref="AB630:AB631"/>
    <mergeCell ref="C632:C633"/>
    <mergeCell ref="H632:H633"/>
    <mergeCell ref="Q630:Q631"/>
    <mergeCell ref="P632:P633"/>
    <mergeCell ref="Q632:Q633"/>
    <mergeCell ref="R632:R633"/>
    <mergeCell ref="N628:N629"/>
    <mergeCell ref="F626:F627"/>
    <mergeCell ref="G626:G627"/>
    <mergeCell ref="H626:H627"/>
    <mergeCell ref="H628:H629"/>
    <mergeCell ref="I628:I629"/>
    <mergeCell ref="J628:J629"/>
    <mergeCell ref="K628:K629"/>
    <mergeCell ref="I626:I627"/>
    <mergeCell ref="AD640:AD641"/>
    <mergeCell ref="G632:G633"/>
    <mergeCell ref="AD638:AD639"/>
    <mergeCell ref="Y640:Y641"/>
    <mergeCell ref="Z640:Z641"/>
    <mergeCell ref="G640:G641"/>
    <mergeCell ref="H640:H641"/>
    <mergeCell ref="I640:I641"/>
    <mergeCell ref="J640:J641"/>
    <mergeCell ref="L640:L641"/>
    <mergeCell ref="W638:W639"/>
    <mergeCell ref="X638:X639"/>
    <mergeCell ref="AC638:AC639"/>
    <mergeCell ref="AA632:AA633"/>
    <mergeCell ref="AB632:AB633"/>
    <mergeCell ref="Y632:Y633"/>
    <mergeCell ref="X634:X635"/>
    <mergeCell ref="AC634:AC635"/>
    <mergeCell ref="AC640:AC641"/>
    <mergeCell ref="W624:W625"/>
    <mergeCell ref="O626:O627"/>
    <mergeCell ref="P626:P627"/>
    <mergeCell ref="X628:X629"/>
    <mergeCell ref="T624:T625"/>
    <mergeCell ref="U624:U625"/>
    <mergeCell ref="V626:V627"/>
    <mergeCell ref="W626:W627"/>
    <mergeCell ref="P624:P625"/>
    <mergeCell ref="O624:O625"/>
    <mergeCell ref="AD624:AD625"/>
    <mergeCell ref="AB628:AB629"/>
    <mergeCell ref="Z628:Z629"/>
    <mergeCell ref="U628:U629"/>
    <mergeCell ref="P628:P629"/>
    <mergeCell ref="Q628:Q629"/>
    <mergeCell ref="R628:R629"/>
    <mergeCell ref="T628:T629"/>
    <mergeCell ref="AC628:AC629"/>
    <mergeCell ref="L628:L629"/>
    <mergeCell ref="M628:M629"/>
    <mergeCell ref="O628:O629"/>
    <mergeCell ref="AD626:AD627"/>
    <mergeCell ref="X626:X627"/>
    <mergeCell ref="V628:V629"/>
    <mergeCell ref="W628:W629"/>
    <mergeCell ref="S628:S629"/>
    <mergeCell ref="AC626:AC627"/>
    <mergeCell ref="AD628:AD629"/>
    <mergeCell ref="K626:K627"/>
    <mergeCell ref="E624:E625"/>
    <mergeCell ref="F624:F625"/>
    <mergeCell ref="G624:G625"/>
    <mergeCell ref="H624:H625"/>
    <mergeCell ref="J624:J625"/>
    <mergeCell ref="K624:K625"/>
    <mergeCell ref="A624:A625"/>
    <mergeCell ref="B624:B625"/>
    <mergeCell ref="C624:C625"/>
    <mergeCell ref="D624:D625"/>
    <mergeCell ref="E626:E627"/>
    <mergeCell ref="A626:A627"/>
    <mergeCell ref="B626:B627"/>
    <mergeCell ref="C626:C627"/>
    <mergeCell ref="D626:D627"/>
    <mergeCell ref="L624:L625"/>
    <mergeCell ref="M624:M625"/>
    <mergeCell ref="Q626:Q627"/>
    <mergeCell ref="R626:R627"/>
    <mergeCell ref="Q624:Q625"/>
    <mergeCell ref="M626:M627"/>
    <mergeCell ref="N626:N627"/>
    <mergeCell ref="R624:R625"/>
    <mergeCell ref="L626:L627"/>
    <mergeCell ref="N624:N625"/>
    <mergeCell ref="S624:S625"/>
    <mergeCell ref="I624:I625"/>
    <mergeCell ref="V624:V625"/>
    <mergeCell ref="A622:A623"/>
    <mergeCell ref="B622:B623"/>
    <mergeCell ref="C622:C623"/>
    <mergeCell ref="D622:D623"/>
    <mergeCell ref="E622:E623"/>
    <mergeCell ref="F622:F623"/>
    <mergeCell ref="H622:H623"/>
    <mergeCell ref="G622:G623"/>
    <mergeCell ref="P618:P619"/>
    <mergeCell ref="Q618:Q619"/>
    <mergeCell ref="R618:R619"/>
    <mergeCell ref="I620:I621"/>
    <mergeCell ref="P620:P621"/>
    <mergeCell ref="Q620:Q621"/>
    <mergeCell ref="K618:K619"/>
    <mergeCell ref="L618:L619"/>
    <mergeCell ref="M618:M619"/>
    <mergeCell ref="V620:V621"/>
    <mergeCell ref="W620:W621"/>
    <mergeCell ref="S618:S619"/>
    <mergeCell ref="X620:X621"/>
    <mergeCell ref="T618:T619"/>
    <mergeCell ref="U618:U619"/>
    <mergeCell ref="V618:V619"/>
    <mergeCell ref="T620:T621"/>
    <mergeCell ref="I622:I623"/>
    <mergeCell ref="J622:J623"/>
    <mergeCell ref="K622:K623"/>
    <mergeCell ref="L622:L623"/>
    <mergeCell ref="V622:V623"/>
    <mergeCell ref="W622:W623"/>
    <mergeCell ref="A616:A617"/>
    <mergeCell ref="B616:B617"/>
    <mergeCell ref="B620:B621"/>
    <mergeCell ref="F620:F621"/>
    <mergeCell ref="G620:G621"/>
    <mergeCell ref="H620:H621"/>
    <mergeCell ref="C620:C621"/>
    <mergeCell ref="D620:D621"/>
    <mergeCell ref="E620:E621"/>
    <mergeCell ref="A618:A619"/>
    <mergeCell ref="B618:B619"/>
    <mergeCell ref="C618:C619"/>
    <mergeCell ref="D618:D619"/>
    <mergeCell ref="E618:E619"/>
    <mergeCell ref="F618:F619"/>
    <mergeCell ref="AC618:AC619"/>
    <mergeCell ref="AA618:AA619"/>
    <mergeCell ref="H618:H619"/>
    <mergeCell ref="I618:I619"/>
    <mergeCell ref="J618:J619"/>
    <mergeCell ref="E614:E615"/>
    <mergeCell ref="F614:F615"/>
    <mergeCell ref="N618:N619"/>
    <mergeCell ref="O618:O619"/>
    <mergeCell ref="S620:S621"/>
    <mergeCell ref="E616:E617"/>
    <mergeCell ref="F616:F617"/>
    <mergeCell ref="G616:G617"/>
    <mergeCell ref="P616:P617"/>
    <mergeCell ref="L620:L621"/>
    <mergeCell ref="M620:M621"/>
    <mergeCell ref="N620:N621"/>
    <mergeCell ref="O620:O621"/>
    <mergeCell ref="G618:G619"/>
    <mergeCell ref="H616:H617"/>
    <mergeCell ref="I616:I617"/>
    <mergeCell ref="AC620:AC621"/>
    <mergeCell ref="X618:X619"/>
    <mergeCell ref="Y618:Y619"/>
    <mergeCell ref="J620:J621"/>
    <mergeCell ref="K620:K621"/>
    <mergeCell ref="W618:W619"/>
    <mergeCell ref="AB618:AB619"/>
    <mergeCell ref="R620:R621"/>
    <mergeCell ref="AC616:AC617"/>
    <mergeCell ref="U616:U617"/>
    <mergeCell ref="V616:V617"/>
    <mergeCell ref="M616:M617"/>
    <mergeCell ref="N616:N617"/>
    <mergeCell ref="J616:J617"/>
    <mergeCell ref="X614:X615"/>
    <mergeCell ref="G614:G615"/>
    <mergeCell ref="I614:I615"/>
    <mergeCell ref="J614:J615"/>
    <mergeCell ref="K614:K615"/>
    <mergeCell ref="AD616:AD617"/>
    <mergeCell ref="K616:K617"/>
    <mergeCell ref="W616:W617"/>
    <mergeCell ref="X616:X617"/>
    <mergeCell ref="O616:O617"/>
    <mergeCell ref="Y604:Y605"/>
    <mergeCell ref="Z604:Z605"/>
    <mergeCell ref="AC614:AC615"/>
    <mergeCell ref="N614:N615"/>
    <mergeCell ref="O614:O615"/>
    <mergeCell ref="P614:P615"/>
    <mergeCell ref="Q614:Q615"/>
    <mergeCell ref="V614:V615"/>
    <mergeCell ref="W614:W615"/>
    <mergeCell ref="R614:R615"/>
    <mergeCell ref="U606:U607"/>
    <mergeCell ref="V606:V607"/>
    <mergeCell ref="AC604:AC605"/>
    <mergeCell ref="AD604:AD605"/>
    <mergeCell ref="W606:W607"/>
    <mergeCell ref="X606:X607"/>
    <mergeCell ref="AC606:AC607"/>
    <mergeCell ref="AD606:AD607"/>
    <mergeCell ref="AA604:AA605"/>
    <mergeCell ref="AB604:AB605"/>
    <mergeCell ref="Q604:Q605"/>
    <mergeCell ref="R604:R605"/>
    <mergeCell ref="S604:S605"/>
    <mergeCell ref="T604:T605"/>
    <mergeCell ref="S606:S607"/>
    <mergeCell ref="T606:T607"/>
    <mergeCell ref="A598:A599"/>
    <mergeCell ref="B598:B599"/>
    <mergeCell ref="C598:C599"/>
    <mergeCell ref="D598:D599"/>
    <mergeCell ref="X604:X605"/>
    <mergeCell ref="U604:U605"/>
    <mergeCell ref="N604:N605"/>
    <mergeCell ref="O604:O605"/>
    <mergeCell ref="V604:V605"/>
    <mergeCell ref="W604:W605"/>
    <mergeCell ref="A596:A597"/>
    <mergeCell ref="B596:B597"/>
    <mergeCell ref="T614:T615"/>
    <mergeCell ref="U614:U615"/>
    <mergeCell ref="M614:M615"/>
    <mergeCell ref="A614:A615"/>
    <mergeCell ref="B614:B615"/>
    <mergeCell ref="C614:C615"/>
    <mergeCell ref="D614:D615"/>
    <mergeCell ref="E596:E597"/>
    <mergeCell ref="F596:F597"/>
    <mergeCell ref="G596:G597"/>
    <mergeCell ref="H596:H597"/>
    <mergeCell ref="Y598:Y599"/>
    <mergeCell ref="I596:I597"/>
    <mergeCell ref="H598:H599"/>
    <mergeCell ref="I598:I599"/>
    <mergeCell ref="T596:T597"/>
    <mergeCell ref="U596:U597"/>
    <mergeCell ref="N598:N599"/>
    <mergeCell ref="A582:A583"/>
    <mergeCell ref="B582:B583"/>
    <mergeCell ref="C582:C583"/>
    <mergeCell ref="D590:D591"/>
    <mergeCell ref="E590:E591"/>
    <mergeCell ref="F590:F591"/>
    <mergeCell ref="A590:A591"/>
    <mergeCell ref="B590:B591"/>
    <mergeCell ref="C590:C591"/>
    <mergeCell ref="M594:M595"/>
    <mergeCell ref="N594:N595"/>
    <mergeCell ref="O594:O595"/>
    <mergeCell ref="A578:A579"/>
    <mergeCell ref="A594:A595"/>
    <mergeCell ref="B594:B595"/>
    <mergeCell ref="C594:C595"/>
    <mergeCell ref="A580:A581"/>
    <mergeCell ref="B580:B581"/>
    <mergeCell ref="C580:C581"/>
    <mergeCell ref="G578:G579"/>
    <mergeCell ref="W594:W595"/>
    <mergeCell ref="C596:C597"/>
    <mergeCell ref="D596:D597"/>
    <mergeCell ref="Q594:Q595"/>
    <mergeCell ref="R594:R595"/>
    <mergeCell ref="L594:L595"/>
    <mergeCell ref="H578:H579"/>
    <mergeCell ref="I578:I579"/>
    <mergeCell ref="G586:G587"/>
    <mergeCell ref="P604:P605"/>
    <mergeCell ref="J578:J579"/>
    <mergeCell ref="K578:K579"/>
    <mergeCell ref="L578:L579"/>
    <mergeCell ref="M578:M579"/>
    <mergeCell ref="L604:L605"/>
    <mergeCell ref="M604:M605"/>
    <mergeCell ref="M596:M597"/>
    <mergeCell ref="L598:L599"/>
    <mergeCell ref="M598:M599"/>
    <mergeCell ref="E588:E589"/>
    <mergeCell ref="F588:F589"/>
    <mergeCell ref="I588:I589"/>
    <mergeCell ref="E586:E587"/>
    <mergeCell ref="F586:F587"/>
    <mergeCell ref="I586:I587"/>
    <mergeCell ref="G588:G589"/>
    <mergeCell ref="H588:H589"/>
    <mergeCell ref="T584:T585"/>
    <mergeCell ref="S588:S589"/>
    <mergeCell ref="T588:T589"/>
    <mergeCell ref="F592:F593"/>
    <mergeCell ref="G592:G593"/>
    <mergeCell ref="J604:J605"/>
    <mergeCell ref="K604:K605"/>
    <mergeCell ref="I600:I601"/>
    <mergeCell ref="J600:J601"/>
    <mergeCell ref="K600:K601"/>
    <mergeCell ref="L584:L585"/>
    <mergeCell ref="M588:M589"/>
    <mergeCell ref="N588:N589"/>
    <mergeCell ref="O588:O589"/>
    <mergeCell ref="V588:V589"/>
    <mergeCell ref="R578:R579"/>
    <mergeCell ref="S578:S579"/>
    <mergeCell ref="T578:T579"/>
    <mergeCell ref="U578:U579"/>
    <mergeCell ref="R584:R585"/>
    <mergeCell ref="N596:N597"/>
    <mergeCell ref="O596:O597"/>
    <mergeCell ref="R590:R591"/>
    <mergeCell ref="S590:S591"/>
    <mergeCell ref="P592:P593"/>
    <mergeCell ref="Q592:Q593"/>
    <mergeCell ref="P590:P591"/>
    <mergeCell ref="Q590:Q591"/>
    <mergeCell ref="P594:P595"/>
    <mergeCell ref="J596:J597"/>
    <mergeCell ref="AC568:AC569"/>
    <mergeCell ref="AA568:AA569"/>
    <mergeCell ref="AB568:AB569"/>
    <mergeCell ref="R568:R569"/>
    <mergeCell ref="S568:S569"/>
    <mergeCell ref="T568:T569"/>
    <mergeCell ref="U568:U569"/>
    <mergeCell ref="X568:X569"/>
    <mergeCell ref="AD568:AD569"/>
    <mergeCell ref="R570:R571"/>
    <mergeCell ref="S570:S571"/>
    <mergeCell ref="T570:T571"/>
    <mergeCell ref="U570:U571"/>
    <mergeCell ref="V570:V571"/>
    <mergeCell ref="W570:W571"/>
    <mergeCell ref="Y568:Y569"/>
    <mergeCell ref="Z568:Z569"/>
    <mergeCell ref="Q572:Q573"/>
    <mergeCell ref="Q574:Q575"/>
    <mergeCell ref="AC574:AC575"/>
    <mergeCell ref="AC572:AC573"/>
    <mergeCell ref="Y572:Y573"/>
    <mergeCell ref="Z572:Z573"/>
    <mergeCell ref="V568:V569"/>
    <mergeCell ref="W568:W569"/>
    <mergeCell ref="AC570:AC571"/>
    <mergeCell ref="AD574:AD575"/>
    <mergeCell ref="W574:W575"/>
    <mergeCell ref="X574:X575"/>
    <mergeCell ref="R574:R575"/>
    <mergeCell ref="S574:S575"/>
    <mergeCell ref="T574:T575"/>
    <mergeCell ref="AB574:AB575"/>
    <mergeCell ref="P572:P573"/>
    <mergeCell ref="R572:R573"/>
    <mergeCell ref="S572:S573"/>
    <mergeCell ref="AA574:AA575"/>
    <mergeCell ref="V572:V573"/>
    <mergeCell ref="W572:W573"/>
    <mergeCell ref="T572:T573"/>
    <mergeCell ref="U572:U573"/>
    <mergeCell ref="P574:P575"/>
    <mergeCell ref="AA570:AA571"/>
    <mergeCell ref="AA576:AA577"/>
    <mergeCell ref="AB576:AB577"/>
    <mergeCell ref="W576:W577"/>
    <mergeCell ref="Y574:Y575"/>
    <mergeCell ref="Z574:Z575"/>
    <mergeCell ref="Y576:Y577"/>
    <mergeCell ref="Z576:Z577"/>
    <mergeCell ref="X576:X577"/>
    <mergeCell ref="Y570:Y571"/>
    <mergeCell ref="R564:R565"/>
    <mergeCell ref="S564:S565"/>
    <mergeCell ref="T564:T565"/>
    <mergeCell ref="X564:X565"/>
    <mergeCell ref="AA572:AA573"/>
    <mergeCell ref="AB572:AB573"/>
    <mergeCell ref="AB570:AB571"/>
    <mergeCell ref="Z570:Z571"/>
    <mergeCell ref="Z566:Z567"/>
    <mergeCell ref="AB564:AB565"/>
    <mergeCell ref="AD564:AD565"/>
    <mergeCell ref="C558:D558"/>
    <mergeCell ref="C559:D559"/>
    <mergeCell ref="S560:S561"/>
    <mergeCell ref="T560:T561"/>
    <mergeCell ref="J560:J561"/>
    <mergeCell ref="AD562:AD563"/>
    <mergeCell ref="U560:U561"/>
    <mergeCell ref="V560:V561"/>
    <mergeCell ref="W560:W561"/>
    <mergeCell ref="X572:X573"/>
    <mergeCell ref="V566:V567"/>
    <mergeCell ref="W566:W567"/>
    <mergeCell ref="X566:X567"/>
    <mergeCell ref="X570:X571"/>
    <mergeCell ref="V562:V563"/>
    <mergeCell ref="X562:X563"/>
    <mergeCell ref="W562:W563"/>
    <mergeCell ref="W564:W565"/>
    <mergeCell ref="AC566:AC567"/>
    <mergeCell ref="R566:R567"/>
    <mergeCell ref="S566:S567"/>
    <mergeCell ref="T566:T567"/>
    <mergeCell ref="U566:U567"/>
    <mergeCell ref="Y566:Y567"/>
    <mergeCell ref="AB566:AB567"/>
    <mergeCell ref="AA566:AA567"/>
    <mergeCell ref="AD570:AD571"/>
    <mergeCell ref="AD572:AD573"/>
    <mergeCell ref="AD566:AD567"/>
    <mergeCell ref="D562:D563"/>
    <mergeCell ref="E562:E563"/>
    <mergeCell ref="U564:U565"/>
    <mergeCell ref="V564:V565"/>
    <mergeCell ref="S562:S563"/>
    <mergeCell ref="T562:T563"/>
    <mergeCell ref="U562:U563"/>
    <mergeCell ref="U550:U551"/>
    <mergeCell ref="B533:B534"/>
    <mergeCell ref="C533:C534"/>
    <mergeCell ref="D533:D534"/>
    <mergeCell ref="X538:X539"/>
    <mergeCell ref="V538:V539"/>
    <mergeCell ref="S538:S539"/>
    <mergeCell ref="T538:T539"/>
    <mergeCell ref="F533:F534"/>
    <mergeCell ref="W538:W539"/>
    <mergeCell ref="O548:O549"/>
    <mergeCell ref="P548:P549"/>
    <mergeCell ref="Q548:Q549"/>
    <mergeCell ref="R544:R545"/>
    <mergeCell ref="S544:S545"/>
    <mergeCell ref="T555:T556"/>
    <mergeCell ref="T544:T545"/>
    <mergeCell ref="A544:A545"/>
    <mergeCell ref="B544:B545"/>
    <mergeCell ref="D544:D545"/>
    <mergeCell ref="E544:E545"/>
    <mergeCell ref="C544:C545"/>
    <mergeCell ref="V555:V556"/>
    <mergeCell ref="A548:A549"/>
    <mergeCell ref="B548:B549"/>
    <mergeCell ref="L548:L549"/>
    <mergeCell ref="M548:M549"/>
    <mergeCell ref="M533:M534"/>
    <mergeCell ref="P538:P539"/>
    <mergeCell ref="R533:R534"/>
    <mergeCell ref="O542:O543"/>
    <mergeCell ref="M538:M539"/>
    <mergeCell ref="N538:N539"/>
    <mergeCell ref="O538:O539"/>
    <mergeCell ref="O533:O534"/>
    <mergeCell ref="C536:D536"/>
    <mergeCell ref="C537:D537"/>
    <mergeCell ref="E538:E539"/>
    <mergeCell ref="F538:F539"/>
    <mergeCell ref="G538:G539"/>
    <mergeCell ref="C541:D541"/>
    <mergeCell ref="E548:E549"/>
    <mergeCell ref="F548:F549"/>
    <mergeCell ref="G548:G549"/>
    <mergeCell ref="C548:C549"/>
    <mergeCell ref="D548:D549"/>
    <mergeCell ref="G542:G543"/>
    <mergeCell ref="F542:F543"/>
    <mergeCell ref="E542:E543"/>
    <mergeCell ref="G544:G545"/>
    <mergeCell ref="F544:F545"/>
    <mergeCell ref="S548:S549"/>
    <mergeCell ref="Q550:Q551"/>
    <mergeCell ref="R550:R551"/>
    <mergeCell ref="S550:S551"/>
    <mergeCell ref="H546:H547"/>
    <mergeCell ref="I546:I547"/>
    <mergeCell ref="K544:K545"/>
    <mergeCell ref="L544:L545"/>
    <mergeCell ref="G562:G563"/>
    <mergeCell ref="H562:H563"/>
    <mergeCell ref="C555:C556"/>
    <mergeCell ref="D555:D556"/>
    <mergeCell ref="Q555:Q556"/>
    <mergeCell ref="E555:E556"/>
    <mergeCell ref="P562:P563"/>
    <mergeCell ref="Q562:Q563"/>
    <mergeCell ref="J546:J547"/>
    <mergeCell ref="K546:K547"/>
    <mergeCell ref="AC564:AC565"/>
    <mergeCell ref="C554:D554"/>
    <mergeCell ref="E531:E532"/>
    <mergeCell ref="F531:F532"/>
    <mergeCell ref="E533:E534"/>
    <mergeCell ref="AC555:AC556"/>
    <mergeCell ref="AC560:AC561"/>
    <mergeCell ref="F562:F563"/>
    <mergeCell ref="K542:K543"/>
    <mergeCell ref="I538:I539"/>
    <mergeCell ref="J538:J539"/>
    <mergeCell ref="K538:K539"/>
    <mergeCell ref="A538:A539"/>
    <mergeCell ref="B538:B539"/>
    <mergeCell ref="L562:L563"/>
    <mergeCell ref="M562:M563"/>
    <mergeCell ref="Q564:Q565"/>
    <mergeCell ref="I562:I563"/>
    <mergeCell ref="J562:J563"/>
    <mergeCell ref="M564:M565"/>
    <mergeCell ref="N564:N565"/>
    <mergeCell ref="O564:O565"/>
    <mergeCell ref="P564:P565"/>
    <mergeCell ref="I564:I565"/>
    <mergeCell ref="V527:V528"/>
    <mergeCell ref="Q538:Q539"/>
    <mergeCell ref="R538:R539"/>
    <mergeCell ref="H538:H539"/>
    <mergeCell ref="J533:J534"/>
    <mergeCell ref="H533:H534"/>
    <mergeCell ref="I533:I534"/>
    <mergeCell ref="I531:I532"/>
    <mergeCell ref="K533:K534"/>
    <mergeCell ref="L533:L534"/>
    <mergeCell ref="S542:S543"/>
    <mergeCell ref="A531:A532"/>
    <mergeCell ref="B531:B532"/>
    <mergeCell ref="C531:C532"/>
    <mergeCell ref="D531:D532"/>
    <mergeCell ref="A542:A543"/>
    <mergeCell ref="B542:B543"/>
    <mergeCell ref="C542:C543"/>
    <mergeCell ref="D542:D543"/>
    <mergeCell ref="J542:J543"/>
    <mergeCell ref="B527:B528"/>
    <mergeCell ref="H542:H543"/>
    <mergeCell ref="I542:I543"/>
    <mergeCell ref="U538:U539"/>
    <mergeCell ref="T542:T543"/>
    <mergeCell ref="L538:L539"/>
    <mergeCell ref="P542:P543"/>
    <mergeCell ref="Q542:Q543"/>
    <mergeCell ref="L542:L543"/>
    <mergeCell ref="R542:R543"/>
    <mergeCell ref="U531:U532"/>
    <mergeCell ref="R527:R528"/>
    <mergeCell ref="C538:C539"/>
    <mergeCell ref="D538:D539"/>
    <mergeCell ref="A533:A534"/>
    <mergeCell ref="A529:A530"/>
    <mergeCell ref="B529:B530"/>
    <mergeCell ref="C529:C530"/>
    <mergeCell ref="D529:D530"/>
    <mergeCell ref="A527:A528"/>
    <mergeCell ref="H531:H532"/>
    <mergeCell ref="S529:S530"/>
    <mergeCell ref="T529:T530"/>
    <mergeCell ref="J529:J530"/>
    <mergeCell ref="P531:P532"/>
    <mergeCell ref="Q531:Q532"/>
    <mergeCell ref="T531:T532"/>
    <mergeCell ref="AA531:AA532"/>
    <mergeCell ref="AB531:AB532"/>
    <mergeCell ref="AC531:AC532"/>
    <mergeCell ref="AD531:AD532"/>
    <mergeCell ref="AC527:AC528"/>
    <mergeCell ref="AD527:AD528"/>
    <mergeCell ref="AC529:AC530"/>
    <mergeCell ref="AD529:AD530"/>
    <mergeCell ref="AB527:AB528"/>
    <mergeCell ref="AA529:AA530"/>
    <mergeCell ref="U529:U530"/>
    <mergeCell ref="H529:H530"/>
    <mergeCell ref="I529:I530"/>
    <mergeCell ref="O527:O528"/>
    <mergeCell ref="S527:S528"/>
    <mergeCell ref="T527:T528"/>
    <mergeCell ref="U527:U528"/>
    <mergeCell ref="I527:I528"/>
    <mergeCell ref="X531:X532"/>
    <mergeCell ref="W531:W532"/>
    <mergeCell ref="J527:J528"/>
    <mergeCell ref="K527:K528"/>
    <mergeCell ref="Q527:Q528"/>
    <mergeCell ref="L529:L530"/>
    <mergeCell ref="M527:M528"/>
    <mergeCell ref="N527:N528"/>
    <mergeCell ref="W527:W528"/>
    <mergeCell ref="X527:X528"/>
    <mergeCell ref="AA527:AA528"/>
    <mergeCell ref="AC523:AC524"/>
    <mergeCell ref="AC519:AC520"/>
    <mergeCell ref="A523:A524"/>
    <mergeCell ref="B523:B524"/>
    <mergeCell ref="C523:C524"/>
    <mergeCell ref="D523:D524"/>
    <mergeCell ref="J519:J520"/>
    <mergeCell ref="K519:K520"/>
    <mergeCell ref="M519:M520"/>
    <mergeCell ref="P519:P520"/>
    <mergeCell ref="C522:D522"/>
    <mergeCell ref="L519:L520"/>
    <mergeCell ref="F519:F520"/>
    <mergeCell ref="G519:G520"/>
    <mergeCell ref="H519:H520"/>
    <mergeCell ref="N519:N520"/>
    <mergeCell ref="O519:O520"/>
    <mergeCell ref="I519:I520"/>
    <mergeCell ref="N523:N524"/>
    <mergeCell ref="O523:O524"/>
    <mergeCell ref="H523:H524"/>
    <mergeCell ref="P523:P524"/>
    <mergeCell ref="Q523:Q524"/>
    <mergeCell ref="R523:R524"/>
    <mergeCell ref="J523:J524"/>
    <mergeCell ref="K523:K524"/>
    <mergeCell ref="M523:M524"/>
    <mergeCell ref="B519:B520"/>
    <mergeCell ref="C519:C520"/>
    <mergeCell ref="D519:D520"/>
    <mergeCell ref="E519:E520"/>
    <mergeCell ref="X519:X520"/>
    <mergeCell ref="V523:V524"/>
    <mergeCell ref="W523:W524"/>
    <mergeCell ref="X523:X524"/>
    <mergeCell ref="S523:S524"/>
    <mergeCell ref="T523:T524"/>
    <mergeCell ref="I523:I524"/>
    <mergeCell ref="C527:C528"/>
    <mergeCell ref="D527:D528"/>
    <mergeCell ref="E529:E530"/>
    <mergeCell ref="P527:P528"/>
    <mergeCell ref="G527:G528"/>
    <mergeCell ref="L527:L528"/>
    <mergeCell ref="E527:E528"/>
    <mergeCell ref="F527:F528"/>
    <mergeCell ref="M529:M530"/>
    <mergeCell ref="H527:H528"/>
    <mergeCell ref="A515:A516"/>
    <mergeCell ref="B515:B516"/>
    <mergeCell ref="C515:C516"/>
    <mergeCell ref="D515:D516"/>
    <mergeCell ref="E515:E516"/>
    <mergeCell ref="F515:F516"/>
    <mergeCell ref="E523:E524"/>
    <mergeCell ref="F523:F524"/>
    <mergeCell ref="G523:G524"/>
    <mergeCell ref="Q517:Q518"/>
    <mergeCell ref="R517:R518"/>
    <mergeCell ref="U517:U518"/>
    <mergeCell ref="S517:S518"/>
    <mergeCell ref="T517:T518"/>
    <mergeCell ref="P515:P516"/>
    <mergeCell ref="Q515:Q516"/>
    <mergeCell ref="R515:R516"/>
    <mergeCell ref="S515:S516"/>
    <mergeCell ref="A519:A520"/>
    <mergeCell ref="A517:A518"/>
    <mergeCell ref="Q519:Q520"/>
    <mergeCell ref="R519:R520"/>
    <mergeCell ref="S519:S520"/>
    <mergeCell ref="B517:B518"/>
    <mergeCell ref="C517:C518"/>
    <mergeCell ref="D517:D518"/>
    <mergeCell ref="E517:E518"/>
    <mergeCell ref="F517:F518"/>
    <mergeCell ref="A513:A514"/>
    <mergeCell ref="B513:B514"/>
    <mergeCell ref="C513:C514"/>
    <mergeCell ref="D513:D514"/>
    <mergeCell ref="O517:O518"/>
    <mergeCell ref="P517:P518"/>
    <mergeCell ref="L517:L518"/>
    <mergeCell ref="N517:N518"/>
    <mergeCell ref="E511:E512"/>
    <mergeCell ref="F511:F512"/>
    <mergeCell ref="V509:V510"/>
    <mergeCell ref="H505:H506"/>
    <mergeCell ref="M505:M506"/>
    <mergeCell ref="I505:I506"/>
    <mergeCell ref="J505:J506"/>
    <mergeCell ref="E513:E514"/>
    <mergeCell ref="I509:I510"/>
    <mergeCell ref="V513:V514"/>
    <mergeCell ref="C509:C510"/>
    <mergeCell ref="D509:D510"/>
    <mergeCell ref="E509:E510"/>
    <mergeCell ref="F509:F510"/>
    <mergeCell ref="P511:P512"/>
    <mergeCell ref="Q511:Q512"/>
    <mergeCell ref="F513:F514"/>
    <mergeCell ref="I513:I514"/>
    <mergeCell ref="G511:G512"/>
    <mergeCell ref="O513:O514"/>
    <mergeCell ref="P513:P514"/>
    <mergeCell ref="Q513:Q514"/>
    <mergeCell ref="R513:R514"/>
    <mergeCell ref="G513:G514"/>
    <mergeCell ref="H513:H514"/>
    <mergeCell ref="M513:M514"/>
    <mergeCell ref="N513:N514"/>
    <mergeCell ref="A511:A512"/>
    <mergeCell ref="N509:N510"/>
    <mergeCell ref="S509:S510"/>
    <mergeCell ref="T509:T510"/>
    <mergeCell ref="K513:K514"/>
    <mergeCell ref="R511:R512"/>
    <mergeCell ref="S511:S512"/>
    <mergeCell ref="N511:N512"/>
    <mergeCell ref="O511:O512"/>
    <mergeCell ref="S513:S514"/>
    <mergeCell ref="G517:G518"/>
    <mergeCell ref="H517:H518"/>
    <mergeCell ref="I517:I518"/>
    <mergeCell ref="J517:J518"/>
    <mergeCell ref="G515:G516"/>
    <mergeCell ref="H515:H516"/>
    <mergeCell ref="M515:M516"/>
    <mergeCell ref="N515:N516"/>
    <mergeCell ref="O515:O516"/>
    <mergeCell ref="W509:W510"/>
    <mergeCell ref="N505:N506"/>
    <mergeCell ref="W513:W514"/>
    <mergeCell ref="T515:T516"/>
    <mergeCell ref="U513:U514"/>
    <mergeCell ref="T513:T514"/>
    <mergeCell ref="U505:U506"/>
    <mergeCell ref="X505:X506"/>
    <mergeCell ref="J509:J510"/>
    <mergeCell ref="J511:J512"/>
    <mergeCell ref="K511:K512"/>
    <mergeCell ref="L511:L512"/>
    <mergeCell ref="M511:M512"/>
    <mergeCell ref="V505:V506"/>
    <mergeCell ref="Q505:Q506"/>
    <mergeCell ref="R505:R506"/>
    <mergeCell ref="S505:S506"/>
    <mergeCell ref="T505:T506"/>
    <mergeCell ref="B511:B512"/>
    <mergeCell ref="K505:K506"/>
    <mergeCell ref="L505:L506"/>
    <mergeCell ref="G505:G506"/>
    <mergeCell ref="C511:C512"/>
    <mergeCell ref="D511:D512"/>
    <mergeCell ref="W505:W506"/>
    <mergeCell ref="K509:K510"/>
    <mergeCell ref="L509:L510"/>
    <mergeCell ref="M509:M510"/>
    <mergeCell ref="Y505:Y506"/>
    <mergeCell ref="Y511:Y512"/>
    <mergeCell ref="W511:W512"/>
    <mergeCell ref="T511:T512"/>
    <mergeCell ref="O505:O506"/>
    <mergeCell ref="P505:P506"/>
    <mergeCell ref="A509:A510"/>
    <mergeCell ref="B509:B510"/>
    <mergeCell ref="X501:X502"/>
    <mergeCell ref="AC501:AC502"/>
    <mergeCell ref="C508:D508"/>
    <mergeCell ref="G509:G510"/>
    <mergeCell ref="H509:H510"/>
    <mergeCell ref="X509:X510"/>
    <mergeCell ref="AC509:AC510"/>
    <mergeCell ref="A505:A506"/>
    <mergeCell ref="X503:X504"/>
    <mergeCell ref="M503:M504"/>
    <mergeCell ref="N503:N504"/>
    <mergeCell ref="H503:H504"/>
    <mergeCell ref="AD509:AD510"/>
    <mergeCell ref="O509:O510"/>
    <mergeCell ref="P509:P510"/>
    <mergeCell ref="Q509:Q510"/>
    <mergeCell ref="R509:R510"/>
    <mergeCell ref="U509:U510"/>
    <mergeCell ref="B505:B506"/>
    <mergeCell ref="C505:C506"/>
    <mergeCell ref="D505:D506"/>
    <mergeCell ref="G503:G504"/>
    <mergeCell ref="AD501:AD502"/>
    <mergeCell ref="I503:I504"/>
    <mergeCell ref="J503:J504"/>
    <mergeCell ref="E505:E506"/>
    <mergeCell ref="F505:F506"/>
    <mergeCell ref="W503:W504"/>
    <mergeCell ref="I501:I502"/>
    <mergeCell ref="J501:J502"/>
    <mergeCell ref="Q501:Q502"/>
    <mergeCell ref="R501:R502"/>
    <mergeCell ref="K501:K502"/>
    <mergeCell ref="W501:W502"/>
    <mergeCell ref="V501:V502"/>
    <mergeCell ref="W499:W500"/>
    <mergeCell ref="A503:A504"/>
    <mergeCell ref="B503:B504"/>
    <mergeCell ref="C503:C504"/>
    <mergeCell ref="D503:D504"/>
    <mergeCell ref="E503:E504"/>
    <mergeCell ref="F503:F504"/>
    <mergeCell ref="O503:O504"/>
    <mergeCell ref="P503:P504"/>
    <mergeCell ref="N499:N500"/>
    <mergeCell ref="O499:O500"/>
    <mergeCell ref="P499:P500"/>
    <mergeCell ref="I499:I500"/>
    <mergeCell ref="J499:J500"/>
    <mergeCell ref="K499:K500"/>
    <mergeCell ref="L499:L500"/>
    <mergeCell ref="M499:M500"/>
    <mergeCell ref="Q499:Q500"/>
    <mergeCell ref="R493:R494"/>
    <mergeCell ref="E501:E502"/>
    <mergeCell ref="U503:U504"/>
    <mergeCell ref="O497:O498"/>
    <mergeCell ref="M501:M502"/>
    <mergeCell ref="N501:N502"/>
    <mergeCell ref="O501:O502"/>
    <mergeCell ref="P501:P502"/>
    <mergeCell ref="U501:U502"/>
    <mergeCell ref="V503:V504"/>
    <mergeCell ref="S503:S504"/>
    <mergeCell ref="T503:T504"/>
    <mergeCell ref="K503:K504"/>
    <mergeCell ref="L503:L504"/>
    <mergeCell ref="Q503:Q504"/>
    <mergeCell ref="R503:R504"/>
    <mergeCell ref="A493:A494"/>
    <mergeCell ref="B493:B494"/>
    <mergeCell ref="C493:C494"/>
    <mergeCell ref="D493:D494"/>
    <mergeCell ref="A501:A502"/>
    <mergeCell ref="B501:B502"/>
    <mergeCell ref="C501:C502"/>
    <mergeCell ref="D501:D502"/>
    <mergeCell ref="A499:A500"/>
    <mergeCell ref="B499:B500"/>
    <mergeCell ref="A497:A498"/>
    <mergeCell ref="B497:B498"/>
    <mergeCell ref="C497:C498"/>
    <mergeCell ref="L501:L502"/>
    <mergeCell ref="H497:H498"/>
    <mergeCell ref="F501:F502"/>
    <mergeCell ref="C499:C500"/>
    <mergeCell ref="D499:D500"/>
    <mergeCell ref="G501:G502"/>
    <mergeCell ref="H501:H502"/>
    <mergeCell ref="D497:D498"/>
    <mergeCell ref="E497:E498"/>
    <mergeCell ref="F497:F498"/>
    <mergeCell ref="G497:G498"/>
    <mergeCell ref="C496:D496"/>
    <mergeCell ref="P497:P498"/>
    <mergeCell ref="I497:I498"/>
    <mergeCell ref="J497:J498"/>
    <mergeCell ref="K497:K498"/>
    <mergeCell ref="M497:M498"/>
    <mergeCell ref="AC493:AC494"/>
    <mergeCell ref="Y493:Y494"/>
    <mergeCell ref="Z493:Z494"/>
    <mergeCell ref="AA493:AA494"/>
    <mergeCell ref="E493:E494"/>
    <mergeCell ref="F493:F494"/>
    <mergeCell ref="G493:G494"/>
    <mergeCell ref="M493:M494"/>
    <mergeCell ref="O493:O494"/>
    <mergeCell ref="P493:P494"/>
    <mergeCell ref="Q493:Q494"/>
    <mergeCell ref="AD493:AD494"/>
    <mergeCell ref="T493:T494"/>
    <mergeCell ref="U493:U494"/>
    <mergeCell ref="V493:V494"/>
    <mergeCell ref="W493:W494"/>
    <mergeCell ref="X493:X494"/>
    <mergeCell ref="N493:N494"/>
    <mergeCell ref="H491:H492"/>
    <mergeCell ref="I491:I492"/>
    <mergeCell ref="J491:J492"/>
    <mergeCell ref="S493:S494"/>
    <mergeCell ref="H493:H494"/>
    <mergeCell ref="I493:I494"/>
    <mergeCell ref="J493:J494"/>
    <mergeCell ref="K493:K494"/>
    <mergeCell ref="L493:L494"/>
    <mergeCell ref="W491:W492"/>
    <mergeCell ref="L491:L492"/>
    <mergeCell ref="M491:M492"/>
    <mergeCell ref="N491:N492"/>
    <mergeCell ref="O491:O492"/>
    <mergeCell ref="P491:P492"/>
    <mergeCell ref="Q491:Q492"/>
    <mergeCell ref="S491:S492"/>
    <mergeCell ref="T491:T492"/>
    <mergeCell ref="U491:U492"/>
    <mergeCell ref="M489:M490"/>
    <mergeCell ref="N489:N490"/>
    <mergeCell ref="A491:A492"/>
    <mergeCell ref="B491:B492"/>
    <mergeCell ref="C491:C492"/>
    <mergeCell ref="D491:D492"/>
    <mergeCell ref="S487:S488"/>
    <mergeCell ref="T487:T488"/>
    <mergeCell ref="X491:X492"/>
    <mergeCell ref="AC491:AC492"/>
    <mergeCell ref="X487:X488"/>
    <mergeCell ref="K491:K492"/>
    <mergeCell ref="V491:V492"/>
    <mergeCell ref="R489:R490"/>
    <mergeCell ref="S489:S490"/>
    <mergeCell ref="T489:T490"/>
    <mergeCell ref="A487:A488"/>
    <mergeCell ref="B487:B488"/>
    <mergeCell ref="C487:C488"/>
    <mergeCell ref="D487:D488"/>
    <mergeCell ref="AD487:AD488"/>
    <mergeCell ref="O487:O488"/>
    <mergeCell ref="P487:P488"/>
    <mergeCell ref="Q487:Q488"/>
    <mergeCell ref="R487:R488"/>
    <mergeCell ref="V487:V488"/>
    <mergeCell ref="U487:U488"/>
    <mergeCell ref="AD491:AD492"/>
    <mergeCell ref="X489:X490"/>
    <mergeCell ref="AC489:AC490"/>
    <mergeCell ref="AD489:AD490"/>
    <mergeCell ref="AA491:AA492"/>
    <mergeCell ref="Y489:Y490"/>
    <mergeCell ref="Z489:Z490"/>
    <mergeCell ref="AC487:AC488"/>
    <mergeCell ref="Z487:Z488"/>
    <mergeCell ref="W483:W484"/>
    <mergeCell ref="E491:E492"/>
    <mergeCell ref="W487:W488"/>
    <mergeCell ref="U489:U490"/>
    <mergeCell ref="V489:V490"/>
    <mergeCell ref="W489:W490"/>
    <mergeCell ref="R491:R492"/>
    <mergeCell ref="F491:F492"/>
    <mergeCell ref="G491:G492"/>
    <mergeCell ref="E487:E488"/>
    <mergeCell ref="G487:G488"/>
    <mergeCell ref="H487:H488"/>
    <mergeCell ref="I487:I488"/>
    <mergeCell ref="J487:J488"/>
    <mergeCell ref="K487:K488"/>
    <mergeCell ref="L487:L488"/>
    <mergeCell ref="L479:L480"/>
    <mergeCell ref="F479:F480"/>
    <mergeCell ref="H479:H480"/>
    <mergeCell ref="I479:I480"/>
    <mergeCell ref="J479:J480"/>
    <mergeCell ref="K479:K480"/>
    <mergeCell ref="P483:P484"/>
    <mergeCell ref="Q483:Q484"/>
    <mergeCell ref="T485:T486"/>
    <mergeCell ref="U485:U486"/>
    <mergeCell ref="V485:V486"/>
    <mergeCell ref="W485:W486"/>
    <mergeCell ref="S483:S484"/>
    <mergeCell ref="T483:T484"/>
    <mergeCell ref="U483:U484"/>
    <mergeCell ref="V483:V484"/>
    <mergeCell ref="X483:X484"/>
    <mergeCell ref="AC483:AC484"/>
    <mergeCell ref="M487:M488"/>
    <mergeCell ref="N487:N488"/>
    <mergeCell ref="M483:M484"/>
    <mergeCell ref="R485:R486"/>
    <mergeCell ref="S485:S486"/>
    <mergeCell ref="R483:R484"/>
    <mergeCell ref="N483:N484"/>
    <mergeCell ref="O483:O484"/>
    <mergeCell ref="K483:K484"/>
    <mergeCell ref="A483:A484"/>
    <mergeCell ref="B483:B484"/>
    <mergeCell ref="C483:C484"/>
    <mergeCell ref="D483:D484"/>
    <mergeCell ref="L485:L486"/>
    <mergeCell ref="L483:L484"/>
    <mergeCell ref="J483:J484"/>
    <mergeCell ref="J485:J486"/>
    <mergeCell ref="K485:K486"/>
    <mergeCell ref="U479:U480"/>
    <mergeCell ref="M479:M480"/>
    <mergeCell ref="P479:P480"/>
    <mergeCell ref="Q479:Q480"/>
    <mergeCell ref="R479:R480"/>
    <mergeCell ref="N479:N480"/>
    <mergeCell ref="S479:S480"/>
    <mergeCell ref="X485:X486"/>
    <mergeCell ref="AC485:AC486"/>
    <mergeCell ref="Y485:Y486"/>
    <mergeCell ref="Z485:Z486"/>
    <mergeCell ref="AA485:AA486"/>
    <mergeCell ref="AB485:AB486"/>
    <mergeCell ref="AD479:AD480"/>
    <mergeCell ref="C482:D482"/>
    <mergeCell ref="E483:E484"/>
    <mergeCell ref="F483:F484"/>
    <mergeCell ref="G483:G484"/>
    <mergeCell ref="X479:X480"/>
    <mergeCell ref="AC479:AC480"/>
    <mergeCell ref="H483:H484"/>
    <mergeCell ref="I483:I484"/>
    <mergeCell ref="T479:T480"/>
    <mergeCell ref="R477:R478"/>
    <mergeCell ref="S477:S478"/>
    <mergeCell ref="G479:G480"/>
    <mergeCell ref="AD483:AD484"/>
    <mergeCell ref="Y479:Y480"/>
    <mergeCell ref="Z479:Z480"/>
    <mergeCell ref="Y483:Y484"/>
    <mergeCell ref="Z483:Z484"/>
    <mergeCell ref="AA483:AA484"/>
    <mergeCell ref="AB483:AB484"/>
    <mergeCell ref="AD477:AD478"/>
    <mergeCell ref="A479:A480"/>
    <mergeCell ref="B479:B480"/>
    <mergeCell ref="C479:C480"/>
    <mergeCell ref="D479:D480"/>
    <mergeCell ref="E479:E480"/>
    <mergeCell ref="X477:X478"/>
    <mergeCell ref="AC477:AC478"/>
    <mergeCell ref="N477:N478"/>
    <mergeCell ref="O477:O478"/>
    <mergeCell ref="A477:A478"/>
    <mergeCell ref="B477:B478"/>
    <mergeCell ref="C477:C478"/>
    <mergeCell ref="D477:D478"/>
    <mergeCell ref="Y477:Y478"/>
    <mergeCell ref="Z477:Z478"/>
    <mergeCell ref="L477:L478"/>
    <mergeCell ref="M477:M478"/>
    <mergeCell ref="V477:V478"/>
    <mergeCell ref="W477:W478"/>
    <mergeCell ref="AD475:AD476"/>
    <mergeCell ref="A473:A474"/>
    <mergeCell ref="B473:B474"/>
    <mergeCell ref="C473:C474"/>
    <mergeCell ref="D473:D474"/>
    <mergeCell ref="E473:E474"/>
    <mergeCell ref="I475:I476"/>
    <mergeCell ref="J473:J474"/>
    <mergeCell ref="K473:K474"/>
    <mergeCell ref="I473:I474"/>
    <mergeCell ref="E477:E478"/>
    <mergeCell ref="F477:F478"/>
    <mergeCell ref="G477:G478"/>
    <mergeCell ref="K475:K476"/>
    <mergeCell ref="R473:R474"/>
    <mergeCell ref="L473:L474"/>
    <mergeCell ref="M475:M476"/>
    <mergeCell ref="F475:F476"/>
    <mergeCell ref="G475:G476"/>
    <mergeCell ref="P477:P478"/>
    <mergeCell ref="W479:W480"/>
    <mergeCell ref="H477:H478"/>
    <mergeCell ref="I477:I478"/>
    <mergeCell ref="J477:J478"/>
    <mergeCell ref="K477:K478"/>
    <mergeCell ref="T477:T478"/>
    <mergeCell ref="U477:U478"/>
    <mergeCell ref="O479:O480"/>
    <mergeCell ref="V479:V480"/>
    <mergeCell ref="Q477:Q478"/>
    <mergeCell ref="C475:C476"/>
    <mergeCell ref="D475:D476"/>
    <mergeCell ref="U471:U472"/>
    <mergeCell ref="V471:V472"/>
    <mergeCell ref="J475:J476"/>
    <mergeCell ref="E471:E472"/>
    <mergeCell ref="F471:F472"/>
    <mergeCell ref="F473:F474"/>
    <mergeCell ref="G473:G474"/>
    <mergeCell ref="H473:H474"/>
    <mergeCell ref="S471:S472"/>
    <mergeCell ref="T475:T476"/>
    <mergeCell ref="U475:U476"/>
    <mergeCell ref="V475:V476"/>
    <mergeCell ref="W475:W476"/>
    <mergeCell ref="S473:S474"/>
    <mergeCell ref="S475:S476"/>
    <mergeCell ref="T473:T474"/>
    <mergeCell ref="U473:U474"/>
    <mergeCell ref="V473:V474"/>
    <mergeCell ref="Q473:Q474"/>
    <mergeCell ref="X475:X476"/>
    <mergeCell ref="N475:N476"/>
    <mergeCell ref="O475:O476"/>
    <mergeCell ref="P475:P476"/>
    <mergeCell ref="Q475:Q476"/>
    <mergeCell ref="O473:O474"/>
    <mergeCell ref="Y475:Y476"/>
    <mergeCell ref="Z475:Z476"/>
    <mergeCell ref="AA475:AA476"/>
    <mergeCell ref="G471:G472"/>
    <mergeCell ref="I471:I472"/>
    <mergeCell ref="J471:J472"/>
    <mergeCell ref="K471:K472"/>
    <mergeCell ref="H471:H472"/>
    <mergeCell ref="H475:H476"/>
    <mergeCell ref="AC473:AC474"/>
    <mergeCell ref="AA473:AA474"/>
    <mergeCell ref="Y473:Y474"/>
    <mergeCell ref="Z473:Z474"/>
    <mergeCell ref="AD471:AD472"/>
    <mergeCell ref="T471:T472"/>
    <mergeCell ref="AD473:AD474"/>
    <mergeCell ref="W473:W474"/>
    <mergeCell ref="X473:X474"/>
    <mergeCell ref="W471:W472"/>
    <mergeCell ref="A471:A472"/>
    <mergeCell ref="B471:B472"/>
    <mergeCell ref="C471:C472"/>
    <mergeCell ref="D471:D472"/>
    <mergeCell ref="AC475:AC476"/>
    <mergeCell ref="AC471:AC472"/>
    <mergeCell ref="AB471:AB472"/>
    <mergeCell ref="Y471:Y472"/>
    <mergeCell ref="Z471:Z472"/>
    <mergeCell ref="AA471:AA472"/>
    <mergeCell ref="K467:K468"/>
    <mergeCell ref="O467:O468"/>
    <mergeCell ref="E467:E468"/>
    <mergeCell ref="R475:R476"/>
    <mergeCell ref="L475:L476"/>
    <mergeCell ref="P473:P474"/>
    <mergeCell ref="M473:M474"/>
    <mergeCell ref="L471:L472"/>
    <mergeCell ref="M471:M472"/>
    <mergeCell ref="N473:N474"/>
    <mergeCell ref="T467:T468"/>
    <mergeCell ref="J467:J468"/>
    <mergeCell ref="M467:M468"/>
    <mergeCell ref="N467:N468"/>
    <mergeCell ref="F467:F468"/>
    <mergeCell ref="C470:D470"/>
    <mergeCell ref="P467:P468"/>
    <mergeCell ref="Q467:Q468"/>
    <mergeCell ref="C467:C468"/>
    <mergeCell ref="D467:D468"/>
    <mergeCell ref="A475:A476"/>
    <mergeCell ref="B475:B476"/>
    <mergeCell ref="A467:A468"/>
    <mergeCell ref="B467:B468"/>
    <mergeCell ref="R467:R468"/>
    <mergeCell ref="S467:S468"/>
    <mergeCell ref="G467:G468"/>
    <mergeCell ref="H467:H468"/>
    <mergeCell ref="I467:I468"/>
    <mergeCell ref="E475:E476"/>
    <mergeCell ref="AC463:AC464"/>
    <mergeCell ref="AC461:AC462"/>
    <mergeCell ref="A461:A462"/>
    <mergeCell ref="B461:B462"/>
    <mergeCell ref="C461:C462"/>
    <mergeCell ref="D461:D462"/>
    <mergeCell ref="D465:D466"/>
    <mergeCell ref="E465:E466"/>
    <mergeCell ref="E461:E462"/>
    <mergeCell ref="F461:F462"/>
    <mergeCell ref="V463:V464"/>
    <mergeCell ref="AD461:AD462"/>
    <mergeCell ref="R463:R464"/>
    <mergeCell ref="S463:S464"/>
    <mergeCell ref="I461:I462"/>
    <mergeCell ref="V461:V462"/>
    <mergeCell ref="M465:M466"/>
    <mergeCell ref="K463:K464"/>
    <mergeCell ref="X465:X466"/>
    <mergeCell ref="A463:A464"/>
    <mergeCell ref="B463:B464"/>
    <mergeCell ref="F465:F466"/>
    <mergeCell ref="G465:G466"/>
    <mergeCell ref="A465:A466"/>
    <mergeCell ref="B465:B466"/>
    <mergeCell ref="C465:C466"/>
    <mergeCell ref="AA463:AA464"/>
    <mergeCell ref="AB463:AB464"/>
    <mergeCell ref="AA461:AA462"/>
    <mergeCell ref="AB461:AB462"/>
    <mergeCell ref="Y465:Y466"/>
    <mergeCell ref="Z465:Z466"/>
    <mergeCell ref="AD465:AD466"/>
    <mergeCell ref="AC467:AC468"/>
    <mergeCell ref="Y467:Y468"/>
    <mergeCell ref="AD467:AD468"/>
    <mergeCell ref="U467:U468"/>
    <mergeCell ref="AB467:AB468"/>
    <mergeCell ref="X467:X468"/>
    <mergeCell ref="V467:V468"/>
    <mergeCell ref="W467:W468"/>
    <mergeCell ref="S465:S466"/>
    <mergeCell ref="AD463:AD464"/>
    <mergeCell ref="Z467:Z468"/>
    <mergeCell ref="AA467:AA468"/>
    <mergeCell ref="T465:T466"/>
    <mergeCell ref="U465:U466"/>
    <mergeCell ref="V465:V466"/>
    <mergeCell ref="W465:W466"/>
    <mergeCell ref="AA465:AA466"/>
    <mergeCell ref="AB465:AB466"/>
    <mergeCell ref="I465:I466"/>
    <mergeCell ref="J465:J466"/>
    <mergeCell ref="O459:O460"/>
    <mergeCell ref="P459:P460"/>
    <mergeCell ref="AC465:AC466"/>
    <mergeCell ref="N465:N466"/>
    <mergeCell ref="O465:O466"/>
    <mergeCell ref="P465:P466"/>
    <mergeCell ref="Q465:Q466"/>
    <mergeCell ref="R465:R466"/>
    <mergeCell ref="K461:K462"/>
    <mergeCell ref="M461:M462"/>
    <mergeCell ref="Q463:Q464"/>
    <mergeCell ref="M463:M464"/>
    <mergeCell ref="N463:N464"/>
    <mergeCell ref="O463:O464"/>
    <mergeCell ref="J463:J464"/>
    <mergeCell ref="G461:G462"/>
    <mergeCell ref="H461:H462"/>
    <mergeCell ref="R459:R460"/>
    <mergeCell ref="S459:S460"/>
    <mergeCell ref="R461:R462"/>
    <mergeCell ref="S461:S462"/>
    <mergeCell ref="Q459:Q460"/>
    <mergeCell ref="I463:I464"/>
    <mergeCell ref="J461:J462"/>
    <mergeCell ref="N461:N462"/>
    <mergeCell ref="O461:O462"/>
    <mergeCell ref="H465:H466"/>
    <mergeCell ref="K465:K466"/>
    <mergeCell ref="C463:C464"/>
    <mergeCell ref="D463:D464"/>
    <mergeCell ref="E463:E464"/>
    <mergeCell ref="F463:F464"/>
    <mergeCell ref="G463:G464"/>
    <mergeCell ref="H463:H464"/>
    <mergeCell ref="A459:A460"/>
    <mergeCell ref="B459:B460"/>
    <mergeCell ref="C459:C460"/>
    <mergeCell ref="D459:D460"/>
    <mergeCell ref="E459:E460"/>
    <mergeCell ref="F459:F460"/>
    <mergeCell ref="AD457:AD458"/>
    <mergeCell ref="AD459:AD460"/>
    <mergeCell ref="AC457:AC458"/>
    <mergeCell ref="Y457:Y458"/>
    <mergeCell ref="Z457:Z458"/>
    <mergeCell ref="Y459:Y460"/>
    <mergeCell ref="F457:F458"/>
    <mergeCell ref="M459:M460"/>
    <mergeCell ref="G459:G460"/>
    <mergeCell ref="H459:H460"/>
    <mergeCell ref="I459:I460"/>
    <mergeCell ref="K459:K460"/>
    <mergeCell ref="J459:J460"/>
    <mergeCell ref="H457:H458"/>
    <mergeCell ref="Z459:Z460"/>
    <mergeCell ref="AC459:AC460"/>
    <mergeCell ref="AA459:AA460"/>
    <mergeCell ref="AB459:AB460"/>
    <mergeCell ref="N459:N460"/>
    <mergeCell ref="X457:X458"/>
    <mergeCell ref="Q457:Q458"/>
    <mergeCell ref="R457:R458"/>
    <mergeCell ref="N457:N458"/>
    <mergeCell ref="A453:A454"/>
    <mergeCell ref="B453:B454"/>
    <mergeCell ref="C453:C454"/>
    <mergeCell ref="D453:D454"/>
    <mergeCell ref="A457:A458"/>
    <mergeCell ref="T459:T460"/>
    <mergeCell ref="J457:J458"/>
    <mergeCell ref="K457:K458"/>
    <mergeCell ref="M457:M458"/>
    <mergeCell ref="E457:E458"/>
    <mergeCell ref="W453:W454"/>
    <mergeCell ref="X453:X454"/>
    <mergeCell ref="T455:T456"/>
    <mergeCell ref="U455:U456"/>
    <mergeCell ref="V455:V456"/>
    <mergeCell ref="W455:W456"/>
    <mergeCell ref="X455:X456"/>
    <mergeCell ref="V453:V454"/>
    <mergeCell ref="T453:T454"/>
    <mergeCell ref="W457:W458"/>
    <mergeCell ref="S457:S458"/>
    <mergeCell ref="T457:T458"/>
    <mergeCell ref="O457:O458"/>
    <mergeCell ref="P457:P458"/>
    <mergeCell ref="U457:U458"/>
    <mergeCell ref="V457:V458"/>
    <mergeCell ref="S455:S456"/>
    <mergeCell ref="G455:G456"/>
    <mergeCell ref="H455:H456"/>
    <mergeCell ref="I455:I456"/>
    <mergeCell ref="J455:J456"/>
    <mergeCell ref="K455:K456"/>
    <mergeCell ref="M455:M456"/>
    <mergeCell ref="Q455:Q456"/>
    <mergeCell ref="R455:R456"/>
    <mergeCell ref="N455:N456"/>
    <mergeCell ref="D451:D452"/>
    <mergeCell ref="A449:A450"/>
    <mergeCell ref="B449:B450"/>
    <mergeCell ref="C449:C450"/>
    <mergeCell ref="D449:D450"/>
    <mergeCell ref="E451:E452"/>
    <mergeCell ref="N449:N450"/>
    <mergeCell ref="H449:H450"/>
    <mergeCell ref="Z453:Z454"/>
    <mergeCell ref="N451:N452"/>
    <mergeCell ref="O451:O452"/>
    <mergeCell ref="T451:T452"/>
    <mergeCell ref="U451:U452"/>
    <mergeCell ref="S453:S454"/>
    <mergeCell ref="R453:R454"/>
    <mergeCell ref="U453:U454"/>
    <mergeCell ref="G451:G452"/>
    <mergeCell ref="H451:H452"/>
    <mergeCell ref="I451:I452"/>
    <mergeCell ref="J451:J452"/>
    <mergeCell ref="Q449:Q450"/>
    <mergeCell ref="R449:R450"/>
    <mergeCell ref="G449:G450"/>
    <mergeCell ref="J449:J450"/>
    <mergeCell ref="K449:K450"/>
    <mergeCell ref="M449:M450"/>
    <mergeCell ref="T449:T450"/>
    <mergeCell ref="K451:K452"/>
    <mergeCell ref="M451:M452"/>
    <mergeCell ref="F451:F452"/>
    <mergeCell ref="Q453:Q454"/>
    <mergeCell ref="J453:J454"/>
    <mergeCell ref="K453:K454"/>
    <mergeCell ref="M453:M454"/>
    <mergeCell ref="P453:P454"/>
    <mergeCell ref="P451:P452"/>
    <mergeCell ref="V449:V450"/>
    <mergeCell ref="F449:F450"/>
    <mergeCell ref="I449:I450"/>
    <mergeCell ref="N443:N444"/>
    <mergeCell ref="AC443:AC444"/>
    <mergeCell ref="L443:L444"/>
    <mergeCell ref="X449:X450"/>
    <mergeCell ref="S449:S450"/>
    <mergeCell ref="O449:O450"/>
    <mergeCell ref="P449:P450"/>
    <mergeCell ref="AD449:AD450"/>
    <mergeCell ref="AD451:AD452"/>
    <mergeCell ref="AD453:AD454"/>
    <mergeCell ref="AD455:AD456"/>
    <mergeCell ref="U449:U450"/>
    <mergeCell ref="W449:W450"/>
    <mergeCell ref="Y455:Y456"/>
    <mergeCell ref="Z455:Z456"/>
    <mergeCell ref="Y451:Y452"/>
    <mergeCell ref="Z451:Z452"/>
    <mergeCell ref="H453:H454"/>
    <mergeCell ref="I453:I454"/>
    <mergeCell ref="AC455:AC456"/>
    <mergeCell ref="AC453:AC454"/>
    <mergeCell ref="AA453:AA454"/>
    <mergeCell ref="AC451:AC452"/>
    <mergeCell ref="V451:V452"/>
    <mergeCell ref="W451:W452"/>
    <mergeCell ref="X451:X452"/>
    <mergeCell ref="Q451:Q452"/>
    <mergeCell ref="A443:A444"/>
    <mergeCell ref="B443:B444"/>
    <mergeCell ref="C443:C444"/>
    <mergeCell ref="D443:D444"/>
    <mergeCell ref="F455:F456"/>
    <mergeCell ref="F453:F454"/>
    <mergeCell ref="E449:E450"/>
    <mergeCell ref="A451:A452"/>
    <mergeCell ref="B451:B452"/>
    <mergeCell ref="C451:C452"/>
    <mergeCell ref="E443:E444"/>
    <mergeCell ref="F443:F444"/>
    <mergeCell ref="N447:N448"/>
    <mergeCell ref="O447:O448"/>
    <mergeCell ref="I447:I448"/>
    <mergeCell ref="J447:J448"/>
    <mergeCell ref="Q443:Q444"/>
    <mergeCell ref="S443:S444"/>
    <mergeCell ref="P443:P444"/>
    <mergeCell ref="G443:G444"/>
    <mergeCell ref="H443:H444"/>
    <mergeCell ref="T443:T444"/>
    <mergeCell ref="A447:A448"/>
    <mergeCell ref="B447:B448"/>
    <mergeCell ref="C447:C448"/>
    <mergeCell ref="D447:D448"/>
    <mergeCell ref="U443:U444"/>
    <mergeCell ref="I443:I444"/>
    <mergeCell ref="J443:J444"/>
    <mergeCell ref="K443:K444"/>
    <mergeCell ref="M443:M444"/>
    <mergeCell ref="O443:O444"/>
    <mergeCell ref="C446:D446"/>
    <mergeCell ref="K447:K448"/>
    <mergeCell ref="M447:M448"/>
    <mergeCell ref="E447:E448"/>
    <mergeCell ref="F447:F448"/>
    <mergeCell ref="T447:T448"/>
    <mergeCell ref="R447:R448"/>
    <mergeCell ref="S447:S448"/>
    <mergeCell ref="V443:V444"/>
    <mergeCell ref="G447:G448"/>
    <mergeCell ref="H447:H448"/>
    <mergeCell ref="Q441:Q442"/>
    <mergeCell ref="R441:R442"/>
    <mergeCell ref="S441:S442"/>
    <mergeCell ref="T441:T442"/>
    <mergeCell ref="P447:P448"/>
    <mergeCell ref="Q447:Q448"/>
    <mergeCell ref="R443:R444"/>
    <mergeCell ref="AD441:AD442"/>
    <mergeCell ref="Y441:Y442"/>
    <mergeCell ref="Z441:Z442"/>
    <mergeCell ref="X443:X444"/>
    <mergeCell ref="AD443:AD444"/>
    <mergeCell ref="AC441:AC442"/>
    <mergeCell ref="AA443:AA444"/>
    <mergeCell ref="AB443:AB444"/>
    <mergeCell ref="W441:W442"/>
    <mergeCell ref="X441:X442"/>
    <mergeCell ref="M441:M442"/>
    <mergeCell ref="N441:N442"/>
    <mergeCell ref="O441:O442"/>
    <mergeCell ref="P441:P442"/>
    <mergeCell ref="V441:V442"/>
    <mergeCell ref="AD447:AD448"/>
    <mergeCell ref="J441:J442"/>
    <mergeCell ref="K441:K442"/>
    <mergeCell ref="L441:L442"/>
    <mergeCell ref="AA441:AA442"/>
    <mergeCell ref="AB441:AB442"/>
    <mergeCell ref="X447:X448"/>
    <mergeCell ref="V447:V448"/>
    <mergeCell ref="W443:W444"/>
    <mergeCell ref="U441:U442"/>
    <mergeCell ref="E441:E442"/>
    <mergeCell ref="F441:F442"/>
    <mergeCell ref="G441:G442"/>
    <mergeCell ref="I439:I440"/>
    <mergeCell ref="A441:A442"/>
    <mergeCell ref="B441:B442"/>
    <mergeCell ref="C441:C442"/>
    <mergeCell ref="D441:D442"/>
    <mergeCell ref="H441:H442"/>
    <mergeCell ref="I441:I442"/>
    <mergeCell ref="M439:M440"/>
    <mergeCell ref="A437:A438"/>
    <mergeCell ref="B437:B438"/>
    <mergeCell ref="C437:C438"/>
    <mergeCell ref="D437:D438"/>
    <mergeCell ref="F437:F438"/>
    <mergeCell ref="G437:G438"/>
    <mergeCell ref="E437:E438"/>
    <mergeCell ref="AD437:AD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W437:W438"/>
    <mergeCell ref="V437:V438"/>
    <mergeCell ref="U437:U438"/>
    <mergeCell ref="J437:J438"/>
    <mergeCell ref="K437:K438"/>
    <mergeCell ref="N439:N440"/>
    <mergeCell ref="O439:O440"/>
    <mergeCell ref="P439:P440"/>
    <mergeCell ref="Q439:Q440"/>
    <mergeCell ref="R439:R440"/>
    <mergeCell ref="S439:S440"/>
    <mergeCell ref="T431:T432"/>
    <mergeCell ref="H437:H438"/>
    <mergeCell ref="I437:I438"/>
    <mergeCell ref="X437:X438"/>
    <mergeCell ref="M437:M438"/>
    <mergeCell ref="N437:N438"/>
    <mergeCell ref="O437:O438"/>
    <mergeCell ref="P437:P438"/>
    <mergeCell ref="Q437:Q438"/>
    <mergeCell ref="R437:R438"/>
    <mergeCell ref="L439:L440"/>
    <mergeCell ref="A431:A432"/>
    <mergeCell ref="B431:B432"/>
    <mergeCell ref="C431:C432"/>
    <mergeCell ref="D431:D432"/>
    <mergeCell ref="E431:E432"/>
    <mergeCell ref="F431:F432"/>
    <mergeCell ref="L437:L438"/>
    <mergeCell ref="J439:J440"/>
    <mergeCell ref="K439:K440"/>
    <mergeCell ref="K427:K428"/>
    <mergeCell ref="M427:M428"/>
    <mergeCell ref="L427:L428"/>
    <mergeCell ref="J429:J430"/>
    <mergeCell ref="K429:K430"/>
    <mergeCell ref="M429:M430"/>
    <mergeCell ref="R429:R430"/>
    <mergeCell ref="S429:S430"/>
    <mergeCell ref="S437:S438"/>
    <mergeCell ref="K431:K432"/>
    <mergeCell ref="L431:L432"/>
    <mergeCell ref="N431:N432"/>
    <mergeCell ref="O431:O432"/>
    <mergeCell ref="Q429:Q430"/>
    <mergeCell ref="N429:N430"/>
    <mergeCell ref="U431:U432"/>
    <mergeCell ref="V431:V432"/>
    <mergeCell ref="Q431:Q432"/>
    <mergeCell ref="S431:S432"/>
    <mergeCell ref="C434:D434"/>
    <mergeCell ref="C435:D435"/>
    <mergeCell ref="G431:G432"/>
    <mergeCell ref="H431:H432"/>
    <mergeCell ref="I431:I432"/>
    <mergeCell ref="J431:J432"/>
    <mergeCell ref="C426:D426"/>
    <mergeCell ref="A427:A428"/>
    <mergeCell ref="B427:B428"/>
    <mergeCell ref="C427:C428"/>
    <mergeCell ref="D427:D428"/>
    <mergeCell ref="C436:D436"/>
    <mergeCell ref="AC427:AC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P429:P430"/>
    <mergeCell ref="L429:L430"/>
    <mergeCell ref="I429:I430"/>
    <mergeCell ref="A429:A430"/>
    <mergeCell ref="B429:B430"/>
    <mergeCell ref="C429:C430"/>
    <mergeCell ref="D429:D430"/>
    <mergeCell ref="V429:V430"/>
    <mergeCell ref="H427:H428"/>
    <mergeCell ref="G429:G430"/>
    <mergeCell ref="H429:H430"/>
    <mergeCell ref="E427:E428"/>
    <mergeCell ref="F427:F428"/>
    <mergeCell ref="G427:G428"/>
    <mergeCell ref="E429:E430"/>
    <mergeCell ref="F429:F430"/>
    <mergeCell ref="O429:O430"/>
    <mergeCell ref="J417:J418"/>
    <mergeCell ref="K417:K418"/>
    <mergeCell ref="I419:I420"/>
    <mergeCell ref="Y429:Y430"/>
    <mergeCell ref="T429:T430"/>
    <mergeCell ref="AC429:AC430"/>
    <mergeCell ref="Z429:Z430"/>
    <mergeCell ref="W429:W430"/>
    <mergeCell ref="X429:X430"/>
    <mergeCell ref="U429:U430"/>
    <mergeCell ref="P417:P418"/>
    <mergeCell ref="Q417:Q418"/>
    <mergeCell ref="K419:K420"/>
    <mergeCell ref="L419:L420"/>
    <mergeCell ref="M419:M420"/>
    <mergeCell ref="N419:N420"/>
    <mergeCell ref="AD417:AD418"/>
    <mergeCell ref="AC417:AC418"/>
    <mergeCell ref="Z417:Z418"/>
    <mergeCell ref="X417:X418"/>
    <mergeCell ref="Y417:Y418"/>
    <mergeCell ref="AA417:AA418"/>
    <mergeCell ref="AB417:AB418"/>
    <mergeCell ref="AC423:AC424"/>
    <mergeCell ref="M423:M424"/>
    <mergeCell ref="N423:N424"/>
    <mergeCell ref="O423:O424"/>
    <mergeCell ref="P423:P424"/>
    <mergeCell ref="O419:O420"/>
    <mergeCell ref="P419:P420"/>
    <mergeCell ref="Q419:Q420"/>
    <mergeCell ref="R419:R420"/>
    <mergeCell ref="AC375:AC376"/>
    <mergeCell ref="E419:E420"/>
    <mergeCell ref="F419:F420"/>
    <mergeCell ref="G419:G420"/>
    <mergeCell ref="H419:H420"/>
    <mergeCell ref="Q401:Q402"/>
    <mergeCell ref="AC387:AC388"/>
    <mergeCell ref="S393:S394"/>
    <mergeCell ref="V419:V420"/>
    <mergeCell ref="W417:W418"/>
    <mergeCell ref="W393:W394"/>
    <mergeCell ref="A419:A420"/>
    <mergeCell ref="B419:B420"/>
    <mergeCell ref="C419:C420"/>
    <mergeCell ref="D419:D420"/>
    <mergeCell ref="Z427:Z428"/>
    <mergeCell ref="Z423:Z424"/>
    <mergeCell ref="R417:R418"/>
    <mergeCell ref="S417:S418"/>
    <mergeCell ref="T417:T418"/>
    <mergeCell ref="J419:J420"/>
    <mergeCell ref="L417:L418"/>
    <mergeCell ref="M417:M418"/>
    <mergeCell ref="N417:N418"/>
    <mergeCell ref="X393:X394"/>
    <mergeCell ref="Z387:Z388"/>
    <mergeCell ref="Y391:Y392"/>
    <mergeCell ref="Z391:Z392"/>
    <mergeCell ref="T393:T394"/>
    <mergeCell ref="U393:U394"/>
    <mergeCell ref="V375:V376"/>
    <mergeCell ref="O417:O418"/>
    <mergeCell ref="E417:E418"/>
    <mergeCell ref="F417:F418"/>
    <mergeCell ref="G417:G418"/>
    <mergeCell ref="H417:H418"/>
    <mergeCell ref="V393:V394"/>
    <mergeCell ref="V417:V418"/>
    <mergeCell ref="U417:U418"/>
    <mergeCell ref="I417:I418"/>
    <mergeCell ref="Y368:Y369"/>
    <mergeCell ref="Z368:Z369"/>
    <mergeCell ref="Y373:Y374"/>
    <mergeCell ref="Z373:Z374"/>
    <mergeCell ref="W373:W374"/>
    <mergeCell ref="X373:X374"/>
    <mergeCell ref="R381:R382"/>
    <mergeCell ref="W381:W382"/>
    <mergeCell ref="X381:X382"/>
    <mergeCell ref="U381:U382"/>
    <mergeCell ref="AA375:AA376"/>
    <mergeCell ref="W375:W376"/>
    <mergeCell ref="X375:X376"/>
    <mergeCell ref="S375:S376"/>
    <mergeCell ref="T375:T376"/>
    <mergeCell ref="U375:U376"/>
    <mergeCell ref="AD375:AD376"/>
    <mergeCell ref="Y375:Y376"/>
    <mergeCell ref="Z375:Z376"/>
    <mergeCell ref="V383:V384"/>
    <mergeCell ref="W383:W384"/>
    <mergeCell ref="X383:X384"/>
    <mergeCell ref="AC383:AC384"/>
    <mergeCell ref="Z383:Z384"/>
    <mergeCell ref="AA383:AA384"/>
    <mergeCell ref="AB383:AB384"/>
    <mergeCell ref="S377:S378"/>
    <mergeCell ref="T377:T378"/>
    <mergeCell ref="U377:U378"/>
    <mergeCell ref="S383:S384"/>
    <mergeCell ref="T383:T384"/>
    <mergeCell ref="U383:U384"/>
    <mergeCell ref="F375:F376"/>
    <mergeCell ref="G375:G376"/>
    <mergeCell ref="AB375:AB376"/>
    <mergeCell ref="AA377:AA378"/>
    <mergeCell ref="AB377:AB378"/>
    <mergeCell ref="AD373:AD374"/>
    <mergeCell ref="AA373:AA374"/>
    <mergeCell ref="AB373:AB374"/>
    <mergeCell ref="AD377:AD378"/>
    <mergeCell ref="AC373:AC374"/>
    <mergeCell ref="AB368:AB369"/>
    <mergeCell ref="X368:X369"/>
    <mergeCell ref="AA368:AA369"/>
    <mergeCell ref="H375:H376"/>
    <mergeCell ref="I375:I376"/>
    <mergeCell ref="E377:E378"/>
    <mergeCell ref="F377:F378"/>
    <mergeCell ref="G377:G378"/>
    <mergeCell ref="E373:E374"/>
    <mergeCell ref="F373:F374"/>
    <mergeCell ref="AD368:AD369"/>
    <mergeCell ref="P368:P369"/>
    <mergeCell ref="Q368:Q369"/>
    <mergeCell ref="R368:R369"/>
    <mergeCell ref="S368:S369"/>
    <mergeCell ref="AC368:AC369"/>
    <mergeCell ref="V368:V369"/>
    <mergeCell ref="W368:W369"/>
    <mergeCell ref="T368:T369"/>
    <mergeCell ref="U368:U369"/>
    <mergeCell ref="R375:R376"/>
    <mergeCell ref="S373:S374"/>
    <mergeCell ref="AD366:AD367"/>
    <mergeCell ref="X366:X367"/>
    <mergeCell ref="AC366:AC367"/>
    <mergeCell ref="Y366:Y367"/>
    <mergeCell ref="Z366:Z367"/>
    <mergeCell ref="W366:W367"/>
    <mergeCell ref="AB366:AB367"/>
    <mergeCell ref="T373:T374"/>
    <mergeCell ref="V364:V365"/>
    <mergeCell ref="R364:R365"/>
    <mergeCell ref="N366:N367"/>
    <mergeCell ref="O366:O367"/>
    <mergeCell ref="O364:O365"/>
    <mergeCell ref="V373:V374"/>
    <mergeCell ref="U373:U374"/>
    <mergeCell ref="T362:T363"/>
    <mergeCell ref="U362:U363"/>
    <mergeCell ref="P366:P367"/>
    <mergeCell ref="Q366:Q367"/>
    <mergeCell ref="R366:R367"/>
    <mergeCell ref="P364:P365"/>
    <mergeCell ref="Q364:Q365"/>
    <mergeCell ref="T364:T365"/>
    <mergeCell ref="U364:U365"/>
    <mergeCell ref="M366:M367"/>
    <mergeCell ref="T366:T367"/>
    <mergeCell ref="S364:S365"/>
    <mergeCell ref="L364:L365"/>
    <mergeCell ref="M364:M365"/>
    <mergeCell ref="N364:N365"/>
    <mergeCell ref="L366:L367"/>
    <mergeCell ref="L362:L363"/>
    <mergeCell ref="M362:M363"/>
    <mergeCell ref="R362:R363"/>
    <mergeCell ref="S362:S363"/>
    <mergeCell ref="H366:H367"/>
    <mergeCell ref="I366:I367"/>
    <mergeCell ref="J366:J367"/>
    <mergeCell ref="K366:K367"/>
    <mergeCell ref="K364:K365"/>
    <mergeCell ref="S366:S367"/>
    <mergeCell ref="F364:F365"/>
    <mergeCell ref="G364:G365"/>
    <mergeCell ref="X364:X365"/>
    <mergeCell ref="F366:F367"/>
    <mergeCell ref="U366:U367"/>
    <mergeCell ref="I364:I365"/>
    <mergeCell ref="J364:J365"/>
    <mergeCell ref="H364:H365"/>
    <mergeCell ref="W364:W365"/>
    <mergeCell ref="V366:V367"/>
    <mergeCell ref="X362:X363"/>
    <mergeCell ref="Y362:Y363"/>
    <mergeCell ref="Z362:Z363"/>
    <mergeCell ref="Y364:Y365"/>
    <mergeCell ref="Z364:Z365"/>
    <mergeCell ref="G366:G367"/>
    <mergeCell ref="V362:V363"/>
    <mergeCell ref="W362:W363"/>
    <mergeCell ref="N362:N363"/>
    <mergeCell ref="O362:O363"/>
    <mergeCell ref="H356:H357"/>
    <mergeCell ref="I356:I357"/>
    <mergeCell ref="M356:M357"/>
    <mergeCell ref="J356:J357"/>
    <mergeCell ref="K356:K357"/>
    <mergeCell ref="A356:A357"/>
    <mergeCell ref="B356:B357"/>
    <mergeCell ref="C356:C357"/>
    <mergeCell ref="D356:D357"/>
    <mergeCell ref="AD364:AD365"/>
    <mergeCell ref="AA362:AA363"/>
    <mergeCell ref="AB362:AB363"/>
    <mergeCell ref="AA364:AA365"/>
    <mergeCell ref="AB364:AB365"/>
    <mergeCell ref="AC362:AC363"/>
    <mergeCell ref="AD362:AD363"/>
    <mergeCell ref="AC364:AC365"/>
    <mergeCell ref="K362:K363"/>
    <mergeCell ref="F356:F357"/>
    <mergeCell ref="G356:G357"/>
    <mergeCell ref="I358:I359"/>
    <mergeCell ref="J358:J359"/>
    <mergeCell ref="E362:E363"/>
    <mergeCell ref="F362:F363"/>
    <mergeCell ref="G362:G363"/>
    <mergeCell ref="H362:H363"/>
    <mergeCell ref="E356:E357"/>
    <mergeCell ref="C361:D361"/>
    <mergeCell ref="A362:A363"/>
    <mergeCell ref="B362:B363"/>
    <mergeCell ref="C362:C363"/>
    <mergeCell ref="D362:D363"/>
    <mergeCell ref="J362:J363"/>
    <mergeCell ref="AC356:AC357"/>
    <mergeCell ref="W354:W355"/>
    <mergeCell ref="AD352:AD353"/>
    <mergeCell ref="W352:W353"/>
    <mergeCell ref="X352:X353"/>
    <mergeCell ref="AC352:AC353"/>
    <mergeCell ref="N356:N357"/>
    <mergeCell ref="J354:J355"/>
    <mergeCell ref="K354:K355"/>
    <mergeCell ref="M354:M355"/>
    <mergeCell ref="P354:P355"/>
    <mergeCell ref="AD356:AD357"/>
    <mergeCell ref="X354:X355"/>
    <mergeCell ref="S354:S355"/>
    <mergeCell ref="T354:T355"/>
    <mergeCell ref="U354:U355"/>
    <mergeCell ref="AA354:AA355"/>
    <mergeCell ref="V354:V355"/>
    <mergeCell ref="Q354:Q355"/>
    <mergeCell ref="R354:R355"/>
    <mergeCell ref="Q356:Q357"/>
    <mergeCell ref="I362:I363"/>
    <mergeCell ref="P362:P363"/>
    <mergeCell ref="Q362:Q363"/>
    <mergeCell ref="R356:R357"/>
    <mergeCell ref="N358:N359"/>
    <mergeCell ref="V356:V357"/>
    <mergeCell ref="W356:W357"/>
    <mergeCell ref="O356:O357"/>
    <mergeCell ref="P356:P357"/>
    <mergeCell ref="AD354:AD355"/>
    <mergeCell ref="I354:I355"/>
    <mergeCell ref="Y356:Y357"/>
    <mergeCell ref="AA356:AA357"/>
    <mergeCell ref="AB356:AB357"/>
    <mergeCell ref="Z354:Z355"/>
    <mergeCell ref="O354:O355"/>
    <mergeCell ref="U352:U353"/>
    <mergeCell ref="T352:T353"/>
    <mergeCell ref="Z356:Z357"/>
    <mergeCell ref="X356:X357"/>
    <mergeCell ref="K352:K353"/>
    <mergeCell ref="M352:M353"/>
    <mergeCell ref="S356:S357"/>
    <mergeCell ref="T356:T357"/>
    <mergeCell ref="U356:U357"/>
    <mergeCell ref="A354:A355"/>
    <mergeCell ref="B354:B355"/>
    <mergeCell ref="C354:C355"/>
    <mergeCell ref="D354:D355"/>
    <mergeCell ref="G352:G353"/>
    <mergeCell ref="AC354:AC355"/>
    <mergeCell ref="H352:H353"/>
    <mergeCell ref="I352:I353"/>
    <mergeCell ref="J352:J353"/>
    <mergeCell ref="Y354:Y355"/>
    <mergeCell ref="A350:A351"/>
    <mergeCell ref="B350:B351"/>
    <mergeCell ref="C350:C351"/>
    <mergeCell ref="D350:D351"/>
    <mergeCell ref="H350:H351"/>
    <mergeCell ref="I350:I351"/>
    <mergeCell ref="E354:E355"/>
    <mergeCell ref="F354:F355"/>
    <mergeCell ref="G354:G355"/>
    <mergeCell ref="H354:H355"/>
    <mergeCell ref="U350:U351"/>
    <mergeCell ref="AD348:AD349"/>
    <mergeCell ref="J350:J351"/>
    <mergeCell ref="K350:K351"/>
    <mergeCell ref="AB354:AB355"/>
    <mergeCell ref="N354:N355"/>
    <mergeCell ref="X348:X349"/>
    <mergeCell ref="AC348:AC349"/>
    <mergeCell ref="V352:V353"/>
    <mergeCell ref="N352:N353"/>
    <mergeCell ref="O352:O353"/>
    <mergeCell ref="P352:P353"/>
    <mergeCell ref="Q352:Q353"/>
    <mergeCell ref="R352:R353"/>
    <mergeCell ref="S352:S353"/>
    <mergeCell ref="A352:A353"/>
    <mergeCell ref="B352:B353"/>
    <mergeCell ref="C352:C353"/>
    <mergeCell ref="D352:D353"/>
    <mergeCell ref="AD350:AD351"/>
    <mergeCell ref="A348:A349"/>
    <mergeCell ref="B348:B349"/>
    <mergeCell ref="C348:C349"/>
    <mergeCell ref="D348:D349"/>
    <mergeCell ref="E348:E349"/>
    <mergeCell ref="AC350:AC351"/>
    <mergeCell ref="V350:V351"/>
    <mergeCell ref="W350:W351"/>
    <mergeCell ref="Y350:Y351"/>
    <mergeCell ref="Z350:Z351"/>
    <mergeCell ref="AA350:AA351"/>
    <mergeCell ref="AB350:AB351"/>
    <mergeCell ref="Q350:Q351"/>
    <mergeCell ref="F350:F351"/>
    <mergeCell ref="G350:G351"/>
    <mergeCell ref="M350:M351"/>
    <mergeCell ref="N350:N351"/>
    <mergeCell ref="O350:O351"/>
    <mergeCell ref="P350:P351"/>
    <mergeCell ref="AA352:AA353"/>
    <mergeCell ref="AB352:AB353"/>
    <mergeCell ref="Y352:Y353"/>
    <mergeCell ref="Z352:Z353"/>
    <mergeCell ref="R350:R351"/>
    <mergeCell ref="S350:S351"/>
    <mergeCell ref="X350:X351"/>
    <mergeCell ref="T350:T351"/>
    <mergeCell ref="E346:E347"/>
    <mergeCell ref="F346:F347"/>
    <mergeCell ref="G346:G347"/>
    <mergeCell ref="I346:I347"/>
    <mergeCell ref="E352:E353"/>
    <mergeCell ref="F352:F353"/>
    <mergeCell ref="E350:E351"/>
    <mergeCell ref="F348:F349"/>
    <mergeCell ref="J346:J347"/>
    <mergeCell ref="K346:K347"/>
    <mergeCell ref="H348:H349"/>
    <mergeCell ref="G348:G349"/>
    <mergeCell ref="I348:I349"/>
    <mergeCell ref="H346:H347"/>
    <mergeCell ref="X342:X343"/>
    <mergeCell ref="AC346:AC347"/>
    <mergeCell ref="N346:N347"/>
    <mergeCell ref="O346:O347"/>
    <mergeCell ref="P346:P347"/>
    <mergeCell ref="Q346:Q347"/>
    <mergeCell ref="R346:R347"/>
    <mergeCell ref="S346:S347"/>
    <mergeCell ref="AB346:AB347"/>
    <mergeCell ref="X346:X347"/>
    <mergeCell ref="W348:W349"/>
    <mergeCell ref="O348:O349"/>
    <mergeCell ref="M348:M349"/>
    <mergeCell ref="N348:N349"/>
    <mergeCell ref="P348:P349"/>
    <mergeCell ref="Q348:Q349"/>
    <mergeCell ref="T348:T349"/>
    <mergeCell ref="U348:U349"/>
    <mergeCell ref="V348:V349"/>
    <mergeCell ref="R348:R349"/>
    <mergeCell ref="S342:S343"/>
    <mergeCell ref="T342:T343"/>
    <mergeCell ref="S348:S349"/>
    <mergeCell ref="M346:M347"/>
    <mergeCell ref="U342:U343"/>
    <mergeCell ref="V342:V343"/>
    <mergeCell ref="T346:T347"/>
    <mergeCell ref="U346:U347"/>
    <mergeCell ref="V346:V347"/>
    <mergeCell ref="O342:O343"/>
    <mergeCell ref="Y346:Y347"/>
    <mergeCell ref="Z346:Z347"/>
    <mergeCell ref="AB348:AB349"/>
    <mergeCell ref="W342:W343"/>
    <mergeCell ref="A340:A341"/>
    <mergeCell ref="B340:B341"/>
    <mergeCell ref="C340:C341"/>
    <mergeCell ref="I340:I341"/>
    <mergeCell ref="J340:J341"/>
    <mergeCell ref="K340:K341"/>
    <mergeCell ref="Z348:Z349"/>
    <mergeCell ref="AA346:AA347"/>
    <mergeCell ref="AD342:AD343"/>
    <mergeCell ref="AD346:AD347"/>
    <mergeCell ref="AC342:AC343"/>
    <mergeCell ref="Z342:Z343"/>
    <mergeCell ref="C345:D345"/>
    <mergeCell ref="P342:P343"/>
    <mergeCell ref="Q342:Q343"/>
    <mergeCell ref="R342:R343"/>
    <mergeCell ref="E342:E343"/>
    <mergeCell ref="F342:F343"/>
    <mergeCell ref="G342:G343"/>
    <mergeCell ref="H342:H343"/>
    <mergeCell ref="I342:I343"/>
    <mergeCell ref="J342:J343"/>
    <mergeCell ref="J348:J349"/>
    <mergeCell ref="K348:K349"/>
    <mergeCell ref="AD340:AD341"/>
    <mergeCell ref="M340:M341"/>
    <mergeCell ref="S340:S341"/>
    <mergeCell ref="Y340:Y341"/>
    <mergeCell ref="Z340:Z341"/>
    <mergeCell ref="T340:T341"/>
    <mergeCell ref="U340:U341"/>
    <mergeCell ref="Y348:Y349"/>
    <mergeCell ref="X340:X341"/>
    <mergeCell ref="A342:A343"/>
    <mergeCell ref="B342:B343"/>
    <mergeCell ref="C342:C343"/>
    <mergeCell ref="D342:D343"/>
    <mergeCell ref="W346:W347"/>
    <mergeCell ref="A346:A347"/>
    <mergeCell ref="B346:B347"/>
    <mergeCell ref="C346:C347"/>
    <mergeCell ref="D346:D347"/>
    <mergeCell ref="M342:M343"/>
    <mergeCell ref="N342:N343"/>
    <mergeCell ref="V340:V341"/>
    <mergeCell ref="W340:W341"/>
    <mergeCell ref="AC340:AC341"/>
    <mergeCell ref="N340:N341"/>
    <mergeCell ref="O340:O341"/>
    <mergeCell ref="P340:P341"/>
    <mergeCell ref="Q340:Q341"/>
    <mergeCell ref="R340:R341"/>
    <mergeCell ref="D340:D341"/>
    <mergeCell ref="E340:E341"/>
    <mergeCell ref="F340:F341"/>
    <mergeCell ref="G340:G341"/>
    <mergeCell ref="K342:K343"/>
    <mergeCell ref="L342:L343"/>
    <mergeCell ref="L340:L341"/>
    <mergeCell ref="H340:H341"/>
    <mergeCell ref="P338:P339"/>
    <mergeCell ref="F338:F339"/>
    <mergeCell ref="G338:G339"/>
    <mergeCell ref="H338:H339"/>
    <mergeCell ref="I338:I339"/>
    <mergeCell ref="L338:L339"/>
    <mergeCell ref="M338:M339"/>
    <mergeCell ref="N338:N339"/>
    <mergeCell ref="O338:O339"/>
    <mergeCell ref="AC336:AC337"/>
    <mergeCell ref="N336:N337"/>
    <mergeCell ref="Q338:Q339"/>
    <mergeCell ref="R338:R339"/>
    <mergeCell ref="X336:X337"/>
    <mergeCell ref="Y336:Y337"/>
    <mergeCell ref="V338:V339"/>
    <mergeCell ref="W338:W339"/>
    <mergeCell ref="E338:E339"/>
    <mergeCell ref="J336:J337"/>
    <mergeCell ref="T338:T339"/>
    <mergeCell ref="U338:U339"/>
    <mergeCell ref="G336:G337"/>
    <mergeCell ref="H336:H337"/>
    <mergeCell ref="I336:I337"/>
    <mergeCell ref="T336:T337"/>
    <mergeCell ref="U336:U337"/>
    <mergeCell ref="J338:J339"/>
    <mergeCell ref="N334:N335"/>
    <mergeCell ref="O334:O335"/>
    <mergeCell ref="P334:P335"/>
    <mergeCell ref="Q334:Q335"/>
    <mergeCell ref="Y338:Y339"/>
    <mergeCell ref="Z338:Z339"/>
    <mergeCell ref="Q336:Q337"/>
    <mergeCell ref="O336:O337"/>
    <mergeCell ref="X338:X339"/>
    <mergeCell ref="S338:S339"/>
    <mergeCell ref="K338:K339"/>
    <mergeCell ref="M336:M337"/>
    <mergeCell ref="R336:R337"/>
    <mergeCell ref="K336:K337"/>
    <mergeCell ref="L336:L337"/>
    <mergeCell ref="S336:S337"/>
    <mergeCell ref="P336:P337"/>
    <mergeCell ref="AB332:AB333"/>
    <mergeCell ref="N330:N331"/>
    <mergeCell ref="O330:O331"/>
    <mergeCell ref="W330:W331"/>
    <mergeCell ref="X330:X331"/>
    <mergeCell ref="U332:U333"/>
    <mergeCell ref="V332:V333"/>
    <mergeCell ref="R332:R333"/>
    <mergeCell ref="AB330:AB331"/>
    <mergeCell ref="S332:S333"/>
    <mergeCell ref="L334:L335"/>
    <mergeCell ref="M334:M335"/>
    <mergeCell ref="V336:V337"/>
    <mergeCell ref="H334:H335"/>
    <mergeCell ref="I334:I335"/>
    <mergeCell ref="J334:J335"/>
    <mergeCell ref="K334:K335"/>
    <mergeCell ref="S334:S335"/>
    <mergeCell ref="U334:U335"/>
    <mergeCell ref="V334:V335"/>
    <mergeCell ref="T334:T335"/>
    <mergeCell ref="Y334:Y335"/>
    <mergeCell ref="Z336:Z337"/>
    <mergeCell ref="W336:W337"/>
    <mergeCell ref="AA336:AA337"/>
    <mergeCell ref="Z334:Z335"/>
    <mergeCell ref="X334:X335"/>
    <mergeCell ref="C332:C333"/>
    <mergeCell ref="D332:D333"/>
    <mergeCell ref="Q326:Q327"/>
    <mergeCell ref="R326:R327"/>
    <mergeCell ref="J330:J331"/>
    <mergeCell ref="K330:K331"/>
    <mergeCell ref="L330:L331"/>
    <mergeCell ref="M330:M331"/>
    <mergeCell ref="Q332:Q333"/>
    <mergeCell ref="E332:E333"/>
    <mergeCell ref="H332:H333"/>
    <mergeCell ref="I332:I333"/>
    <mergeCell ref="J332:J333"/>
    <mergeCell ref="H324:H325"/>
    <mergeCell ref="J324:J325"/>
    <mergeCell ref="I326:I327"/>
    <mergeCell ref="J326:J327"/>
    <mergeCell ref="A338:A339"/>
    <mergeCell ref="B338:B339"/>
    <mergeCell ref="C338:C339"/>
    <mergeCell ref="D338:D339"/>
    <mergeCell ref="C334:C335"/>
    <mergeCell ref="D334:D335"/>
    <mergeCell ref="A336:A337"/>
    <mergeCell ref="B336:B337"/>
    <mergeCell ref="C336:C337"/>
    <mergeCell ref="D336:D337"/>
    <mergeCell ref="Y324:Y325"/>
    <mergeCell ref="K332:K333"/>
    <mergeCell ref="I330:I331"/>
    <mergeCell ref="E334:E335"/>
    <mergeCell ref="G330:G331"/>
    <mergeCell ref="F330:F331"/>
    <mergeCell ref="F334:F335"/>
    <mergeCell ref="G334:G335"/>
    <mergeCell ref="F332:F333"/>
    <mergeCell ref="N324:N325"/>
    <mergeCell ref="T326:T327"/>
    <mergeCell ref="Y330:Y331"/>
    <mergeCell ref="Z330:Z331"/>
    <mergeCell ref="E336:E337"/>
    <mergeCell ref="F336:F337"/>
    <mergeCell ref="AD324:AD325"/>
    <mergeCell ref="AC326:AC327"/>
    <mergeCell ref="V324:V325"/>
    <mergeCell ref="W324:W325"/>
    <mergeCell ref="X324:X325"/>
    <mergeCell ref="A330:A331"/>
    <mergeCell ref="B330:B331"/>
    <mergeCell ref="C330:C331"/>
    <mergeCell ref="V330:V331"/>
    <mergeCell ref="T330:T331"/>
    <mergeCell ref="U330:U331"/>
    <mergeCell ref="S330:S331"/>
    <mergeCell ref="D330:D331"/>
    <mergeCell ref="E330:E331"/>
    <mergeCell ref="O326:O327"/>
    <mergeCell ref="K326:K327"/>
    <mergeCell ref="L326:L327"/>
    <mergeCell ref="M326:M327"/>
    <mergeCell ref="N326:N327"/>
    <mergeCell ref="Z332:Z333"/>
    <mergeCell ref="S326:S327"/>
    <mergeCell ref="T332:T333"/>
    <mergeCell ref="Y326:Y327"/>
    <mergeCell ref="Z326:Z327"/>
    <mergeCell ref="P326:P327"/>
    <mergeCell ref="A332:A333"/>
    <mergeCell ref="B332:B333"/>
    <mergeCell ref="G324:G325"/>
    <mergeCell ref="I324:I325"/>
    <mergeCell ref="G332:G333"/>
    <mergeCell ref="L332:L333"/>
    <mergeCell ref="M332:M333"/>
    <mergeCell ref="N332:N333"/>
    <mergeCell ref="O332:O333"/>
    <mergeCell ref="E322:E323"/>
    <mergeCell ref="F322:F323"/>
    <mergeCell ref="G322:G323"/>
    <mergeCell ref="AA322:AA323"/>
    <mergeCell ref="T322:T323"/>
    <mergeCell ref="U322:U323"/>
    <mergeCell ref="V322:V323"/>
    <mergeCell ref="N322:N323"/>
    <mergeCell ref="O322:O323"/>
    <mergeCell ref="H322:H323"/>
    <mergeCell ref="P332:P333"/>
    <mergeCell ref="AA330:AA331"/>
    <mergeCell ref="S316:S317"/>
    <mergeCell ref="P330:P331"/>
    <mergeCell ref="Q330:Q331"/>
    <mergeCell ref="R330:R331"/>
    <mergeCell ref="R322:R323"/>
    <mergeCell ref="S322:S323"/>
    <mergeCell ref="P324:P325"/>
    <mergeCell ref="Q324:Q325"/>
    <mergeCell ref="A324:A325"/>
    <mergeCell ref="B324:B325"/>
    <mergeCell ref="C324:C325"/>
    <mergeCell ref="D324:D325"/>
    <mergeCell ref="D320:D321"/>
    <mergeCell ref="W320:W321"/>
    <mergeCell ref="P320:P321"/>
    <mergeCell ref="Q320:Q321"/>
    <mergeCell ref="F320:F321"/>
    <mergeCell ref="G320:G321"/>
    <mergeCell ref="P322:P323"/>
    <mergeCell ref="Q322:Q323"/>
    <mergeCell ref="AD322:AD323"/>
    <mergeCell ref="W322:W323"/>
    <mergeCell ref="X322:X323"/>
    <mergeCell ref="AC322:AC323"/>
    <mergeCell ref="Y322:Y323"/>
    <mergeCell ref="Z322:Z323"/>
    <mergeCell ref="T324:T325"/>
    <mergeCell ref="U324:U325"/>
    <mergeCell ref="E324:E325"/>
    <mergeCell ref="F324:F325"/>
    <mergeCell ref="R324:R325"/>
    <mergeCell ref="S324:S325"/>
    <mergeCell ref="K324:K325"/>
    <mergeCell ref="L324:L325"/>
    <mergeCell ref="M324:M325"/>
    <mergeCell ref="O324:O325"/>
    <mergeCell ref="AC324:AC325"/>
    <mergeCell ref="Z324:Z325"/>
    <mergeCell ref="AA324:AA325"/>
    <mergeCell ref="AC312:AC313"/>
    <mergeCell ref="AC320:AC321"/>
    <mergeCell ref="AB320:AB321"/>
    <mergeCell ref="AC316:AC317"/>
    <mergeCell ref="Z316:Z317"/>
    <mergeCell ref="AA316:AA317"/>
    <mergeCell ref="AB316:AB317"/>
    <mergeCell ref="E320:E321"/>
    <mergeCell ref="P318:P319"/>
    <mergeCell ref="Q318:Q319"/>
    <mergeCell ref="R318:R319"/>
    <mergeCell ref="J318:J319"/>
    <mergeCell ref="K318:K319"/>
    <mergeCell ref="L318:L319"/>
    <mergeCell ref="H320:H321"/>
    <mergeCell ref="I320:I321"/>
    <mergeCell ref="J320:J321"/>
    <mergeCell ref="I312:I313"/>
    <mergeCell ref="L310:L311"/>
    <mergeCell ref="X320:X321"/>
    <mergeCell ref="X316:X317"/>
    <mergeCell ref="N316:N317"/>
    <mergeCell ref="O316:O317"/>
    <mergeCell ref="J316:J317"/>
    <mergeCell ref="K316:K317"/>
    <mergeCell ref="L316:L317"/>
    <mergeCell ref="T316:T317"/>
    <mergeCell ref="U316:U317"/>
    <mergeCell ref="V316:V317"/>
    <mergeCell ref="W316:W317"/>
    <mergeCell ref="Q316:Q317"/>
    <mergeCell ref="R316:R317"/>
    <mergeCell ref="Y316:Y317"/>
    <mergeCell ref="AA312:AA313"/>
    <mergeCell ref="AB312:AB313"/>
    <mergeCell ref="I310:I311"/>
    <mergeCell ref="S318:S319"/>
    <mergeCell ref="T318:T319"/>
    <mergeCell ref="U318:U319"/>
    <mergeCell ref="K312:K313"/>
    <mergeCell ref="L312:L313"/>
    <mergeCell ref="M312:M313"/>
    <mergeCell ref="P316:P317"/>
    <mergeCell ref="F318:F319"/>
    <mergeCell ref="G318:G319"/>
    <mergeCell ref="N318:N319"/>
    <mergeCell ref="O318:O319"/>
    <mergeCell ref="H318:H319"/>
    <mergeCell ref="I318:I319"/>
    <mergeCell ref="M318:M319"/>
    <mergeCell ref="T320:T321"/>
    <mergeCell ref="U320:U321"/>
    <mergeCell ref="V320:V321"/>
    <mergeCell ref="AA320:AA321"/>
    <mergeCell ref="N320:N321"/>
    <mergeCell ref="O320:O321"/>
    <mergeCell ref="R320:R321"/>
    <mergeCell ref="H308:H309"/>
    <mergeCell ref="I308:I309"/>
    <mergeCell ref="J308:J309"/>
    <mergeCell ref="F306:F307"/>
    <mergeCell ref="Y306:Y307"/>
    <mergeCell ref="Z306:Z307"/>
    <mergeCell ref="Y308:Y309"/>
    <mergeCell ref="Z308:Z309"/>
    <mergeCell ref="A310:A311"/>
    <mergeCell ref="K320:K321"/>
    <mergeCell ref="L320:L321"/>
    <mergeCell ref="S320:S321"/>
    <mergeCell ref="N312:N313"/>
    <mergeCell ref="O312:O313"/>
    <mergeCell ref="G312:G313"/>
    <mergeCell ref="H312:H313"/>
    <mergeCell ref="H310:H311"/>
    <mergeCell ref="C315:D315"/>
    <mergeCell ref="AD316:AD317"/>
    <mergeCell ref="AD310:AD311"/>
    <mergeCell ref="A312:A313"/>
    <mergeCell ref="B312:B313"/>
    <mergeCell ref="C312:C313"/>
    <mergeCell ref="D312:D313"/>
    <mergeCell ref="E312:E313"/>
    <mergeCell ref="F312:F313"/>
    <mergeCell ref="Y312:Y313"/>
    <mergeCell ref="Z312:Z313"/>
    <mergeCell ref="U312:U313"/>
    <mergeCell ref="AC310:AC311"/>
    <mergeCell ref="N310:N311"/>
    <mergeCell ref="O310:O311"/>
    <mergeCell ref="P310:P311"/>
    <mergeCell ref="Q310:Q311"/>
    <mergeCell ref="T310:T311"/>
    <mergeCell ref="U310:U311"/>
    <mergeCell ref="AA310:AA311"/>
    <mergeCell ref="AB310:AB311"/>
    <mergeCell ref="T312:T313"/>
    <mergeCell ref="L308:L309"/>
    <mergeCell ref="M308:M309"/>
    <mergeCell ref="N308:N309"/>
    <mergeCell ref="O308:O309"/>
    <mergeCell ref="AD312:AD313"/>
    <mergeCell ref="P312:P313"/>
    <mergeCell ref="Q312:Q313"/>
    <mergeCell ref="R312:R313"/>
    <mergeCell ref="S312:S313"/>
    <mergeCell ref="M310:M311"/>
    <mergeCell ref="K308:K309"/>
    <mergeCell ref="W310:W311"/>
    <mergeCell ref="Z310:Z311"/>
    <mergeCell ref="I316:I317"/>
    <mergeCell ref="M316:M317"/>
    <mergeCell ref="J312:J313"/>
    <mergeCell ref="V312:V313"/>
    <mergeCell ref="W312:W313"/>
    <mergeCell ref="X312:X313"/>
    <mergeCell ref="AD302:AD303"/>
    <mergeCell ref="X302:X303"/>
    <mergeCell ref="AC302:AC303"/>
    <mergeCell ref="S302:S303"/>
    <mergeCell ref="AC308:AC309"/>
    <mergeCell ref="AD308:AD309"/>
    <mergeCell ref="T308:T309"/>
    <mergeCell ref="W308:W309"/>
    <mergeCell ref="G310:G311"/>
    <mergeCell ref="X310:X311"/>
    <mergeCell ref="X304:X305"/>
    <mergeCell ref="AB304:AB305"/>
    <mergeCell ref="AA306:AA307"/>
    <mergeCell ref="AB306:AB307"/>
    <mergeCell ref="Y304:Y305"/>
    <mergeCell ref="V310:V311"/>
    <mergeCell ref="J310:J311"/>
    <mergeCell ref="K310:K311"/>
    <mergeCell ref="P308:P309"/>
    <mergeCell ref="Q308:Q309"/>
    <mergeCell ref="AD306:AD307"/>
    <mergeCell ref="AA308:AA309"/>
    <mergeCell ref="AB308:AB309"/>
    <mergeCell ref="B310:B311"/>
    <mergeCell ref="C310:C311"/>
    <mergeCell ref="D310:D311"/>
    <mergeCell ref="E310:E311"/>
    <mergeCell ref="F310:F311"/>
    <mergeCell ref="AC306:AC307"/>
    <mergeCell ref="Y310:Y311"/>
    <mergeCell ref="V306:V307"/>
    <mergeCell ref="W306:W307"/>
    <mergeCell ref="X308:X309"/>
    <mergeCell ref="R308:R309"/>
    <mergeCell ref="S308:S309"/>
    <mergeCell ref="R310:R311"/>
    <mergeCell ref="S310:S311"/>
    <mergeCell ref="T306:T307"/>
    <mergeCell ref="U306:U307"/>
    <mergeCell ref="X306:X307"/>
    <mergeCell ref="P302:P303"/>
    <mergeCell ref="Q302:Q303"/>
    <mergeCell ref="R302:R303"/>
    <mergeCell ref="V302:V303"/>
    <mergeCell ref="W302:W303"/>
    <mergeCell ref="Z304:Z305"/>
    <mergeCell ref="Q304:Q305"/>
    <mergeCell ref="R304:R305"/>
    <mergeCell ref="S304:S305"/>
    <mergeCell ref="T304:T305"/>
    <mergeCell ref="U302:U303"/>
    <mergeCell ref="Y302:Y303"/>
    <mergeCell ref="Z302:Z303"/>
    <mergeCell ref="A308:A309"/>
    <mergeCell ref="B308:B309"/>
    <mergeCell ref="C308:C309"/>
    <mergeCell ref="D308:D309"/>
    <mergeCell ref="J302:J303"/>
    <mergeCell ref="L302:L303"/>
    <mergeCell ref="K302:K303"/>
    <mergeCell ref="J306:J307"/>
    <mergeCell ref="F308:F309"/>
    <mergeCell ref="G308:G309"/>
    <mergeCell ref="E308:E309"/>
    <mergeCell ref="P306:P307"/>
    <mergeCell ref="Q306:Q307"/>
    <mergeCell ref="R306:R307"/>
    <mergeCell ref="K306:K307"/>
    <mergeCell ref="L306:L307"/>
    <mergeCell ref="M306:M307"/>
    <mergeCell ref="N306:N307"/>
    <mergeCell ref="H306:H307"/>
    <mergeCell ref="O306:O307"/>
    <mergeCell ref="AD300:AD301"/>
    <mergeCell ref="A302:A303"/>
    <mergeCell ref="B302:B303"/>
    <mergeCell ref="C302:C303"/>
    <mergeCell ref="D302:D303"/>
    <mergeCell ref="E302:E303"/>
    <mergeCell ref="F302:F303"/>
    <mergeCell ref="J300:J301"/>
    <mergeCell ref="K300:K301"/>
    <mergeCell ref="M300:M301"/>
    <mergeCell ref="AC300:AC301"/>
    <mergeCell ref="A298:A299"/>
    <mergeCell ref="E300:E301"/>
    <mergeCell ref="F300:F301"/>
    <mergeCell ref="G300:G301"/>
    <mergeCell ref="H300:H301"/>
    <mergeCell ref="A300:A301"/>
    <mergeCell ref="B300:B301"/>
    <mergeCell ref="C300:C301"/>
    <mergeCell ref="D300:D301"/>
    <mergeCell ref="G302:G303"/>
    <mergeCell ref="H302:H303"/>
    <mergeCell ref="O300:O301"/>
    <mergeCell ref="X300:X301"/>
    <mergeCell ref="T302:T303"/>
    <mergeCell ref="N302:N303"/>
    <mergeCell ref="O302:O303"/>
    <mergeCell ref="I302:I303"/>
    <mergeCell ref="I300:I301"/>
    <mergeCell ref="W300:W301"/>
    <mergeCell ref="P300:P301"/>
    <mergeCell ref="L300:L301"/>
    <mergeCell ref="M302:M303"/>
    <mergeCell ref="AD298:AD299"/>
    <mergeCell ref="AD292:AD293"/>
    <mergeCell ref="AC292:AC293"/>
    <mergeCell ref="Y292:Y293"/>
    <mergeCell ref="Z292:Z293"/>
    <mergeCell ref="AA292:AA293"/>
    <mergeCell ref="AB292:AB293"/>
    <mergeCell ref="AA294:AA295"/>
    <mergeCell ref="AD294:AD295"/>
    <mergeCell ref="Y298:Y299"/>
    <mergeCell ref="W294:W295"/>
    <mergeCell ref="X294:X295"/>
    <mergeCell ref="AC294:AC295"/>
    <mergeCell ref="AB294:AB295"/>
    <mergeCell ref="Y294:Y295"/>
    <mergeCell ref="Z294:Z295"/>
    <mergeCell ref="L298:L299"/>
    <mergeCell ref="G294:G295"/>
    <mergeCell ref="H294:H295"/>
    <mergeCell ref="I294:I295"/>
    <mergeCell ref="J294:J295"/>
    <mergeCell ref="G298:G299"/>
    <mergeCell ref="I298:I299"/>
    <mergeCell ref="J298:J299"/>
    <mergeCell ref="K298:K299"/>
    <mergeCell ref="AC298:AC299"/>
    <mergeCell ref="N298:N299"/>
    <mergeCell ref="O298:O299"/>
    <mergeCell ref="P298:P299"/>
    <mergeCell ref="Q298:Q299"/>
    <mergeCell ref="R298:R299"/>
    <mergeCell ref="AA298:AA299"/>
    <mergeCell ref="M298:M299"/>
    <mergeCell ref="N300:N301"/>
    <mergeCell ref="S300:S301"/>
    <mergeCell ref="T300:T301"/>
    <mergeCell ref="Q300:Q301"/>
    <mergeCell ref="R300:R301"/>
    <mergeCell ref="S298:S299"/>
    <mergeCell ref="T298:T299"/>
    <mergeCell ref="AA300:AA301"/>
    <mergeCell ref="U298:U299"/>
    <mergeCell ref="V298:V299"/>
    <mergeCell ref="Z298:Z299"/>
    <mergeCell ref="W298:W299"/>
    <mergeCell ref="X298:X299"/>
    <mergeCell ref="U300:U301"/>
    <mergeCell ref="V300:V301"/>
    <mergeCell ref="Q292:Q293"/>
    <mergeCell ref="R292:R293"/>
    <mergeCell ref="J292:J293"/>
    <mergeCell ref="K292:K293"/>
    <mergeCell ref="L292:L293"/>
    <mergeCell ref="L294:L295"/>
    <mergeCell ref="K294:K295"/>
    <mergeCell ref="M294:M295"/>
    <mergeCell ref="B298:B299"/>
    <mergeCell ref="C298:C299"/>
    <mergeCell ref="D298:D299"/>
    <mergeCell ref="E298:E299"/>
    <mergeCell ref="E294:E295"/>
    <mergeCell ref="F294:F295"/>
    <mergeCell ref="C297:D297"/>
    <mergeCell ref="U294:U295"/>
    <mergeCell ref="V294:V295"/>
    <mergeCell ref="N294:N295"/>
    <mergeCell ref="O294:O295"/>
    <mergeCell ref="P294:P295"/>
    <mergeCell ref="R294:R295"/>
    <mergeCell ref="T294:T295"/>
    <mergeCell ref="S294:S295"/>
    <mergeCell ref="Q294:Q295"/>
    <mergeCell ref="F298:F299"/>
    <mergeCell ref="U292:U293"/>
    <mergeCell ref="AB290:AB291"/>
    <mergeCell ref="V290:V291"/>
    <mergeCell ref="W290:W291"/>
    <mergeCell ref="X290:X291"/>
    <mergeCell ref="S290:S291"/>
    <mergeCell ref="M290:M291"/>
    <mergeCell ref="Y290:Y291"/>
    <mergeCell ref="Z290:Z291"/>
    <mergeCell ref="E290:E291"/>
    <mergeCell ref="F290:F291"/>
    <mergeCell ref="A294:A295"/>
    <mergeCell ref="B294:B295"/>
    <mergeCell ref="C294:C295"/>
    <mergeCell ref="D294:D295"/>
    <mergeCell ref="A290:A291"/>
    <mergeCell ref="M292:M293"/>
    <mergeCell ref="N292:N293"/>
    <mergeCell ref="O292:O293"/>
    <mergeCell ref="P292:P293"/>
    <mergeCell ref="G290:G291"/>
    <mergeCell ref="H290:H291"/>
    <mergeCell ref="I290:I291"/>
    <mergeCell ref="J290:J291"/>
    <mergeCell ref="V292:V293"/>
    <mergeCell ref="B290:B291"/>
    <mergeCell ref="C290:C291"/>
    <mergeCell ref="D290:D291"/>
    <mergeCell ref="K290:K291"/>
    <mergeCell ref="I292:I293"/>
    <mergeCell ref="T290:T291"/>
    <mergeCell ref="U290:U291"/>
    <mergeCell ref="S292:S293"/>
    <mergeCell ref="T292:T293"/>
    <mergeCell ref="Q290:Q291"/>
    <mergeCell ref="R290:R291"/>
    <mergeCell ref="Q288:Q289"/>
    <mergeCell ref="R288:R289"/>
    <mergeCell ref="J288:J289"/>
    <mergeCell ref="K288:K289"/>
    <mergeCell ref="L288:L289"/>
    <mergeCell ref="L290:L291"/>
    <mergeCell ref="M288:M289"/>
    <mergeCell ref="N288:N289"/>
    <mergeCell ref="N290:N291"/>
    <mergeCell ref="O290:O291"/>
    <mergeCell ref="P290:P291"/>
    <mergeCell ref="AD290:AD291"/>
    <mergeCell ref="A292:A293"/>
    <mergeCell ref="B292:B293"/>
    <mergeCell ref="C292:C293"/>
    <mergeCell ref="D292:D293"/>
    <mergeCell ref="E292:E293"/>
    <mergeCell ref="F292:F293"/>
    <mergeCell ref="G292:G293"/>
    <mergeCell ref="AC290:AC291"/>
    <mergeCell ref="H292:H293"/>
    <mergeCell ref="AA290:AA291"/>
    <mergeCell ref="G284:G285"/>
    <mergeCell ref="H284:H285"/>
    <mergeCell ref="S286:S287"/>
    <mergeCell ref="J286:J287"/>
    <mergeCell ref="I288:I289"/>
    <mergeCell ref="T286:T287"/>
    <mergeCell ref="U286:U287"/>
    <mergeCell ref="N286:N287"/>
    <mergeCell ref="O286:O287"/>
    <mergeCell ref="AA286:AA287"/>
    <mergeCell ref="AB286:AB287"/>
    <mergeCell ref="E288:E289"/>
    <mergeCell ref="F288:F289"/>
    <mergeCell ref="G288:G289"/>
    <mergeCell ref="H288:H289"/>
    <mergeCell ref="S288:S289"/>
    <mergeCell ref="P286:P287"/>
    <mergeCell ref="F286:F287"/>
    <mergeCell ref="L286:L287"/>
    <mergeCell ref="Y286:Y287"/>
    <mergeCell ref="K286:K287"/>
    <mergeCell ref="M286:M287"/>
    <mergeCell ref="Q286:Q287"/>
    <mergeCell ref="R286:R287"/>
    <mergeCell ref="A282:A283"/>
    <mergeCell ref="B282:B283"/>
    <mergeCell ref="X288:X289"/>
    <mergeCell ref="G286:G287"/>
    <mergeCell ref="H286:H287"/>
    <mergeCell ref="I286:I287"/>
    <mergeCell ref="R284:R285"/>
    <mergeCell ref="S284:S285"/>
    <mergeCell ref="T284:T285"/>
    <mergeCell ref="J284:J285"/>
    <mergeCell ref="A286:A287"/>
    <mergeCell ref="B286:B287"/>
    <mergeCell ref="C286:C287"/>
    <mergeCell ref="D286:D287"/>
    <mergeCell ref="E286:E287"/>
    <mergeCell ref="AA288:AA289"/>
    <mergeCell ref="T288:T289"/>
    <mergeCell ref="U288:U289"/>
    <mergeCell ref="V288:V289"/>
    <mergeCell ref="O288:O289"/>
    <mergeCell ref="V286:V287"/>
    <mergeCell ref="W286:W287"/>
    <mergeCell ref="X286:X287"/>
    <mergeCell ref="W288:W289"/>
    <mergeCell ref="AC288:AC289"/>
    <mergeCell ref="AD288:AD289"/>
    <mergeCell ref="AB288:AB289"/>
    <mergeCell ref="AD286:AD287"/>
    <mergeCell ref="AC286:AC287"/>
    <mergeCell ref="Z286:Z287"/>
    <mergeCell ref="A288:A289"/>
    <mergeCell ref="B288:B289"/>
    <mergeCell ref="C288:C289"/>
    <mergeCell ref="D288:D289"/>
    <mergeCell ref="Y288:Y289"/>
    <mergeCell ref="Z288:Z289"/>
    <mergeCell ref="P288:P289"/>
    <mergeCell ref="P284:P285"/>
    <mergeCell ref="L284:L285"/>
    <mergeCell ref="AD284:AD285"/>
    <mergeCell ref="AA284:AA285"/>
    <mergeCell ref="AC284:AC285"/>
    <mergeCell ref="Y284:Y285"/>
    <mergeCell ref="U284:U285"/>
    <mergeCell ref="V284:V285"/>
    <mergeCell ref="Z284:Z285"/>
    <mergeCell ref="AB284:AB285"/>
    <mergeCell ref="AC278:AC279"/>
    <mergeCell ref="N278:N279"/>
    <mergeCell ref="O278:O279"/>
    <mergeCell ref="P278:P279"/>
    <mergeCell ref="Q278:Q279"/>
    <mergeCell ref="X278:X279"/>
    <mergeCell ref="AA282:AA283"/>
    <mergeCell ref="T282:T283"/>
    <mergeCell ref="U282:U283"/>
    <mergeCell ref="V282:V283"/>
    <mergeCell ref="Z282:Z283"/>
    <mergeCell ref="Y282:Y283"/>
    <mergeCell ref="W282:W283"/>
    <mergeCell ref="X282:X283"/>
    <mergeCell ref="AD282:AD283"/>
    <mergeCell ref="A284:A285"/>
    <mergeCell ref="B284:B285"/>
    <mergeCell ref="C284:C285"/>
    <mergeCell ref="D284:D285"/>
    <mergeCell ref="E284:E285"/>
    <mergeCell ref="F284:F285"/>
    <mergeCell ref="N282:N283"/>
    <mergeCell ref="O282:O283"/>
    <mergeCell ref="P282:P283"/>
    <mergeCell ref="A278:A279"/>
    <mergeCell ref="B278:B279"/>
    <mergeCell ref="C278:C279"/>
    <mergeCell ref="D278:D279"/>
    <mergeCell ref="Q282:Q283"/>
    <mergeCell ref="R282:R283"/>
    <mergeCell ref="G282:G283"/>
    <mergeCell ref="I282:I283"/>
    <mergeCell ref="J282:J283"/>
    <mergeCell ref="K282:K283"/>
    <mergeCell ref="X274:X275"/>
    <mergeCell ref="AC274:AC275"/>
    <mergeCell ref="AA276:AA277"/>
    <mergeCell ref="AB276:AB277"/>
    <mergeCell ref="X276:X277"/>
    <mergeCell ref="AC276:AC277"/>
    <mergeCell ref="O284:O285"/>
    <mergeCell ref="R278:R279"/>
    <mergeCell ref="S278:S279"/>
    <mergeCell ref="M282:M283"/>
    <mergeCell ref="I284:I285"/>
    <mergeCell ref="C282:C283"/>
    <mergeCell ref="D282:D283"/>
    <mergeCell ref="E282:E283"/>
    <mergeCell ref="F282:F283"/>
    <mergeCell ref="S282:S283"/>
    <mergeCell ref="AB282:AB283"/>
    <mergeCell ref="Q284:Q285"/>
    <mergeCell ref="H278:H279"/>
    <mergeCell ref="I278:I279"/>
    <mergeCell ref="J278:J279"/>
    <mergeCell ref="M278:M279"/>
    <mergeCell ref="K278:K279"/>
    <mergeCell ref="K284:K285"/>
    <mergeCell ref="M284:M285"/>
    <mergeCell ref="N284:N285"/>
    <mergeCell ref="X272:X273"/>
    <mergeCell ref="AC272:AC273"/>
    <mergeCell ref="N272:N273"/>
    <mergeCell ref="O272:O273"/>
    <mergeCell ref="P272:P273"/>
    <mergeCell ref="T272:T273"/>
    <mergeCell ref="V272:V273"/>
    <mergeCell ref="W272:W273"/>
    <mergeCell ref="Z272:Z273"/>
    <mergeCell ref="C281:D281"/>
    <mergeCell ref="L282:L283"/>
    <mergeCell ref="G278:G279"/>
    <mergeCell ref="E278:E279"/>
    <mergeCell ref="F278:F279"/>
    <mergeCell ref="E272:E273"/>
    <mergeCell ref="F272:F273"/>
    <mergeCell ref="G272:G273"/>
    <mergeCell ref="K272:K273"/>
    <mergeCell ref="Q276:Q277"/>
    <mergeCell ref="R276:R277"/>
    <mergeCell ref="Z278:Z279"/>
    <mergeCell ref="J276:J277"/>
    <mergeCell ref="K276:K277"/>
    <mergeCell ref="M276:M277"/>
    <mergeCell ref="N276:N277"/>
    <mergeCell ref="AC282:AC283"/>
    <mergeCell ref="O276:O277"/>
    <mergeCell ref="P276:P277"/>
    <mergeCell ref="W274:W275"/>
    <mergeCell ref="T276:T277"/>
    <mergeCell ref="U276:U277"/>
    <mergeCell ref="W276:W277"/>
    <mergeCell ref="S276:S277"/>
    <mergeCell ref="S274:S275"/>
    <mergeCell ref="T274:T275"/>
    <mergeCell ref="M272:M273"/>
    <mergeCell ref="S272:S273"/>
    <mergeCell ref="U272:U273"/>
    <mergeCell ref="AD278:AD279"/>
    <mergeCell ref="T278:T279"/>
    <mergeCell ref="U278:U279"/>
    <mergeCell ref="V278:V279"/>
    <mergeCell ref="W278:W279"/>
    <mergeCell ref="AD276:AD277"/>
    <mergeCell ref="V276:V277"/>
    <mergeCell ref="I270:I271"/>
    <mergeCell ref="J270:J271"/>
    <mergeCell ref="K270:K271"/>
    <mergeCell ref="J274:J275"/>
    <mergeCell ref="K274:K275"/>
    <mergeCell ref="A270:A271"/>
    <mergeCell ref="B270:B271"/>
    <mergeCell ref="C270:C271"/>
    <mergeCell ref="D270:D271"/>
    <mergeCell ref="J272:J273"/>
    <mergeCell ref="E270:E271"/>
    <mergeCell ref="E276:E277"/>
    <mergeCell ref="B274:B275"/>
    <mergeCell ref="C274:C275"/>
    <mergeCell ref="D274:D275"/>
    <mergeCell ref="E274:E275"/>
    <mergeCell ref="I276:I277"/>
    <mergeCell ref="I272:I273"/>
    <mergeCell ref="F274:F275"/>
    <mergeCell ref="G274:G275"/>
    <mergeCell ref="H274:H275"/>
    <mergeCell ref="I274:I275"/>
    <mergeCell ref="H276:H277"/>
    <mergeCell ref="A272:A273"/>
    <mergeCell ref="B272:B273"/>
    <mergeCell ref="C272:C273"/>
    <mergeCell ref="D272:D273"/>
    <mergeCell ref="F276:F277"/>
    <mergeCell ref="G276:G277"/>
    <mergeCell ref="B276:B277"/>
    <mergeCell ref="C276:C277"/>
    <mergeCell ref="D276:D277"/>
    <mergeCell ref="A276:A277"/>
    <mergeCell ref="A274:A275"/>
    <mergeCell ref="H272:H273"/>
    <mergeCell ref="Q270:Q271"/>
    <mergeCell ref="R270:R271"/>
    <mergeCell ref="F270:F271"/>
    <mergeCell ref="G270:G271"/>
    <mergeCell ref="H270:H271"/>
    <mergeCell ref="O274:O275"/>
    <mergeCell ref="P274:P275"/>
    <mergeCell ref="Q274:Q275"/>
    <mergeCell ref="V270:V271"/>
    <mergeCell ref="W270:W271"/>
    <mergeCell ref="M270:M271"/>
    <mergeCell ref="N270:N271"/>
    <mergeCell ref="O270:O271"/>
    <mergeCell ref="P270:P271"/>
    <mergeCell ref="S270:S271"/>
    <mergeCell ref="T270:T271"/>
    <mergeCell ref="U270:U271"/>
    <mergeCell ref="R274:R275"/>
    <mergeCell ref="X270:X271"/>
    <mergeCell ref="AD266:AD267"/>
    <mergeCell ref="W266:W267"/>
    <mergeCell ref="X266:X267"/>
    <mergeCell ref="AC266:AC267"/>
    <mergeCell ref="AC270:AC271"/>
    <mergeCell ref="AD270:AD271"/>
    <mergeCell ref="R266:R267"/>
    <mergeCell ref="S266:S267"/>
    <mergeCell ref="I268:I269"/>
    <mergeCell ref="E266:E267"/>
    <mergeCell ref="F266:F267"/>
    <mergeCell ref="A268:A269"/>
    <mergeCell ref="B268:B269"/>
    <mergeCell ref="C268:C269"/>
    <mergeCell ref="D268:D269"/>
    <mergeCell ref="O266:O267"/>
    <mergeCell ref="P266:P267"/>
    <mergeCell ref="Q266:Q267"/>
    <mergeCell ref="M266:M267"/>
    <mergeCell ref="E268:E269"/>
    <mergeCell ref="F268:F269"/>
    <mergeCell ref="G268:G269"/>
    <mergeCell ref="H268:H269"/>
    <mergeCell ref="H266:H267"/>
    <mergeCell ref="G266:G267"/>
    <mergeCell ref="T266:T267"/>
    <mergeCell ref="AC264:AC265"/>
    <mergeCell ref="AD264:AD265"/>
    <mergeCell ref="W264:W265"/>
    <mergeCell ref="Y266:Y267"/>
    <mergeCell ref="Z266:Z267"/>
    <mergeCell ref="Z264:Z265"/>
    <mergeCell ref="AB268:AB269"/>
    <mergeCell ref="Y268:Y269"/>
    <mergeCell ref="Z268:Z269"/>
    <mergeCell ref="J266:J267"/>
    <mergeCell ref="K266:K267"/>
    <mergeCell ref="P268:P269"/>
    <mergeCell ref="J268:J269"/>
    <mergeCell ref="K268:K269"/>
    <mergeCell ref="M268:M269"/>
    <mergeCell ref="N268:N269"/>
    <mergeCell ref="U266:U267"/>
    <mergeCell ref="V266:V267"/>
    <mergeCell ref="M264:M265"/>
    <mergeCell ref="I266:I267"/>
    <mergeCell ref="U268:U269"/>
    <mergeCell ref="AD268:AD269"/>
    <mergeCell ref="V268:V269"/>
    <mergeCell ref="W268:W269"/>
    <mergeCell ref="X268:X269"/>
    <mergeCell ref="AC268:AC269"/>
    <mergeCell ref="R262:R263"/>
    <mergeCell ref="S268:S269"/>
    <mergeCell ref="Q268:Q269"/>
    <mergeCell ref="H262:H263"/>
    <mergeCell ref="O268:O269"/>
    <mergeCell ref="R268:R269"/>
    <mergeCell ref="J262:J263"/>
    <mergeCell ref="P262:P263"/>
    <mergeCell ref="Q262:Q263"/>
    <mergeCell ref="N266:N267"/>
    <mergeCell ref="T268:T269"/>
    <mergeCell ref="S262:S263"/>
    <mergeCell ref="T262:T263"/>
    <mergeCell ref="U262:U263"/>
    <mergeCell ref="V262:V263"/>
    <mergeCell ref="R264:R265"/>
    <mergeCell ref="S264:S265"/>
    <mergeCell ref="T264:T265"/>
    <mergeCell ref="U264:U265"/>
    <mergeCell ref="V264:V265"/>
    <mergeCell ref="A266:A267"/>
    <mergeCell ref="B266:B267"/>
    <mergeCell ref="C266:C267"/>
    <mergeCell ref="D266:D267"/>
    <mergeCell ref="A264:A265"/>
    <mergeCell ref="B264:B265"/>
    <mergeCell ref="C264:C265"/>
    <mergeCell ref="Y264:Y265"/>
    <mergeCell ref="H260:H261"/>
    <mergeCell ref="Q260:Q261"/>
    <mergeCell ref="R260:R261"/>
    <mergeCell ref="S260:S261"/>
    <mergeCell ref="W260:W261"/>
    <mergeCell ref="N260:N261"/>
    <mergeCell ref="O260:O261"/>
    <mergeCell ref="X264:X265"/>
    <mergeCell ref="P264:P265"/>
    <mergeCell ref="I264:I265"/>
    <mergeCell ref="E264:E265"/>
    <mergeCell ref="P260:P261"/>
    <mergeCell ref="N258:N259"/>
    <mergeCell ref="O258:O259"/>
    <mergeCell ref="P258:P259"/>
    <mergeCell ref="K258:K259"/>
    <mergeCell ref="F258:F259"/>
    <mergeCell ref="J260:J261"/>
    <mergeCell ref="K260:K261"/>
    <mergeCell ref="T258:T259"/>
    <mergeCell ref="Q258:Q259"/>
    <mergeCell ref="D264:D265"/>
    <mergeCell ref="J264:J265"/>
    <mergeCell ref="K264:K265"/>
    <mergeCell ref="F264:F265"/>
    <mergeCell ref="G264:G265"/>
    <mergeCell ref="H264:H265"/>
    <mergeCell ref="A262:A263"/>
    <mergeCell ref="B262:B263"/>
    <mergeCell ref="I258:I259"/>
    <mergeCell ref="J258:J259"/>
    <mergeCell ref="N264:N265"/>
    <mergeCell ref="O264:O265"/>
    <mergeCell ref="M262:M263"/>
    <mergeCell ref="N262:N263"/>
    <mergeCell ref="O262:O263"/>
    <mergeCell ref="I260:I261"/>
    <mergeCell ref="U258:U259"/>
    <mergeCell ref="V258:V259"/>
    <mergeCell ref="W258:W259"/>
    <mergeCell ref="AD258:AD259"/>
    <mergeCell ref="M258:M259"/>
    <mergeCell ref="F262:F263"/>
    <mergeCell ref="G262:G263"/>
    <mergeCell ref="AD260:AD261"/>
    <mergeCell ref="T260:T261"/>
    <mergeCell ref="U260:U261"/>
    <mergeCell ref="C262:C263"/>
    <mergeCell ref="D262:D263"/>
    <mergeCell ref="E262:E263"/>
    <mergeCell ref="K262:K263"/>
    <mergeCell ref="I262:I263"/>
    <mergeCell ref="AD256:AD257"/>
    <mergeCell ref="Z260:Z261"/>
    <mergeCell ref="G260:G261"/>
    <mergeCell ref="R258:R259"/>
    <mergeCell ref="S258:S259"/>
    <mergeCell ref="D256:D257"/>
    <mergeCell ref="G258:G259"/>
    <mergeCell ref="H258:H259"/>
    <mergeCell ref="E256:E257"/>
    <mergeCell ref="F256:F257"/>
    <mergeCell ref="G256:G257"/>
    <mergeCell ref="H256:H257"/>
    <mergeCell ref="D258:D259"/>
    <mergeCell ref="E258:E259"/>
    <mergeCell ref="B260:B261"/>
    <mergeCell ref="C260:C261"/>
    <mergeCell ref="A256:A257"/>
    <mergeCell ref="B256:B257"/>
    <mergeCell ref="C256:C257"/>
    <mergeCell ref="C258:C259"/>
    <mergeCell ref="A258:A259"/>
    <mergeCell ref="B258:B259"/>
    <mergeCell ref="D260:D261"/>
    <mergeCell ref="E260:E261"/>
    <mergeCell ref="F260:F261"/>
    <mergeCell ref="E254:E255"/>
    <mergeCell ref="F254:F255"/>
    <mergeCell ref="A254:A255"/>
    <mergeCell ref="B254:B255"/>
    <mergeCell ref="C254:C255"/>
    <mergeCell ref="D254:D255"/>
    <mergeCell ref="A260:A261"/>
    <mergeCell ref="G254:G255"/>
    <mergeCell ref="H254:H255"/>
    <mergeCell ref="I256:I257"/>
    <mergeCell ref="T254:T255"/>
    <mergeCell ref="P256:P257"/>
    <mergeCell ref="J256:J257"/>
    <mergeCell ref="K256:K257"/>
    <mergeCell ref="J254:J255"/>
    <mergeCell ref="K254:K255"/>
    <mergeCell ref="M254:M255"/>
    <mergeCell ref="R250:R251"/>
    <mergeCell ref="AC256:AC257"/>
    <mergeCell ref="AA256:AA257"/>
    <mergeCell ref="AB256:AB257"/>
    <mergeCell ref="Y256:Y257"/>
    <mergeCell ref="Z256:Z257"/>
    <mergeCell ref="U254:U255"/>
    <mergeCell ref="V254:V255"/>
    <mergeCell ref="V256:V257"/>
    <mergeCell ref="S256:S257"/>
    <mergeCell ref="Q246:Q247"/>
    <mergeCell ref="Y252:Y253"/>
    <mergeCell ref="O254:O255"/>
    <mergeCell ref="P254:P255"/>
    <mergeCell ref="Z254:Z255"/>
    <mergeCell ref="V250:V251"/>
    <mergeCell ref="Q250:Q251"/>
    <mergeCell ref="U252:U253"/>
    <mergeCell ref="Y250:Y251"/>
    <mergeCell ref="Z250:Z251"/>
    <mergeCell ref="AD254:AD255"/>
    <mergeCell ref="O252:O253"/>
    <mergeCell ref="P252:P253"/>
    <mergeCell ref="Q252:Q253"/>
    <mergeCell ref="Q254:Q255"/>
    <mergeCell ref="R254:R255"/>
    <mergeCell ref="R256:R257"/>
    <mergeCell ref="T256:T257"/>
    <mergeCell ref="M256:M257"/>
    <mergeCell ref="N256:N257"/>
    <mergeCell ref="O256:O257"/>
    <mergeCell ref="W256:W257"/>
    <mergeCell ref="U256:U257"/>
    <mergeCell ref="Q256:Q257"/>
    <mergeCell ref="K252:K253"/>
    <mergeCell ref="M252:M253"/>
    <mergeCell ref="N252:N253"/>
    <mergeCell ref="X256:X257"/>
    <mergeCell ref="S254:S255"/>
    <mergeCell ref="AC254:AC255"/>
    <mergeCell ref="N254:N255"/>
    <mergeCell ref="AB254:AB255"/>
    <mergeCell ref="W254:W255"/>
    <mergeCell ref="X254:X255"/>
    <mergeCell ref="I254:I255"/>
    <mergeCell ref="X258:X259"/>
    <mergeCell ref="Y258:Y259"/>
    <mergeCell ref="Z258:Z259"/>
    <mergeCell ref="D250:D251"/>
    <mergeCell ref="O250:O251"/>
    <mergeCell ref="F252:F253"/>
    <mergeCell ref="G252:G253"/>
    <mergeCell ref="H252:H253"/>
    <mergeCell ref="I252:I253"/>
    <mergeCell ref="F246:F247"/>
    <mergeCell ref="G246:G247"/>
    <mergeCell ref="K250:K251"/>
    <mergeCell ref="P250:P251"/>
    <mergeCell ref="J250:J251"/>
    <mergeCell ref="M250:M251"/>
    <mergeCell ref="P246:P247"/>
    <mergeCell ref="N250:N251"/>
    <mergeCell ref="A252:A253"/>
    <mergeCell ref="B252:B253"/>
    <mergeCell ref="C252:C253"/>
    <mergeCell ref="D252:D253"/>
    <mergeCell ref="E252:E253"/>
    <mergeCell ref="Z252:Z253"/>
    <mergeCell ref="V252:V253"/>
    <mergeCell ref="X252:X253"/>
    <mergeCell ref="W252:W253"/>
    <mergeCell ref="J252:J253"/>
    <mergeCell ref="A244:A245"/>
    <mergeCell ref="B244:B245"/>
    <mergeCell ref="C244:C245"/>
    <mergeCell ref="D244:D245"/>
    <mergeCell ref="P244:P245"/>
    <mergeCell ref="S244:S245"/>
    <mergeCell ref="AC252:AC253"/>
    <mergeCell ref="AD252:AD253"/>
    <mergeCell ref="AA252:AA253"/>
    <mergeCell ref="AB252:AB253"/>
    <mergeCell ref="E244:E245"/>
    <mergeCell ref="M244:M245"/>
    <mergeCell ref="N244:N245"/>
    <mergeCell ref="O244:O245"/>
    <mergeCell ref="AD250:AD251"/>
    <mergeCell ref="S250:S251"/>
    <mergeCell ref="R252:R253"/>
    <mergeCell ref="S252:S253"/>
    <mergeCell ref="T252:T253"/>
    <mergeCell ref="A250:A251"/>
    <mergeCell ref="B250:B251"/>
    <mergeCell ref="C250:C251"/>
    <mergeCell ref="E250:E251"/>
    <mergeCell ref="F250:F251"/>
    <mergeCell ref="G250:G251"/>
    <mergeCell ref="I250:I251"/>
    <mergeCell ref="AC250:AC251"/>
    <mergeCell ref="W250:W251"/>
    <mergeCell ref="A246:A247"/>
    <mergeCell ref="B246:B247"/>
    <mergeCell ref="D246:D247"/>
    <mergeCell ref="E246:E247"/>
    <mergeCell ref="AB246:AB247"/>
    <mergeCell ref="AB250:AB251"/>
    <mergeCell ref="N246:N247"/>
    <mergeCell ref="O246:O247"/>
    <mergeCell ref="AD244:AD245"/>
    <mergeCell ref="T242:T243"/>
    <mergeCell ref="F242:F243"/>
    <mergeCell ref="G242:G243"/>
    <mergeCell ref="H242:H243"/>
    <mergeCell ref="I242:I243"/>
    <mergeCell ref="X242:X243"/>
    <mergeCell ref="AC242:AC243"/>
    <mergeCell ref="V242:V243"/>
    <mergeCell ref="Y242:Y243"/>
    <mergeCell ref="R246:R247"/>
    <mergeCell ref="N242:N243"/>
    <mergeCell ref="O242:O243"/>
    <mergeCell ref="Y244:Y245"/>
    <mergeCell ref="Z244:Z245"/>
    <mergeCell ref="Y246:Y247"/>
    <mergeCell ref="Z246:Z247"/>
    <mergeCell ref="V244:V245"/>
    <mergeCell ref="V246:V247"/>
    <mergeCell ref="S246:S247"/>
    <mergeCell ref="K242:K243"/>
    <mergeCell ref="L242:L243"/>
    <mergeCell ref="J244:J245"/>
    <mergeCell ref="K244:K245"/>
    <mergeCell ref="Z242:Z243"/>
    <mergeCell ref="U242:U243"/>
    <mergeCell ref="O240:O241"/>
    <mergeCell ref="AD238:AD239"/>
    <mergeCell ref="O238:O239"/>
    <mergeCell ref="P238:P239"/>
    <mergeCell ref="Q238:Q239"/>
    <mergeCell ref="R238:R239"/>
    <mergeCell ref="S238:S239"/>
    <mergeCell ref="AC238:AC239"/>
    <mergeCell ref="W238:W239"/>
    <mergeCell ref="X238:X239"/>
    <mergeCell ref="B242:B243"/>
    <mergeCell ref="AD240:AD241"/>
    <mergeCell ref="A238:A239"/>
    <mergeCell ref="B238:B239"/>
    <mergeCell ref="C238:C239"/>
    <mergeCell ref="D238:D239"/>
    <mergeCell ref="E238:E239"/>
    <mergeCell ref="T240:T241"/>
    <mergeCell ref="U240:U241"/>
    <mergeCell ref="AA240:AA241"/>
    <mergeCell ref="I240:I241"/>
    <mergeCell ref="AD242:AD243"/>
    <mergeCell ref="Q242:Q243"/>
    <mergeCell ref="W242:W243"/>
    <mergeCell ref="A240:A241"/>
    <mergeCell ref="B240:B241"/>
    <mergeCell ref="C240:C241"/>
    <mergeCell ref="D240:D241"/>
    <mergeCell ref="R242:R243"/>
    <mergeCell ref="A242:A243"/>
    <mergeCell ref="L236:L237"/>
    <mergeCell ref="N240:N241"/>
    <mergeCell ref="C242:C243"/>
    <mergeCell ref="D242:D243"/>
    <mergeCell ref="E242:E243"/>
    <mergeCell ref="I238:I239"/>
    <mergeCell ref="G240:G241"/>
    <mergeCell ref="F240:F241"/>
    <mergeCell ref="E240:E241"/>
    <mergeCell ref="H240:H241"/>
    <mergeCell ref="M240:M241"/>
    <mergeCell ref="L240:L241"/>
    <mergeCell ref="Y236:Y237"/>
    <mergeCell ref="H236:H237"/>
    <mergeCell ref="I236:I237"/>
    <mergeCell ref="AC240:AC241"/>
    <mergeCell ref="Y240:Y241"/>
    <mergeCell ref="AB240:AB241"/>
    <mergeCell ref="Y238:Y239"/>
    <mergeCell ref="Z238:Z239"/>
    <mergeCell ref="X240:X241"/>
    <mergeCell ref="S240:S241"/>
    <mergeCell ref="L238:L239"/>
    <mergeCell ref="J238:J239"/>
    <mergeCell ref="K238:K239"/>
    <mergeCell ref="T238:T239"/>
    <mergeCell ref="M238:M239"/>
    <mergeCell ref="N238:N239"/>
    <mergeCell ref="J240:J241"/>
    <mergeCell ref="K240:K241"/>
    <mergeCell ref="M232:M233"/>
    <mergeCell ref="M236:M237"/>
    <mergeCell ref="N236:N237"/>
    <mergeCell ref="V236:V237"/>
    <mergeCell ref="W236:W237"/>
    <mergeCell ref="Z236:Z237"/>
    <mergeCell ref="S236:S237"/>
    <mergeCell ref="X236:X237"/>
    <mergeCell ref="I232:I233"/>
    <mergeCell ref="A236:A237"/>
    <mergeCell ref="B236:B237"/>
    <mergeCell ref="U232:U233"/>
    <mergeCell ref="R232:R233"/>
    <mergeCell ref="S232:S233"/>
    <mergeCell ref="T232:T233"/>
    <mergeCell ref="J232:J233"/>
    <mergeCell ref="K232:K233"/>
    <mergeCell ref="L232:L233"/>
    <mergeCell ref="C236:C237"/>
    <mergeCell ref="D236:D237"/>
    <mergeCell ref="E236:E237"/>
    <mergeCell ref="E234:E235"/>
    <mergeCell ref="C234:C235"/>
    <mergeCell ref="G232:G233"/>
    <mergeCell ref="AD234:AD235"/>
    <mergeCell ref="O234:O235"/>
    <mergeCell ref="P234:P235"/>
    <mergeCell ref="Q234:Q235"/>
    <mergeCell ref="R234:R235"/>
    <mergeCell ref="S234:S235"/>
    <mergeCell ref="T234:T235"/>
    <mergeCell ref="V234:V235"/>
    <mergeCell ref="W234:W235"/>
    <mergeCell ref="Z234:Z235"/>
    <mergeCell ref="AC234:AC235"/>
    <mergeCell ref="I234:I235"/>
    <mergeCell ref="N234:N235"/>
    <mergeCell ref="AC236:AC237"/>
    <mergeCell ref="J236:J237"/>
    <mergeCell ref="K236:K237"/>
    <mergeCell ref="J234:J235"/>
    <mergeCell ref="K234:K235"/>
    <mergeCell ref="X234:X235"/>
    <mergeCell ref="AB234:AB235"/>
    <mergeCell ref="AD236:AD237"/>
    <mergeCell ref="Q236:Q237"/>
    <mergeCell ref="O236:O237"/>
    <mergeCell ref="P236:P237"/>
    <mergeCell ref="T236:T237"/>
    <mergeCell ref="U236:U237"/>
    <mergeCell ref="G236:G237"/>
    <mergeCell ref="U234:U235"/>
    <mergeCell ref="R236:R237"/>
    <mergeCell ref="F236:F237"/>
    <mergeCell ref="F234:F235"/>
    <mergeCell ref="D234:D235"/>
    <mergeCell ref="L234:L235"/>
    <mergeCell ref="M234:M235"/>
    <mergeCell ref="G234:G235"/>
    <mergeCell ref="H234:H235"/>
    <mergeCell ref="AD232:AD233"/>
    <mergeCell ref="V232:V233"/>
    <mergeCell ref="J230:J231"/>
    <mergeCell ref="K230:K231"/>
    <mergeCell ref="R230:R231"/>
    <mergeCell ref="AC230:AC231"/>
    <mergeCell ref="S230:S231"/>
    <mergeCell ref="T230:T231"/>
    <mergeCell ref="X230:X231"/>
    <mergeCell ref="AD230:AD231"/>
    <mergeCell ref="D232:D233"/>
    <mergeCell ref="E232:E233"/>
    <mergeCell ref="F232:F233"/>
    <mergeCell ref="W230:W231"/>
    <mergeCell ref="D230:D231"/>
    <mergeCell ref="U230:U231"/>
    <mergeCell ref="V230:V231"/>
    <mergeCell ref="O230:O231"/>
    <mergeCell ref="P230:P231"/>
    <mergeCell ref="H232:H233"/>
    <mergeCell ref="P232:P233"/>
    <mergeCell ref="Q232:Q233"/>
    <mergeCell ref="W232:W233"/>
    <mergeCell ref="X232:X233"/>
    <mergeCell ref="U228:U229"/>
    <mergeCell ref="N228:N229"/>
    <mergeCell ref="R228:R229"/>
    <mergeCell ref="S228:S229"/>
    <mergeCell ref="T228:T229"/>
    <mergeCell ref="O228:O229"/>
    <mergeCell ref="C232:C233"/>
    <mergeCell ref="AC232:AC233"/>
    <mergeCell ref="A228:A229"/>
    <mergeCell ref="B228:B229"/>
    <mergeCell ref="C228:C229"/>
    <mergeCell ref="D228:D229"/>
    <mergeCell ref="AC228:AC229"/>
    <mergeCell ref="AB232:AB233"/>
    <mergeCell ref="N232:N233"/>
    <mergeCell ref="O232:O233"/>
    <mergeCell ref="A234:A235"/>
    <mergeCell ref="B234:B235"/>
    <mergeCell ref="A230:A231"/>
    <mergeCell ref="B230:B231"/>
    <mergeCell ref="A232:A233"/>
    <mergeCell ref="B232:B233"/>
    <mergeCell ref="C230:C231"/>
    <mergeCell ref="C227:D227"/>
    <mergeCell ref="L228:L229"/>
    <mergeCell ref="M228:M229"/>
    <mergeCell ref="G228:G229"/>
    <mergeCell ref="I228:I229"/>
    <mergeCell ref="L230:L231"/>
    <mergeCell ref="G230:G231"/>
    <mergeCell ref="H230:H231"/>
    <mergeCell ref="I230:I231"/>
    <mergeCell ref="M230:M231"/>
    <mergeCell ref="N230:N231"/>
    <mergeCell ref="E230:E231"/>
    <mergeCell ref="F230:F231"/>
    <mergeCell ref="AB228:AB229"/>
    <mergeCell ref="AA230:AA231"/>
    <mergeCell ref="AB230:AB231"/>
    <mergeCell ref="Q230:Q231"/>
    <mergeCell ref="J228:J229"/>
    <mergeCell ref="K228:K229"/>
    <mergeCell ref="AD228:AD229"/>
    <mergeCell ref="V228:V229"/>
    <mergeCell ref="W228:W229"/>
    <mergeCell ref="AA228:AA229"/>
    <mergeCell ref="X228:X229"/>
    <mergeCell ref="E228:E229"/>
    <mergeCell ref="F228:F229"/>
    <mergeCell ref="P228:P229"/>
    <mergeCell ref="Q228:Q229"/>
    <mergeCell ref="H224:H225"/>
    <mergeCell ref="I224:I225"/>
    <mergeCell ref="N224:N225"/>
    <mergeCell ref="O224:O225"/>
    <mergeCell ref="P224:P225"/>
    <mergeCell ref="Q224:Q225"/>
    <mergeCell ref="J224:J225"/>
    <mergeCell ref="K224:K225"/>
    <mergeCell ref="L224:L225"/>
    <mergeCell ref="M224:M225"/>
    <mergeCell ref="E224:E225"/>
    <mergeCell ref="L220:L221"/>
    <mergeCell ref="M220:M221"/>
    <mergeCell ref="N220:N221"/>
    <mergeCell ref="A224:A225"/>
    <mergeCell ref="B224:B225"/>
    <mergeCell ref="C224:C225"/>
    <mergeCell ref="D224:D225"/>
    <mergeCell ref="F224:F225"/>
    <mergeCell ref="G224:G225"/>
    <mergeCell ref="AD220:AD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AA222:AA223"/>
    <mergeCell ref="AB222:AB223"/>
    <mergeCell ref="AA220:AA221"/>
    <mergeCell ref="Y220:Y221"/>
    <mergeCell ref="S224:S225"/>
    <mergeCell ref="T224:T225"/>
    <mergeCell ref="U224:U225"/>
    <mergeCell ref="V224:V225"/>
    <mergeCell ref="W222:W223"/>
    <mergeCell ref="X222:X223"/>
    <mergeCell ref="W224:W225"/>
    <mergeCell ref="X224:X225"/>
    <mergeCell ref="X220:X221"/>
    <mergeCell ref="AC220:AC221"/>
    <mergeCell ref="AC224:AC225"/>
    <mergeCell ref="AC222:AC223"/>
    <mergeCell ref="Y224:Y225"/>
    <mergeCell ref="AB220:AB221"/>
    <mergeCell ref="O218:O219"/>
    <mergeCell ref="P218:P219"/>
    <mergeCell ref="Z220:Z221"/>
    <mergeCell ref="F220:F221"/>
    <mergeCell ref="G220:G221"/>
    <mergeCell ref="H220:H221"/>
    <mergeCell ref="K220:K221"/>
    <mergeCell ref="Y222:Y223"/>
    <mergeCell ref="W218:W219"/>
    <mergeCell ref="H216:H217"/>
    <mergeCell ref="K216:K217"/>
    <mergeCell ref="S218:S219"/>
    <mergeCell ref="T218:T219"/>
    <mergeCell ref="U218:U219"/>
    <mergeCell ref="M218:M219"/>
    <mergeCell ref="N218:N219"/>
    <mergeCell ref="G222:G223"/>
    <mergeCell ref="M222:M223"/>
    <mergeCell ref="AD224:AD225"/>
    <mergeCell ref="A220:A221"/>
    <mergeCell ref="B220:B221"/>
    <mergeCell ref="C220:C221"/>
    <mergeCell ref="D220:D221"/>
    <mergeCell ref="E220:E221"/>
    <mergeCell ref="I220:I221"/>
    <mergeCell ref="J220:J221"/>
    <mergeCell ref="A222:A223"/>
    <mergeCell ref="B222:B223"/>
    <mergeCell ref="C222:C223"/>
    <mergeCell ref="D222:D223"/>
    <mergeCell ref="E222:E223"/>
    <mergeCell ref="F222:F223"/>
    <mergeCell ref="AD216:AD217"/>
    <mergeCell ref="X216:X217"/>
    <mergeCell ref="AC216:AC217"/>
    <mergeCell ref="AB216:AB217"/>
    <mergeCell ref="Z216:Z217"/>
    <mergeCell ref="Y216:Y217"/>
    <mergeCell ref="AA216:AA217"/>
    <mergeCell ref="AC218:AC219"/>
    <mergeCell ref="K218:K219"/>
    <mergeCell ref="L218:L219"/>
    <mergeCell ref="X218:X219"/>
    <mergeCell ref="G218:G219"/>
    <mergeCell ref="H218:H219"/>
    <mergeCell ref="I218:I219"/>
    <mergeCell ref="J218:J219"/>
    <mergeCell ref="Q218:Q219"/>
    <mergeCell ref="R218:R219"/>
    <mergeCell ref="V216:V217"/>
    <mergeCell ref="W216:W217"/>
    <mergeCell ref="O216:O217"/>
    <mergeCell ref="P216:P217"/>
    <mergeCell ref="Q216:Q217"/>
    <mergeCell ref="R216:R217"/>
    <mergeCell ref="M216:M217"/>
    <mergeCell ref="N216:N217"/>
    <mergeCell ref="I216:I217"/>
    <mergeCell ref="J216:J217"/>
    <mergeCell ref="L216:L217"/>
    <mergeCell ref="U216:U217"/>
    <mergeCell ref="A218:A219"/>
    <mergeCell ref="B218:B219"/>
    <mergeCell ref="C218:C219"/>
    <mergeCell ref="D218:D219"/>
    <mergeCell ref="AD218:AD219"/>
    <mergeCell ref="Y218:Y219"/>
    <mergeCell ref="Z218:Z219"/>
    <mergeCell ref="AB218:AB219"/>
    <mergeCell ref="AA218:AA219"/>
    <mergeCell ref="V218:V219"/>
    <mergeCell ref="A216:A217"/>
    <mergeCell ref="B216:B217"/>
    <mergeCell ref="C216:C217"/>
    <mergeCell ref="D216:D217"/>
    <mergeCell ref="G210:G211"/>
    <mergeCell ref="H214:H215"/>
    <mergeCell ref="B214:B215"/>
    <mergeCell ref="C214:C215"/>
    <mergeCell ref="E218:E219"/>
    <mergeCell ref="F218:F219"/>
    <mergeCell ref="A212:A213"/>
    <mergeCell ref="B212:B213"/>
    <mergeCell ref="C212:C213"/>
    <mergeCell ref="D212:D213"/>
    <mergeCell ref="F216:F217"/>
    <mergeCell ref="E214:E215"/>
    <mergeCell ref="F214:F215"/>
    <mergeCell ref="A214:A215"/>
    <mergeCell ref="S216:S217"/>
    <mergeCell ref="T216:T217"/>
    <mergeCell ref="C210:C211"/>
    <mergeCell ref="D210:D211"/>
    <mergeCell ref="E210:E211"/>
    <mergeCell ref="F210:F211"/>
    <mergeCell ref="G216:G217"/>
    <mergeCell ref="Q214:Q215"/>
    <mergeCell ref="E216:E217"/>
    <mergeCell ref="H210:H211"/>
    <mergeCell ref="W212:W213"/>
    <mergeCell ref="X212:X213"/>
    <mergeCell ref="R214:R215"/>
    <mergeCell ref="S214:S215"/>
    <mergeCell ref="T214:T215"/>
    <mergeCell ref="W214:W215"/>
    <mergeCell ref="X214:X215"/>
    <mergeCell ref="AA212:AA213"/>
    <mergeCell ref="O214:O215"/>
    <mergeCell ref="Y214:Y215"/>
    <mergeCell ref="A210:A211"/>
    <mergeCell ref="B210:B211"/>
    <mergeCell ref="G212:G213"/>
    <mergeCell ref="H212:H213"/>
    <mergeCell ref="I212:I213"/>
    <mergeCell ref="E212:E213"/>
    <mergeCell ref="F212:F213"/>
    <mergeCell ref="AD208:AD209"/>
    <mergeCell ref="X210:X211"/>
    <mergeCell ref="AC210:AC211"/>
    <mergeCell ref="AD210:AD211"/>
    <mergeCell ref="X208:X209"/>
    <mergeCell ref="AC208:AC209"/>
    <mergeCell ref="AB208:AB209"/>
    <mergeCell ref="AA210:AA211"/>
    <mergeCell ref="AB210:AB211"/>
    <mergeCell ref="S210:S211"/>
    <mergeCell ref="Y210:Y211"/>
    <mergeCell ref="Z210:Z211"/>
    <mergeCell ref="U210:U211"/>
    <mergeCell ref="V210:V211"/>
    <mergeCell ref="W210:W211"/>
    <mergeCell ref="Z208:Z209"/>
    <mergeCell ref="P212:P213"/>
    <mergeCell ref="AD212:AD213"/>
    <mergeCell ref="AD214:AD215"/>
    <mergeCell ref="P214:P215"/>
    <mergeCell ref="V212:V213"/>
    <mergeCell ref="Z214:Z215"/>
    <mergeCell ref="R212:R213"/>
    <mergeCell ref="S212:S213"/>
    <mergeCell ref="T212:T213"/>
    <mergeCell ref="AA208:AA209"/>
    <mergeCell ref="R206:R207"/>
    <mergeCell ref="S206:S207"/>
    <mergeCell ref="Q210:Q211"/>
    <mergeCell ref="Q208:Q209"/>
    <mergeCell ref="Q206:Q207"/>
    <mergeCell ref="W208:W209"/>
    <mergeCell ref="Z206:Z207"/>
    <mergeCell ref="X206:X207"/>
    <mergeCell ref="V206:V207"/>
    <mergeCell ref="R208:R209"/>
    <mergeCell ref="S208:S209"/>
    <mergeCell ref="T208:T209"/>
    <mergeCell ref="U208:U209"/>
    <mergeCell ref="V208:V209"/>
    <mergeCell ref="Y206:Y207"/>
    <mergeCell ref="W206:W207"/>
    <mergeCell ref="Y208:Y209"/>
    <mergeCell ref="U200:U201"/>
    <mergeCell ref="V200:V201"/>
    <mergeCell ref="W200:W201"/>
    <mergeCell ref="X200:X201"/>
    <mergeCell ref="AC206:AC207"/>
    <mergeCell ref="AD206:AD207"/>
    <mergeCell ref="AB206:AB207"/>
    <mergeCell ref="W198:W199"/>
    <mergeCell ref="X198:X199"/>
    <mergeCell ref="V198:V199"/>
    <mergeCell ref="J208:J209"/>
    <mergeCell ref="O208:O209"/>
    <mergeCell ref="P208:P209"/>
    <mergeCell ref="T206:T207"/>
    <mergeCell ref="U206:U207"/>
    <mergeCell ref="S198:S199"/>
    <mergeCell ref="T198:T199"/>
    <mergeCell ref="AD198:AD199"/>
    <mergeCell ref="Y198:Y199"/>
    <mergeCell ref="Z198:Z199"/>
    <mergeCell ref="AB198:AB199"/>
    <mergeCell ref="AA198:AA199"/>
    <mergeCell ref="AC198:AC199"/>
    <mergeCell ref="AD200:AD201"/>
    <mergeCell ref="T204:T205"/>
    <mergeCell ref="U204:U205"/>
    <mergeCell ref="V204:V205"/>
    <mergeCell ref="X204:X205"/>
    <mergeCell ref="AC204:AC205"/>
    <mergeCell ref="AD204:AD205"/>
    <mergeCell ref="AC200:AC201"/>
    <mergeCell ref="Y204:Y205"/>
    <mergeCell ref="Z204:Z205"/>
    <mergeCell ref="W196:W197"/>
    <mergeCell ref="L196:L197"/>
    <mergeCell ref="M196:M197"/>
    <mergeCell ref="N196:N197"/>
    <mergeCell ref="E196:E197"/>
    <mergeCell ref="F196:F197"/>
    <mergeCell ref="U198:U199"/>
    <mergeCell ref="Q198:Q199"/>
    <mergeCell ref="G196:G197"/>
    <mergeCell ref="I196:I197"/>
    <mergeCell ref="O196:O197"/>
    <mergeCell ref="P196:P197"/>
    <mergeCell ref="J196:J197"/>
    <mergeCell ref="Q196:Q197"/>
    <mergeCell ref="R198:R199"/>
    <mergeCell ref="U196:U197"/>
    <mergeCell ref="AC196:AC197"/>
    <mergeCell ref="AD178:AD179"/>
    <mergeCell ref="C181:D181"/>
    <mergeCell ref="I191:I192"/>
    <mergeCell ref="J191:J192"/>
    <mergeCell ref="AD186:AD187"/>
    <mergeCell ref="D191:D192"/>
    <mergeCell ref="E191:E192"/>
    <mergeCell ref="F191:F192"/>
    <mergeCell ref="C196:C197"/>
    <mergeCell ref="AD196:AD197"/>
    <mergeCell ref="Y196:Y197"/>
    <mergeCell ref="Z196:Z197"/>
    <mergeCell ref="V191:V192"/>
    <mergeCell ref="W191:W192"/>
    <mergeCell ref="AD191:AD192"/>
    <mergeCell ref="V196:V197"/>
    <mergeCell ref="X191:X192"/>
    <mergeCell ref="AC191:AC192"/>
    <mergeCell ref="X196:X197"/>
    <mergeCell ref="C190:D190"/>
    <mergeCell ref="E186:E187"/>
    <mergeCell ref="F186:F187"/>
    <mergeCell ref="C189:D189"/>
    <mergeCell ref="C186:C187"/>
    <mergeCell ref="D186:D187"/>
    <mergeCell ref="V186:V187"/>
    <mergeCell ref="W186:W187"/>
    <mergeCell ref="X186:X187"/>
    <mergeCell ref="AC186:AC187"/>
    <mergeCell ref="Y186:Y187"/>
    <mergeCell ref="Z186:Z187"/>
    <mergeCell ref="AD172:AD173"/>
    <mergeCell ref="S174:S175"/>
    <mergeCell ref="T174:T175"/>
    <mergeCell ref="U174:U175"/>
    <mergeCell ref="V174:V175"/>
    <mergeCell ref="AC174:AC175"/>
    <mergeCell ref="AD174:AD175"/>
    <mergeCell ref="T182:T183"/>
    <mergeCell ref="U182:U183"/>
    <mergeCell ref="E182:E183"/>
    <mergeCell ref="F182:F183"/>
    <mergeCell ref="G191:G192"/>
    <mergeCell ref="H191:H192"/>
    <mergeCell ref="U191:U192"/>
    <mergeCell ref="L186:L187"/>
    <mergeCell ref="H186:H187"/>
    <mergeCell ref="U172:U173"/>
    <mergeCell ref="M172:M173"/>
    <mergeCell ref="N172:N173"/>
    <mergeCell ref="P172:P173"/>
    <mergeCell ref="AD182:AD183"/>
    <mergeCell ref="C185:D185"/>
    <mergeCell ref="P182:P183"/>
    <mergeCell ref="Q182:Q183"/>
    <mergeCell ref="R182:R183"/>
    <mergeCell ref="S182:S183"/>
    <mergeCell ref="X182:X183"/>
    <mergeCell ref="P178:P179"/>
    <mergeCell ref="R174:R175"/>
    <mergeCell ref="O172:O173"/>
    <mergeCell ref="N174:N175"/>
    <mergeCell ref="K172:K173"/>
    <mergeCell ref="V172:V173"/>
    <mergeCell ref="R172:R173"/>
    <mergeCell ref="S172:S173"/>
    <mergeCell ref="T172:T173"/>
    <mergeCell ref="A182:A183"/>
    <mergeCell ref="B182:B183"/>
    <mergeCell ref="C182:C183"/>
    <mergeCell ref="D182:D183"/>
    <mergeCell ref="W172:W173"/>
    <mergeCell ref="X172:X173"/>
    <mergeCell ref="O182:O183"/>
    <mergeCell ref="O174:O175"/>
    <mergeCell ref="P174:P175"/>
    <mergeCell ref="Q174:Q175"/>
    <mergeCell ref="E178:E179"/>
    <mergeCell ref="F178:F179"/>
    <mergeCell ref="A178:A179"/>
    <mergeCell ref="B178:B179"/>
    <mergeCell ref="D178:D179"/>
    <mergeCell ref="C178:C179"/>
    <mergeCell ref="G182:G183"/>
    <mergeCell ref="T178:T179"/>
    <mergeCell ref="N178:N179"/>
    <mergeCell ref="O178:O179"/>
    <mergeCell ref="K178:K179"/>
    <mergeCell ref="Q178:Q179"/>
    <mergeCell ref="R178:R179"/>
    <mergeCell ref="S178:S179"/>
    <mergeCell ref="K182:K183"/>
    <mergeCell ref="M182:M183"/>
    <mergeCell ref="Y174:Y175"/>
    <mergeCell ref="J182:J183"/>
    <mergeCell ref="G178:G179"/>
    <mergeCell ref="H178:H179"/>
    <mergeCell ref="I178:I179"/>
    <mergeCell ref="W174:W175"/>
    <mergeCell ref="X174:X175"/>
    <mergeCell ref="Y182:Y183"/>
    <mergeCell ref="V182:V183"/>
    <mergeCell ref="W182:W183"/>
    <mergeCell ref="N182:N183"/>
    <mergeCell ref="C177:D177"/>
    <mergeCell ref="F167:F168"/>
    <mergeCell ref="G167:G168"/>
    <mergeCell ref="H167:H168"/>
    <mergeCell ref="I167:I168"/>
    <mergeCell ref="J167:J168"/>
    <mergeCell ref="K167:K168"/>
    <mergeCell ref="M167:M168"/>
    <mergeCell ref="M178:M179"/>
    <mergeCell ref="Y165:Y166"/>
    <mergeCell ref="Z165:Z166"/>
    <mergeCell ref="Q165:Q166"/>
    <mergeCell ref="R165:R166"/>
    <mergeCell ref="Z174:Z175"/>
    <mergeCell ref="Y178:Y179"/>
    <mergeCell ref="Z178:Z179"/>
    <mergeCell ref="U178:U179"/>
    <mergeCell ref="V178:V179"/>
    <mergeCell ref="W178:W179"/>
    <mergeCell ref="N167:N168"/>
    <mergeCell ref="O167:O168"/>
    <mergeCell ref="P167:P168"/>
    <mergeCell ref="I165:I166"/>
    <mergeCell ref="P165:P166"/>
    <mergeCell ref="Q172:Q173"/>
    <mergeCell ref="S167:S168"/>
    <mergeCell ref="T167:T168"/>
    <mergeCell ref="U167:U168"/>
    <mergeCell ref="V167:V168"/>
    <mergeCell ref="W167:W168"/>
    <mergeCell ref="X167:X168"/>
    <mergeCell ref="AC178:AC179"/>
    <mergeCell ref="AC172:AC173"/>
    <mergeCell ref="J172:J173"/>
    <mergeCell ref="Y172:Y173"/>
    <mergeCell ref="Z172:Z173"/>
    <mergeCell ref="AC182:AC183"/>
    <mergeCell ref="X178:X179"/>
    <mergeCell ref="AA182:AA183"/>
    <mergeCell ref="AB182:AB183"/>
    <mergeCell ref="Z182:Z183"/>
    <mergeCell ref="AD167:AD168"/>
    <mergeCell ref="P161:P162"/>
    <mergeCell ref="Q161:Q162"/>
    <mergeCell ref="R161:R162"/>
    <mergeCell ref="S161:S162"/>
    <mergeCell ref="T161:T162"/>
    <mergeCell ref="U161:U162"/>
    <mergeCell ref="AC161:AC162"/>
    <mergeCell ref="AC163:AC164"/>
    <mergeCell ref="AD163:AD164"/>
    <mergeCell ref="S165:S166"/>
    <mergeCell ref="K165:K166"/>
    <mergeCell ref="M165:M166"/>
    <mergeCell ref="N165:N166"/>
    <mergeCell ref="O165:O166"/>
    <mergeCell ref="J163:J164"/>
    <mergeCell ref="K163:K164"/>
    <mergeCell ref="M163:M164"/>
    <mergeCell ref="N163:N164"/>
    <mergeCell ref="AB165:AB166"/>
    <mergeCell ref="AC167:AC168"/>
    <mergeCell ref="AB161:AB162"/>
    <mergeCell ref="V165:V166"/>
    <mergeCell ref="W165:W166"/>
    <mergeCell ref="X165:X166"/>
    <mergeCell ref="V161:V162"/>
    <mergeCell ref="W161:W162"/>
    <mergeCell ref="AA161:AA162"/>
    <mergeCell ref="Z163:Z164"/>
    <mergeCell ref="AD165:AD166"/>
    <mergeCell ref="T163:T164"/>
    <mergeCell ref="U163:U164"/>
    <mergeCell ref="V163:V164"/>
    <mergeCell ref="W163:W164"/>
    <mergeCell ref="X163:X164"/>
    <mergeCell ref="T165:T166"/>
    <mergeCell ref="U165:U166"/>
    <mergeCell ref="AC165:AC166"/>
    <mergeCell ref="AA165:AA166"/>
    <mergeCell ref="AD157:AD158"/>
    <mergeCell ref="AA157:AA158"/>
    <mergeCell ref="AB157:AB158"/>
    <mergeCell ref="W157:W158"/>
    <mergeCell ref="X157:X158"/>
    <mergeCell ref="AC157:AC158"/>
    <mergeCell ref="Y157:Y158"/>
    <mergeCell ref="Z157:Z158"/>
    <mergeCell ref="U157:U158"/>
    <mergeCell ref="V157:V158"/>
    <mergeCell ref="S157:S158"/>
    <mergeCell ref="L157:L158"/>
    <mergeCell ref="M157:M158"/>
    <mergeCell ref="J157:J158"/>
    <mergeCell ref="P157:P158"/>
    <mergeCell ref="K157:K158"/>
    <mergeCell ref="Q157:Q158"/>
    <mergeCell ref="T157:T158"/>
    <mergeCell ref="Y163:Y164"/>
    <mergeCell ref="S163:S164"/>
    <mergeCell ref="AA163:AA164"/>
    <mergeCell ref="AB163:AB164"/>
    <mergeCell ref="E161:E162"/>
    <mergeCell ref="Q163:Q164"/>
    <mergeCell ref="R163:R164"/>
    <mergeCell ref="O163:O164"/>
    <mergeCell ref="P163:P164"/>
    <mergeCell ref="O161:O162"/>
    <mergeCell ref="R157:R158"/>
    <mergeCell ref="C161:C162"/>
    <mergeCell ref="D161:D162"/>
    <mergeCell ref="H157:H158"/>
    <mergeCell ref="J161:J162"/>
    <mergeCell ref="AD161:AD162"/>
    <mergeCell ref="F161:F162"/>
    <mergeCell ref="K161:K162"/>
    <mergeCell ref="M161:M162"/>
    <mergeCell ref="C160:D160"/>
    <mergeCell ref="W151:W152"/>
    <mergeCell ref="W153:W154"/>
    <mergeCell ref="X153:X154"/>
    <mergeCell ref="U153:U154"/>
    <mergeCell ref="V153:V154"/>
    <mergeCell ref="E165:E166"/>
    <mergeCell ref="F165:F166"/>
    <mergeCell ref="G165:G166"/>
    <mergeCell ref="H165:H166"/>
    <mergeCell ref="X161:X162"/>
    <mergeCell ref="A155:A156"/>
    <mergeCell ref="B155:B156"/>
    <mergeCell ref="C155:C156"/>
    <mergeCell ref="D155:D156"/>
    <mergeCell ref="I163:I164"/>
    <mergeCell ref="AC153:AC154"/>
    <mergeCell ref="B153:B154"/>
    <mergeCell ref="C153:C154"/>
    <mergeCell ref="D153:D154"/>
    <mergeCell ref="N161:N162"/>
    <mergeCell ref="AA153:AA154"/>
    <mergeCell ref="AB153:AB154"/>
    <mergeCell ref="U155:U156"/>
    <mergeCell ref="H153:H154"/>
    <mergeCell ref="J153:J154"/>
    <mergeCell ref="K153:K154"/>
    <mergeCell ref="L153:L154"/>
    <mergeCell ref="V155:V156"/>
    <mergeCell ref="W155:W156"/>
    <mergeCell ref="X155:X156"/>
    <mergeCell ref="H155:H156"/>
    <mergeCell ref="A153:A154"/>
    <mergeCell ref="M153:M154"/>
    <mergeCell ref="N153:N154"/>
    <mergeCell ref="L155:L156"/>
    <mergeCell ref="M155:M156"/>
    <mergeCell ref="F153:F154"/>
    <mergeCell ref="E155:E156"/>
    <mergeCell ref="F155:F156"/>
    <mergeCell ref="G153:G154"/>
    <mergeCell ref="AC149:AC150"/>
    <mergeCell ref="AA151:AA152"/>
    <mergeCell ref="AB151:AB152"/>
    <mergeCell ref="X151:X152"/>
    <mergeCell ref="AC151:AC152"/>
    <mergeCell ref="Y151:Y152"/>
    <mergeCell ref="Z151:Z152"/>
    <mergeCell ref="O153:O154"/>
    <mergeCell ref="P153:P154"/>
    <mergeCell ref="AD155:AD156"/>
    <mergeCell ref="AD153:AD154"/>
    <mergeCell ref="J149:J150"/>
    <mergeCell ref="T149:T150"/>
    <mergeCell ref="U149:U150"/>
    <mergeCell ref="V149:V150"/>
    <mergeCell ref="K149:K150"/>
    <mergeCell ref="L149:L150"/>
    <mergeCell ref="Y153:Y154"/>
    <mergeCell ref="R153:R154"/>
    <mergeCell ref="S153:S154"/>
    <mergeCell ref="T153:T154"/>
    <mergeCell ref="P151:P152"/>
    <mergeCell ref="Q151:Q152"/>
    <mergeCell ref="Q153:Q154"/>
    <mergeCell ref="T151:T152"/>
    <mergeCell ref="U151:U152"/>
    <mergeCell ref="V151:V152"/>
    <mergeCell ref="AC155:AC156"/>
    <mergeCell ref="N155:N156"/>
    <mergeCell ref="O155:O156"/>
    <mergeCell ref="P155:P156"/>
    <mergeCell ref="Q155:Q156"/>
    <mergeCell ref="R155:R156"/>
    <mergeCell ref="S155:S156"/>
    <mergeCell ref="AB155:AB156"/>
    <mergeCell ref="AA155:AA156"/>
    <mergeCell ref="T155:T156"/>
    <mergeCell ref="M151:M152"/>
    <mergeCell ref="W147:W148"/>
    <mergeCell ref="Q149:Q150"/>
    <mergeCell ref="R149:R150"/>
    <mergeCell ref="S149:S150"/>
    <mergeCell ref="R151:R152"/>
    <mergeCell ref="S151:S152"/>
    <mergeCell ref="O147:O148"/>
    <mergeCell ref="M149:M150"/>
    <mergeCell ref="O151:O152"/>
    <mergeCell ref="W149:W150"/>
    <mergeCell ref="N151:N152"/>
    <mergeCell ref="A151:A152"/>
    <mergeCell ref="L151:L152"/>
    <mergeCell ref="N149:N150"/>
    <mergeCell ref="O149:O150"/>
    <mergeCell ref="P149:P150"/>
    <mergeCell ref="G151:G152"/>
    <mergeCell ref="H151:H152"/>
    <mergeCell ref="J151:J152"/>
    <mergeCell ref="B151:B152"/>
    <mergeCell ref="C151:C152"/>
    <mergeCell ref="D151:D152"/>
    <mergeCell ref="E151:E152"/>
    <mergeCell ref="AD151:AD152"/>
    <mergeCell ref="A149:A150"/>
    <mergeCell ref="B149:B150"/>
    <mergeCell ref="C149:C150"/>
    <mergeCell ref="D149:D150"/>
    <mergeCell ref="E149:E150"/>
    <mergeCell ref="AD145:AD146"/>
    <mergeCell ref="Q145:Q146"/>
    <mergeCell ref="R145:R146"/>
    <mergeCell ref="S145:S146"/>
    <mergeCell ref="U145:U146"/>
    <mergeCell ref="K147:K148"/>
    <mergeCell ref="P145:P146"/>
    <mergeCell ref="AD147:AD148"/>
    <mergeCell ref="AC145:AC146"/>
    <mergeCell ref="V147:V148"/>
    <mergeCell ref="E145:E146"/>
    <mergeCell ref="F145:F146"/>
    <mergeCell ref="G145:G146"/>
    <mergeCell ref="X149:X150"/>
    <mergeCell ref="J145:J146"/>
    <mergeCell ref="J147:J148"/>
    <mergeCell ref="G149:G150"/>
    <mergeCell ref="V145:V146"/>
    <mergeCell ref="T145:T146"/>
    <mergeCell ref="Y149:Y150"/>
    <mergeCell ref="AC147:AC148"/>
    <mergeCell ref="Y147:Y148"/>
    <mergeCell ref="P147:P148"/>
    <mergeCell ref="Q147:Q148"/>
    <mergeCell ref="R147:R148"/>
    <mergeCell ref="S147:S148"/>
    <mergeCell ref="X147:X148"/>
    <mergeCell ref="T147:T148"/>
    <mergeCell ref="U147:U148"/>
    <mergeCell ref="T143:T144"/>
    <mergeCell ref="N143:N144"/>
    <mergeCell ref="O143:O144"/>
    <mergeCell ref="P143:P144"/>
    <mergeCell ref="Q143:Q144"/>
    <mergeCell ref="AD149:AD150"/>
    <mergeCell ref="Y145:Y146"/>
    <mergeCell ref="Z145:Z146"/>
    <mergeCell ref="W145:W146"/>
    <mergeCell ref="X145:X146"/>
    <mergeCell ref="A147:A148"/>
    <mergeCell ref="B147:B148"/>
    <mergeCell ref="C147:C148"/>
    <mergeCell ref="D147:D148"/>
    <mergeCell ref="R143:R144"/>
    <mergeCell ref="S143:S144"/>
    <mergeCell ref="O145:O146"/>
    <mergeCell ref="E147:E148"/>
    <mergeCell ref="A145:A146"/>
    <mergeCell ref="B145:B146"/>
    <mergeCell ref="M145:M146"/>
    <mergeCell ref="N145:N146"/>
    <mergeCell ref="L147:L148"/>
    <mergeCell ref="M147:M148"/>
    <mergeCell ref="N147:N148"/>
    <mergeCell ref="F147:F148"/>
    <mergeCell ref="H145:H146"/>
    <mergeCell ref="K145:K146"/>
    <mergeCell ref="L145:L146"/>
    <mergeCell ref="AC141:AC142"/>
    <mergeCell ref="A141:A142"/>
    <mergeCell ref="B141:B142"/>
    <mergeCell ref="U143:U144"/>
    <mergeCell ref="V143:V144"/>
    <mergeCell ref="R141:R142"/>
    <mergeCell ref="S141:S142"/>
    <mergeCell ref="A143:A144"/>
    <mergeCell ref="B143:B144"/>
    <mergeCell ref="C143:C144"/>
    <mergeCell ref="Y143:Y144"/>
    <mergeCell ref="Z143:Z144"/>
    <mergeCell ref="X141:X142"/>
    <mergeCell ref="W143:W144"/>
    <mergeCell ref="X143:X144"/>
    <mergeCell ref="AC143:AC144"/>
    <mergeCell ref="W141:W142"/>
    <mergeCell ref="AB141:AB142"/>
    <mergeCell ref="AA143:AA144"/>
    <mergeCell ref="AB143:AB144"/>
    <mergeCell ref="Z141:Z142"/>
    <mergeCell ref="Q141:Q142"/>
    <mergeCell ref="AA141:AA142"/>
    <mergeCell ref="E141:E142"/>
    <mergeCell ref="F141:F142"/>
    <mergeCell ref="G141:G142"/>
    <mergeCell ref="J141:J142"/>
    <mergeCell ref="T141:T142"/>
    <mergeCell ref="U141:U142"/>
    <mergeCell ref="AD143:AD144"/>
    <mergeCell ref="V141:V142"/>
    <mergeCell ref="K141:K142"/>
    <mergeCell ref="L141:L142"/>
    <mergeCell ref="M141:M142"/>
    <mergeCell ref="N141:N142"/>
    <mergeCell ref="O141:O142"/>
    <mergeCell ref="P141:P142"/>
    <mergeCell ref="AD141:AD142"/>
    <mergeCell ref="Y141:Y142"/>
    <mergeCell ref="G137:G138"/>
    <mergeCell ref="H137:H138"/>
    <mergeCell ref="AD137:AD138"/>
    <mergeCell ref="Q137:Q138"/>
    <mergeCell ref="R137:R138"/>
    <mergeCell ref="S137:S138"/>
    <mergeCell ref="T137:T138"/>
    <mergeCell ref="U137:U138"/>
    <mergeCell ref="V137:V138"/>
    <mergeCell ref="AA137:AA138"/>
    <mergeCell ref="A137:A138"/>
    <mergeCell ref="B137:B138"/>
    <mergeCell ref="C137:C138"/>
    <mergeCell ref="D137:D138"/>
    <mergeCell ref="E137:E138"/>
    <mergeCell ref="F137:F138"/>
    <mergeCell ref="X131:X132"/>
    <mergeCell ref="AC131:AC132"/>
    <mergeCell ref="W137:W138"/>
    <mergeCell ref="AC135:AC136"/>
    <mergeCell ref="AB131:AB132"/>
    <mergeCell ref="X137:X138"/>
    <mergeCell ref="AB137:AB138"/>
    <mergeCell ref="AC137:AC138"/>
    <mergeCell ref="E129:E130"/>
    <mergeCell ref="F129:F130"/>
    <mergeCell ref="G129:G130"/>
    <mergeCell ref="T129:T130"/>
    <mergeCell ref="J137:J138"/>
    <mergeCell ref="W131:W132"/>
    <mergeCell ref="V131:V132"/>
    <mergeCell ref="O131:O132"/>
    <mergeCell ref="O137:O138"/>
    <mergeCell ref="P137:P138"/>
    <mergeCell ref="Q135:Q136"/>
    <mergeCell ref="T135:T136"/>
    <mergeCell ref="G135:G136"/>
    <mergeCell ref="J135:J136"/>
    <mergeCell ref="K135:K136"/>
    <mergeCell ref="T131:T132"/>
    <mergeCell ref="I137:I138"/>
    <mergeCell ref="P131:P132"/>
    <mergeCell ref="Q131:Q132"/>
    <mergeCell ref="R131:R132"/>
    <mergeCell ref="K137:K138"/>
    <mergeCell ref="L137:L138"/>
    <mergeCell ref="M137:M138"/>
    <mergeCell ref="N137:N138"/>
    <mergeCell ref="M135:M136"/>
    <mergeCell ref="P135:P136"/>
    <mergeCell ref="AD135:AD136"/>
    <mergeCell ref="U135:U136"/>
    <mergeCell ref="V135:V136"/>
    <mergeCell ref="W135:W136"/>
    <mergeCell ref="X135:X136"/>
    <mergeCell ref="Z135:Z136"/>
    <mergeCell ref="Y135:Y136"/>
    <mergeCell ref="AA135:AA136"/>
    <mergeCell ref="AD131:AD132"/>
    <mergeCell ref="Y131:Y132"/>
    <mergeCell ref="Z131:Z132"/>
    <mergeCell ref="E135:E136"/>
    <mergeCell ref="R135:R136"/>
    <mergeCell ref="S135:S136"/>
    <mergeCell ref="AB135:AB136"/>
    <mergeCell ref="E131:E132"/>
    <mergeCell ref="F131:F132"/>
    <mergeCell ref="G131:G132"/>
    <mergeCell ref="C125:C126"/>
    <mergeCell ref="D125:D126"/>
    <mergeCell ref="N135:N136"/>
    <mergeCell ref="U131:U132"/>
    <mergeCell ref="S131:S132"/>
    <mergeCell ref="M131:M132"/>
    <mergeCell ref="N131:N132"/>
    <mergeCell ref="O135:O136"/>
    <mergeCell ref="U129:U130"/>
    <mergeCell ref="F135:F136"/>
    <mergeCell ref="L135:L136"/>
    <mergeCell ref="I135:I136"/>
    <mergeCell ref="K129:K130"/>
    <mergeCell ref="L129:L130"/>
    <mergeCell ref="K131:K132"/>
    <mergeCell ref="L131:L132"/>
    <mergeCell ref="J129:J130"/>
    <mergeCell ref="I129:I130"/>
    <mergeCell ref="K125:K126"/>
    <mergeCell ref="L125:L126"/>
    <mergeCell ref="A131:A132"/>
    <mergeCell ref="B131:B132"/>
    <mergeCell ref="C131:C132"/>
    <mergeCell ref="C128:D128"/>
    <mergeCell ref="A129:A130"/>
    <mergeCell ref="B129:B130"/>
    <mergeCell ref="C129:C130"/>
    <mergeCell ref="D129:D130"/>
    <mergeCell ref="D131:D132"/>
    <mergeCell ref="H131:H132"/>
    <mergeCell ref="I131:I132"/>
    <mergeCell ref="J131:J132"/>
    <mergeCell ref="A135:A136"/>
    <mergeCell ref="B135:B136"/>
    <mergeCell ref="C135:C136"/>
    <mergeCell ref="D135:D136"/>
    <mergeCell ref="C134:D134"/>
    <mergeCell ref="AD129:AD130"/>
    <mergeCell ref="P129:P130"/>
    <mergeCell ref="Q129:Q130"/>
    <mergeCell ref="R129:R130"/>
    <mergeCell ref="S129:S130"/>
    <mergeCell ref="M129:M130"/>
    <mergeCell ref="N129:N130"/>
    <mergeCell ref="AB129:AB130"/>
    <mergeCell ref="X129:X130"/>
    <mergeCell ref="AC123:AC124"/>
    <mergeCell ref="AD123:AD124"/>
    <mergeCell ref="T123:T124"/>
    <mergeCell ref="U123:U124"/>
    <mergeCell ref="U125:U126"/>
    <mergeCell ref="V125:V126"/>
    <mergeCell ref="AD125:AD126"/>
    <mergeCell ref="W125:W126"/>
    <mergeCell ref="C122:D122"/>
    <mergeCell ref="AC129:AC130"/>
    <mergeCell ref="O129:O130"/>
    <mergeCell ref="H123:H124"/>
    <mergeCell ref="I123:I124"/>
    <mergeCell ref="J123:J124"/>
    <mergeCell ref="K123:K124"/>
    <mergeCell ref="T125:T126"/>
    <mergeCell ref="J125:J126"/>
    <mergeCell ref="AA129:AA130"/>
    <mergeCell ref="AC125:AC126"/>
    <mergeCell ref="AB125:AB126"/>
    <mergeCell ref="V129:V130"/>
    <mergeCell ref="W129:W130"/>
    <mergeCell ref="S123:S124"/>
    <mergeCell ref="X123:X124"/>
    <mergeCell ref="V123:V124"/>
    <mergeCell ref="W123:W124"/>
    <mergeCell ref="S125:S126"/>
    <mergeCell ref="Y125:Y126"/>
    <mergeCell ref="P125:P126"/>
    <mergeCell ref="AA125:AA126"/>
    <mergeCell ref="Z125:Z126"/>
    <mergeCell ref="Y123:Y124"/>
    <mergeCell ref="Z123:Z124"/>
    <mergeCell ref="X125:X126"/>
    <mergeCell ref="L123:L124"/>
    <mergeCell ref="M123:M124"/>
    <mergeCell ref="N123:N124"/>
    <mergeCell ref="O123:O124"/>
    <mergeCell ref="G123:G124"/>
    <mergeCell ref="M125:M126"/>
    <mergeCell ref="H125:H126"/>
    <mergeCell ref="I125:I126"/>
    <mergeCell ref="N125:N126"/>
    <mergeCell ref="O125:O126"/>
    <mergeCell ref="M117:M118"/>
    <mergeCell ref="J115:J116"/>
    <mergeCell ref="K115:K116"/>
    <mergeCell ref="M115:M116"/>
    <mergeCell ref="N115:N116"/>
    <mergeCell ref="A119:A120"/>
    <mergeCell ref="B119:B120"/>
    <mergeCell ref="C119:C120"/>
    <mergeCell ref="D119:D120"/>
    <mergeCell ref="F117:F118"/>
    <mergeCell ref="G117:G118"/>
    <mergeCell ref="H117:H118"/>
    <mergeCell ref="I117:I118"/>
    <mergeCell ref="J117:J118"/>
    <mergeCell ref="K117:K118"/>
    <mergeCell ref="M119:M120"/>
    <mergeCell ref="Q125:Q126"/>
    <mergeCell ref="R125:R126"/>
    <mergeCell ref="P123:P124"/>
    <mergeCell ref="Q123:Q124"/>
    <mergeCell ref="E119:E120"/>
    <mergeCell ref="F119:F120"/>
    <mergeCell ref="N119:N120"/>
    <mergeCell ref="G125:G126"/>
    <mergeCell ref="R123:R124"/>
    <mergeCell ref="E123:E124"/>
    <mergeCell ref="F123:F124"/>
    <mergeCell ref="E125:E126"/>
    <mergeCell ref="F125:F126"/>
    <mergeCell ref="A123:A124"/>
    <mergeCell ref="B123:B124"/>
    <mergeCell ref="C123:C124"/>
    <mergeCell ref="D123:D124"/>
    <mergeCell ref="A125:A126"/>
    <mergeCell ref="B125:B126"/>
    <mergeCell ref="X117:X118"/>
    <mergeCell ref="S119:S120"/>
    <mergeCell ref="G119:G120"/>
    <mergeCell ref="J119:J120"/>
    <mergeCell ref="K119:K120"/>
    <mergeCell ref="H119:H120"/>
    <mergeCell ref="O119:O120"/>
    <mergeCell ref="P119:P120"/>
    <mergeCell ref="Q119:Q120"/>
    <mergeCell ref="R119:R120"/>
    <mergeCell ref="N117:N118"/>
    <mergeCell ref="O117:O118"/>
    <mergeCell ref="P117:P118"/>
    <mergeCell ref="Q117:Q118"/>
    <mergeCell ref="R117:R118"/>
    <mergeCell ref="W117:W118"/>
    <mergeCell ref="T119:T120"/>
    <mergeCell ref="U119:U120"/>
    <mergeCell ref="V119:V120"/>
    <mergeCell ref="W119:W120"/>
    <mergeCell ref="X119:X120"/>
    <mergeCell ref="AC119:AC120"/>
    <mergeCell ref="AD115:AD116"/>
    <mergeCell ref="AC115:AC116"/>
    <mergeCell ref="AC113:AC114"/>
    <mergeCell ref="Y119:Y120"/>
    <mergeCell ref="Z119:Z120"/>
    <mergeCell ref="AD119:AD120"/>
    <mergeCell ref="AC117:AC118"/>
    <mergeCell ref="Y117:Y118"/>
    <mergeCell ref="Z117:Z118"/>
    <mergeCell ref="Z115:Z116"/>
    <mergeCell ref="V115:V116"/>
    <mergeCell ref="W115:W116"/>
    <mergeCell ref="X115:X116"/>
    <mergeCell ref="AD113:AD114"/>
    <mergeCell ref="AA117:AA118"/>
    <mergeCell ref="AB117:AB118"/>
    <mergeCell ref="AD117:AD118"/>
    <mergeCell ref="AA113:AA114"/>
    <mergeCell ref="AB113:AB114"/>
    <mergeCell ref="A113:A114"/>
    <mergeCell ref="B113:B114"/>
    <mergeCell ref="C113:C114"/>
    <mergeCell ref="D113:D114"/>
    <mergeCell ref="U115:U116"/>
    <mergeCell ref="Y115:Y116"/>
    <mergeCell ref="C115:C116"/>
    <mergeCell ref="D115:D116"/>
    <mergeCell ref="E115:E116"/>
    <mergeCell ref="F115:F116"/>
    <mergeCell ref="G115:G116"/>
    <mergeCell ref="H115:H116"/>
    <mergeCell ref="U111:U112"/>
    <mergeCell ref="E113:E114"/>
    <mergeCell ref="F113:F114"/>
    <mergeCell ref="I115:I116"/>
    <mergeCell ref="I113:I114"/>
    <mergeCell ref="G113:G114"/>
    <mergeCell ref="H113:H114"/>
    <mergeCell ref="R113:R114"/>
    <mergeCell ref="O115:O116"/>
    <mergeCell ref="N113:N114"/>
    <mergeCell ref="O113:O114"/>
    <mergeCell ref="P113:P114"/>
    <mergeCell ref="Q113:Q114"/>
    <mergeCell ref="M113:M114"/>
    <mergeCell ref="T113:T114"/>
    <mergeCell ref="S113:S114"/>
    <mergeCell ref="P115:P116"/>
    <mergeCell ref="Q115:Q116"/>
    <mergeCell ref="R115:R116"/>
    <mergeCell ref="S115:S116"/>
    <mergeCell ref="V113:V114"/>
    <mergeCell ref="W113:W114"/>
    <mergeCell ref="U113:U114"/>
    <mergeCell ref="T115:T116"/>
    <mergeCell ref="AD109:AD110"/>
    <mergeCell ref="A111:A112"/>
    <mergeCell ref="B111:B112"/>
    <mergeCell ref="C111:C112"/>
    <mergeCell ref="D111:D112"/>
    <mergeCell ref="E111:E112"/>
    <mergeCell ref="J109:J110"/>
    <mergeCell ref="K109:K110"/>
    <mergeCell ref="M109:M110"/>
    <mergeCell ref="X111:X112"/>
    <mergeCell ref="AC111:AC112"/>
    <mergeCell ref="AD111:AD112"/>
    <mergeCell ref="AC109:AC110"/>
    <mergeCell ref="AB109:AB110"/>
    <mergeCell ref="AA111:AA112"/>
    <mergeCell ref="AB111:AB112"/>
    <mergeCell ref="AA109:AA110"/>
    <mergeCell ref="X109:X110"/>
    <mergeCell ref="T111:T112"/>
    <mergeCell ref="F111:F112"/>
    <mergeCell ref="G111:G112"/>
    <mergeCell ref="H111:H112"/>
    <mergeCell ref="I111:I112"/>
    <mergeCell ref="T109:T110"/>
    <mergeCell ref="H109:H110"/>
    <mergeCell ref="N109:N110"/>
    <mergeCell ref="O111:O112"/>
    <mergeCell ref="P111:P112"/>
    <mergeCell ref="B103:B104"/>
    <mergeCell ref="C103:C104"/>
    <mergeCell ref="D103:D104"/>
    <mergeCell ref="F109:F110"/>
    <mergeCell ref="G109:G110"/>
    <mergeCell ref="I109:I110"/>
    <mergeCell ref="P105:P106"/>
    <mergeCell ref="Q105:Q106"/>
    <mergeCell ref="E105:E106"/>
    <mergeCell ref="F105:F106"/>
    <mergeCell ref="G105:G106"/>
    <mergeCell ref="A105:A106"/>
    <mergeCell ref="B105:B106"/>
    <mergeCell ref="C105:C106"/>
    <mergeCell ref="D105:D106"/>
    <mergeCell ref="A109:A110"/>
    <mergeCell ref="B109:B110"/>
    <mergeCell ref="C109:C110"/>
    <mergeCell ref="D109:D110"/>
    <mergeCell ref="N105:N106"/>
    <mergeCell ref="O105:O106"/>
    <mergeCell ref="E109:E110"/>
    <mergeCell ref="K105:K106"/>
    <mergeCell ref="M105:M106"/>
    <mergeCell ref="E107:E108"/>
    <mergeCell ref="F107:F108"/>
    <mergeCell ref="G107:G108"/>
    <mergeCell ref="H107:H108"/>
    <mergeCell ref="I105:I106"/>
    <mergeCell ref="J105:J106"/>
    <mergeCell ref="H105:H106"/>
    <mergeCell ref="A107:A108"/>
    <mergeCell ref="J97:J98"/>
    <mergeCell ref="K97:K98"/>
    <mergeCell ref="M97:M98"/>
    <mergeCell ref="N97:N98"/>
    <mergeCell ref="J101:J102"/>
    <mergeCell ref="K101:K102"/>
    <mergeCell ref="M101:M102"/>
    <mergeCell ref="N101:N102"/>
    <mergeCell ref="A103:A104"/>
    <mergeCell ref="AA99:AA100"/>
    <mergeCell ref="U103:U104"/>
    <mergeCell ref="V103:V104"/>
    <mergeCell ref="AC103:AC104"/>
    <mergeCell ref="Y103:Y104"/>
    <mergeCell ref="Z103:Z104"/>
    <mergeCell ref="X103:X104"/>
    <mergeCell ref="W103:W104"/>
    <mergeCell ref="AC99:AC100"/>
    <mergeCell ref="J103:J104"/>
    <mergeCell ref="K103:K104"/>
    <mergeCell ref="E103:E104"/>
    <mergeCell ref="F103:F104"/>
    <mergeCell ref="G103:G104"/>
    <mergeCell ref="H103:H104"/>
    <mergeCell ref="M103:M104"/>
    <mergeCell ref="N103:N104"/>
    <mergeCell ref="S103:S104"/>
    <mergeCell ref="T103:T104"/>
    <mergeCell ref="Q103:Q104"/>
    <mergeCell ref="R103:R104"/>
    <mergeCell ref="O103:O104"/>
    <mergeCell ref="P103:P104"/>
    <mergeCell ref="W99:W100"/>
    <mergeCell ref="O99:O100"/>
    <mergeCell ref="P99:P100"/>
    <mergeCell ref="Q99:Q100"/>
    <mergeCell ref="R99:R100"/>
    <mergeCell ref="H99:H100"/>
    <mergeCell ref="I99:I100"/>
    <mergeCell ref="J99:J100"/>
    <mergeCell ref="K99:K100"/>
    <mergeCell ref="T105:T106"/>
    <mergeCell ref="U105:U106"/>
    <mergeCell ref="X105:X106"/>
    <mergeCell ref="W105:W106"/>
    <mergeCell ref="V105:V106"/>
    <mergeCell ref="AA105:AA106"/>
    <mergeCell ref="AB105:AB106"/>
    <mergeCell ref="A101:A102"/>
    <mergeCell ref="B101:B102"/>
    <mergeCell ref="C101:C102"/>
    <mergeCell ref="D101:D102"/>
    <mergeCell ref="S101:S102"/>
    <mergeCell ref="H101:H102"/>
    <mergeCell ref="I101:I102"/>
    <mergeCell ref="R105:R106"/>
    <mergeCell ref="S105:S106"/>
    <mergeCell ref="A93:A94"/>
    <mergeCell ref="B93:B94"/>
    <mergeCell ref="AB93:AB94"/>
    <mergeCell ref="AB99:AB100"/>
    <mergeCell ref="AA101:AA102"/>
    <mergeCell ref="AB101:AB102"/>
    <mergeCell ref="S99:S100"/>
    <mergeCell ref="T99:T100"/>
    <mergeCell ref="Y99:Y100"/>
    <mergeCell ref="Z99:Z100"/>
    <mergeCell ref="A97:A98"/>
    <mergeCell ref="B97:B98"/>
    <mergeCell ref="Z97:Z98"/>
    <mergeCell ref="V97:V98"/>
    <mergeCell ref="W97:W98"/>
    <mergeCell ref="X97:X98"/>
    <mergeCell ref="AA103:AA104"/>
    <mergeCell ref="AB103:AB104"/>
    <mergeCell ref="G99:G100"/>
    <mergeCell ref="E101:E102"/>
    <mergeCell ref="F101:F102"/>
    <mergeCell ref="U99:U100"/>
    <mergeCell ref="G101:G102"/>
    <mergeCell ref="R101:R102"/>
    <mergeCell ref="X99:X100"/>
    <mergeCell ref="V99:V100"/>
    <mergeCell ref="A99:A100"/>
    <mergeCell ref="B99:B100"/>
    <mergeCell ref="C99:C100"/>
    <mergeCell ref="D99:D100"/>
    <mergeCell ref="E99:E100"/>
    <mergeCell ref="F99:F100"/>
    <mergeCell ref="Q101:Q102"/>
    <mergeCell ref="T101:T102"/>
    <mergeCell ref="U101:U102"/>
    <mergeCell ref="K93:K94"/>
    <mergeCell ref="M93:M94"/>
    <mergeCell ref="O101:O102"/>
    <mergeCell ref="P101:P102"/>
    <mergeCell ref="M99:M100"/>
    <mergeCell ref="N99:N100"/>
    <mergeCell ref="O97:O98"/>
    <mergeCell ref="AC93:AC94"/>
    <mergeCell ref="AD93:AD94"/>
    <mergeCell ref="P93:P94"/>
    <mergeCell ref="Q93:Q94"/>
    <mergeCell ref="R93:R94"/>
    <mergeCell ref="S93:S94"/>
    <mergeCell ref="AA93:AA94"/>
    <mergeCell ref="Z93:Z94"/>
    <mergeCell ref="AD101:AD102"/>
    <mergeCell ref="V101:V102"/>
    <mergeCell ref="W101:W102"/>
    <mergeCell ref="X101:X102"/>
    <mergeCell ref="AC101:AC102"/>
    <mergeCell ref="Y101:Y102"/>
    <mergeCell ref="Z101:Z102"/>
    <mergeCell ref="AD103:AD104"/>
    <mergeCell ref="AD99:AD100"/>
    <mergeCell ref="F93:F94"/>
    <mergeCell ref="G93:G94"/>
    <mergeCell ref="H93:H94"/>
    <mergeCell ref="N93:N94"/>
    <mergeCell ref="O93:O94"/>
    <mergeCell ref="U93:U94"/>
    <mergeCell ref="V93:V94"/>
    <mergeCell ref="Y93:Y94"/>
    <mergeCell ref="J93:J94"/>
    <mergeCell ref="AC89:AC90"/>
    <mergeCell ref="AD89:AD90"/>
    <mergeCell ref="A91:A92"/>
    <mergeCell ref="B91:B92"/>
    <mergeCell ref="C91:C92"/>
    <mergeCell ref="D91:D92"/>
    <mergeCell ref="E91:E92"/>
    <mergeCell ref="U91:U92"/>
    <mergeCell ref="V91:V92"/>
    <mergeCell ref="W93:W94"/>
    <mergeCell ref="X93:X94"/>
    <mergeCell ref="S91:S92"/>
    <mergeCell ref="T91:T92"/>
    <mergeCell ref="R91:R92"/>
    <mergeCell ref="C93:C94"/>
    <mergeCell ref="D93:D94"/>
    <mergeCell ref="E93:E94"/>
    <mergeCell ref="T93:T94"/>
    <mergeCell ref="I93:I94"/>
    <mergeCell ref="N91:N92"/>
    <mergeCell ref="F91:F92"/>
    <mergeCell ref="G91:G92"/>
    <mergeCell ref="H91:H92"/>
    <mergeCell ref="I91:I92"/>
    <mergeCell ref="S89:S90"/>
    <mergeCell ref="O91:O92"/>
    <mergeCell ref="P91:P92"/>
    <mergeCell ref="G89:G90"/>
    <mergeCell ref="J91:J92"/>
    <mergeCell ref="K91:K92"/>
    <mergeCell ref="M91:M92"/>
    <mergeCell ref="O89:O90"/>
    <mergeCell ref="J89:J90"/>
    <mergeCell ref="K89:K90"/>
    <mergeCell ref="L89:L90"/>
    <mergeCell ref="M89:M90"/>
    <mergeCell ref="N89:N90"/>
    <mergeCell ref="AA91:AA92"/>
    <mergeCell ref="AB91:AB92"/>
    <mergeCell ref="AA89:AA90"/>
    <mergeCell ref="AB89:AB90"/>
    <mergeCell ref="P89:P90"/>
    <mergeCell ref="Q89:Q90"/>
    <mergeCell ref="T89:T90"/>
    <mergeCell ref="U89:U90"/>
    <mergeCell ref="X91:X92"/>
    <mergeCell ref="W91:W92"/>
    <mergeCell ref="N87:N88"/>
    <mergeCell ref="O87:O88"/>
    <mergeCell ref="H89:H90"/>
    <mergeCell ref="E87:E88"/>
    <mergeCell ref="AC91:AC92"/>
    <mergeCell ref="AD91:AD92"/>
    <mergeCell ref="Y89:Y90"/>
    <mergeCell ref="Z89:Z90"/>
    <mergeCell ref="Y91:Y92"/>
    <mergeCell ref="Z91:Z92"/>
    <mergeCell ref="A89:A90"/>
    <mergeCell ref="B89:B90"/>
    <mergeCell ref="C89:C90"/>
    <mergeCell ref="D89:D90"/>
    <mergeCell ref="E89:E90"/>
    <mergeCell ref="F89:F90"/>
    <mergeCell ref="V89:V90"/>
    <mergeCell ref="W89:W90"/>
    <mergeCell ref="X89:X90"/>
    <mergeCell ref="S87:S88"/>
    <mergeCell ref="T87:T88"/>
    <mergeCell ref="U87:U88"/>
    <mergeCell ref="V87:V88"/>
    <mergeCell ref="W87:W88"/>
    <mergeCell ref="X87:X88"/>
    <mergeCell ref="R89:R90"/>
    <mergeCell ref="Q91:Q92"/>
    <mergeCell ref="X83:X84"/>
    <mergeCell ref="J87:J88"/>
    <mergeCell ref="K87:K88"/>
    <mergeCell ref="L87:L88"/>
    <mergeCell ref="M87:M88"/>
    <mergeCell ref="V85:V86"/>
    <mergeCell ref="W85:W86"/>
    <mergeCell ref="R85:R86"/>
    <mergeCell ref="Q87:Q88"/>
    <mergeCell ref="R87:R88"/>
    <mergeCell ref="F87:F88"/>
    <mergeCell ref="G87:G88"/>
    <mergeCell ref="H87:H88"/>
    <mergeCell ref="A87:A88"/>
    <mergeCell ref="B87:B88"/>
    <mergeCell ref="C87:C88"/>
    <mergeCell ref="D87:D88"/>
    <mergeCell ref="P87:P88"/>
    <mergeCell ref="P85:P86"/>
    <mergeCell ref="Q85:Q86"/>
    <mergeCell ref="G85:G86"/>
    <mergeCell ref="H85:H86"/>
    <mergeCell ref="J85:J86"/>
    <mergeCell ref="K85:K86"/>
    <mergeCell ref="L85:L86"/>
    <mergeCell ref="M85:M86"/>
    <mergeCell ref="N85:N86"/>
    <mergeCell ref="AD83:AD84"/>
    <mergeCell ref="A81:A82"/>
    <mergeCell ref="B81:B82"/>
    <mergeCell ref="C81:C82"/>
    <mergeCell ref="D81:D82"/>
    <mergeCell ref="E81:E82"/>
    <mergeCell ref="Y83:Y84"/>
    <mergeCell ref="Z83:Z84"/>
    <mergeCell ref="Q83:Q84"/>
    <mergeCell ref="R83:R84"/>
    <mergeCell ref="AC87:AC88"/>
    <mergeCell ref="AD87:AD88"/>
    <mergeCell ref="AA85:AA86"/>
    <mergeCell ref="AB85:AB86"/>
    <mergeCell ref="AA87:AA88"/>
    <mergeCell ref="AB87:AB88"/>
    <mergeCell ref="AC85:AC86"/>
    <mergeCell ref="AD85:AD86"/>
    <mergeCell ref="N83:N84"/>
    <mergeCell ref="O83:O84"/>
    <mergeCell ref="O85:O86"/>
    <mergeCell ref="F83:F84"/>
    <mergeCell ref="G83:G84"/>
    <mergeCell ref="H83:H84"/>
    <mergeCell ref="J83:J84"/>
    <mergeCell ref="K83:K84"/>
    <mergeCell ref="A85:A86"/>
    <mergeCell ref="B85:B86"/>
    <mergeCell ref="C85:C86"/>
    <mergeCell ref="D85:D86"/>
    <mergeCell ref="E85:E86"/>
    <mergeCell ref="F85:F86"/>
    <mergeCell ref="AC83:AC84"/>
    <mergeCell ref="R81:R82"/>
    <mergeCell ref="X85:X86"/>
    <mergeCell ref="S83:S84"/>
    <mergeCell ref="T83:T84"/>
    <mergeCell ref="U83:U84"/>
    <mergeCell ref="V83:V84"/>
    <mergeCell ref="S85:S86"/>
    <mergeCell ref="T85:T86"/>
    <mergeCell ref="U85:U86"/>
    <mergeCell ref="G81:G82"/>
    <mergeCell ref="H81:H82"/>
    <mergeCell ref="L83:L84"/>
    <mergeCell ref="M83:M84"/>
    <mergeCell ref="P83:P84"/>
    <mergeCell ref="AC81:AC82"/>
    <mergeCell ref="S81:S82"/>
    <mergeCell ref="T81:T82"/>
    <mergeCell ref="U81:U82"/>
    <mergeCell ref="N81:N82"/>
    <mergeCell ref="L81:L82"/>
    <mergeCell ref="M81:M82"/>
    <mergeCell ref="AD81:AD82"/>
    <mergeCell ref="A83:A84"/>
    <mergeCell ref="B83:B84"/>
    <mergeCell ref="C83:C84"/>
    <mergeCell ref="D83:D84"/>
    <mergeCell ref="E83:E84"/>
    <mergeCell ref="P81:P82"/>
    <mergeCell ref="Q81:Q82"/>
    <mergeCell ref="AD79:AD80"/>
    <mergeCell ref="A77:A78"/>
    <mergeCell ref="B77:B78"/>
    <mergeCell ref="C77:C78"/>
    <mergeCell ref="D77:D78"/>
    <mergeCell ref="W79:W80"/>
    <mergeCell ref="X79:X80"/>
    <mergeCell ref="AA79:AA80"/>
    <mergeCell ref="AB79:AB80"/>
    <mergeCell ref="V79:V80"/>
    <mergeCell ref="N79:N80"/>
    <mergeCell ref="O79:O80"/>
    <mergeCell ref="P79:P80"/>
    <mergeCell ref="V81:V82"/>
    <mergeCell ref="S79:S80"/>
    <mergeCell ref="T79:T80"/>
    <mergeCell ref="U79:U80"/>
    <mergeCell ref="O81:O82"/>
    <mergeCell ref="AA81:AA82"/>
    <mergeCell ref="AB81:AB82"/>
    <mergeCell ref="Y81:Y82"/>
    <mergeCell ref="Z81:Z82"/>
    <mergeCell ref="F81:F82"/>
    <mergeCell ref="W81:W82"/>
    <mergeCell ref="X81:X82"/>
    <mergeCell ref="J81:J82"/>
    <mergeCell ref="K81:K82"/>
    <mergeCell ref="L77:L78"/>
    <mergeCell ref="M77:M78"/>
    <mergeCell ref="G79:G80"/>
    <mergeCell ref="H79:H80"/>
    <mergeCell ref="J79:J80"/>
    <mergeCell ref="K79:K80"/>
    <mergeCell ref="Q75:Q76"/>
    <mergeCell ref="R75:R76"/>
    <mergeCell ref="L79:L80"/>
    <mergeCell ref="M79:M80"/>
    <mergeCell ref="C75:C76"/>
    <mergeCell ref="D75:D76"/>
    <mergeCell ref="G77:G78"/>
    <mergeCell ref="H77:H78"/>
    <mergeCell ref="J77:J78"/>
    <mergeCell ref="K77:K78"/>
    <mergeCell ref="AD77:AD78"/>
    <mergeCell ref="A79:A80"/>
    <mergeCell ref="B79:B80"/>
    <mergeCell ref="C79:C80"/>
    <mergeCell ref="D79:D80"/>
    <mergeCell ref="E79:E80"/>
    <mergeCell ref="P77:P78"/>
    <mergeCell ref="Q77:Q78"/>
    <mergeCell ref="R77:R78"/>
    <mergeCell ref="Q79:Q80"/>
    <mergeCell ref="AA77:AA78"/>
    <mergeCell ref="AC79:AC80"/>
    <mergeCell ref="W77:W78"/>
    <mergeCell ref="R79:R80"/>
    <mergeCell ref="S77:S78"/>
    <mergeCell ref="T77:T78"/>
    <mergeCell ref="AC77:AC78"/>
    <mergeCell ref="X77:X78"/>
    <mergeCell ref="U77:U78"/>
    <mergeCell ref="O75:O76"/>
    <mergeCell ref="P75:P76"/>
    <mergeCell ref="W75:W76"/>
    <mergeCell ref="J75:J76"/>
    <mergeCell ref="S75:S76"/>
    <mergeCell ref="N77:N78"/>
    <mergeCell ref="O77:O78"/>
    <mergeCell ref="T75:T76"/>
    <mergeCell ref="U75:U76"/>
    <mergeCell ref="V75:V76"/>
    <mergeCell ref="K73:K74"/>
    <mergeCell ref="L73:L74"/>
    <mergeCell ref="M73:M74"/>
    <mergeCell ref="N73:N74"/>
    <mergeCell ref="F79:F80"/>
    <mergeCell ref="E75:E76"/>
    <mergeCell ref="G73:G74"/>
    <mergeCell ref="J73:J74"/>
    <mergeCell ref="G75:G76"/>
    <mergeCell ref="H75:H76"/>
    <mergeCell ref="E77:E78"/>
    <mergeCell ref="F77:F78"/>
    <mergeCell ref="E73:E74"/>
    <mergeCell ref="F73:F74"/>
    <mergeCell ref="N75:N76"/>
    <mergeCell ref="H73:H74"/>
    <mergeCell ref="F75:F76"/>
    <mergeCell ref="K75:K76"/>
    <mergeCell ref="L75:L76"/>
    <mergeCell ref="M75:M76"/>
    <mergeCell ref="AC75:AC76"/>
    <mergeCell ref="AD75:AD76"/>
    <mergeCell ref="X75:X76"/>
    <mergeCell ref="V73:V74"/>
    <mergeCell ref="W73:W74"/>
    <mergeCell ref="X73:X74"/>
    <mergeCell ref="Y75:Y76"/>
    <mergeCell ref="Z75:Z76"/>
    <mergeCell ref="AA75:AA76"/>
    <mergeCell ref="AB75:AB76"/>
    <mergeCell ref="W69:W70"/>
    <mergeCell ref="X69:X70"/>
    <mergeCell ref="G69:G70"/>
    <mergeCell ref="O71:O72"/>
    <mergeCell ref="P71:P72"/>
    <mergeCell ref="Q71:Q72"/>
    <mergeCell ref="M69:M70"/>
    <mergeCell ref="N69:N70"/>
    <mergeCell ref="D71:D72"/>
    <mergeCell ref="E71:E72"/>
    <mergeCell ref="P69:P70"/>
    <mergeCell ref="E69:E70"/>
    <mergeCell ref="A73:A74"/>
    <mergeCell ref="V69:V70"/>
    <mergeCell ref="P73:P74"/>
    <mergeCell ref="Q73:Q74"/>
    <mergeCell ref="R73:R74"/>
    <mergeCell ref="O73:O74"/>
    <mergeCell ref="A75:A76"/>
    <mergeCell ref="B75:B76"/>
    <mergeCell ref="B73:B74"/>
    <mergeCell ref="C73:C74"/>
    <mergeCell ref="AC69:AC70"/>
    <mergeCell ref="AD69:AD70"/>
    <mergeCell ref="A71:A72"/>
    <mergeCell ref="B71:B72"/>
    <mergeCell ref="T69:T70"/>
    <mergeCell ref="C71:C72"/>
    <mergeCell ref="D73:D74"/>
    <mergeCell ref="AC73:AC74"/>
    <mergeCell ref="AD73:AD74"/>
    <mergeCell ref="S73:S74"/>
    <mergeCell ref="T73:T74"/>
    <mergeCell ref="U73:U74"/>
    <mergeCell ref="Y73:Y74"/>
    <mergeCell ref="Z73:Z74"/>
    <mergeCell ref="AA73:AA74"/>
    <mergeCell ref="AB73:AB74"/>
    <mergeCell ref="X71:X72"/>
    <mergeCell ref="M71:M72"/>
    <mergeCell ref="N71:N72"/>
    <mergeCell ref="K69:K70"/>
    <mergeCell ref="O69:O70"/>
    <mergeCell ref="Q69:Q70"/>
    <mergeCell ref="R69:R70"/>
    <mergeCell ref="S69:S70"/>
    <mergeCell ref="R71:R72"/>
    <mergeCell ref="W71:W72"/>
    <mergeCell ref="X65:X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AC71:AC72"/>
    <mergeCell ref="AD71:AD72"/>
    <mergeCell ref="S71:S72"/>
    <mergeCell ref="C68:D68"/>
    <mergeCell ref="F69:F70"/>
    <mergeCell ref="T71:T72"/>
    <mergeCell ref="U71:U72"/>
    <mergeCell ref="V71:V72"/>
    <mergeCell ref="K71:K72"/>
    <mergeCell ref="L71:L72"/>
    <mergeCell ref="U63:U64"/>
    <mergeCell ref="L61:L62"/>
    <mergeCell ref="F71:F72"/>
    <mergeCell ref="G71:G72"/>
    <mergeCell ref="H71:H72"/>
    <mergeCell ref="J71:J72"/>
    <mergeCell ref="U69:U70"/>
    <mergeCell ref="J69:J70"/>
    <mergeCell ref="J65:J66"/>
    <mergeCell ref="K65:K66"/>
    <mergeCell ref="A69:A70"/>
    <mergeCell ref="B69:B70"/>
    <mergeCell ref="C69:C70"/>
    <mergeCell ref="D69:D70"/>
    <mergeCell ref="V63:V64"/>
    <mergeCell ref="L69:L70"/>
    <mergeCell ref="A65:A66"/>
    <mergeCell ref="B65:B66"/>
    <mergeCell ref="C65:C66"/>
    <mergeCell ref="D65:D66"/>
    <mergeCell ref="E65:E66"/>
    <mergeCell ref="M63:M64"/>
    <mergeCell ref="N63:N64"/>
    <mergeCell ref="K63:K64"/>
    <mergeCell ref="W63:W64"/>
    <mergeCell ref="AD65:AD66"/>
    <mergeCell ref="Z63:Z64"/>
    <mergeCell ref="Y65:Y66"/>
    <mergeCell ref="Z65:Z66"/>
    <mergeCell ref="AC65:AC66"/>
    <mergeCell ref="W65:W66"/>
    <mergeCell ref="AC63:AC64"/>
    <mergeCell ref="AD63:AD64"/>
    <mergeCell ref="X63:X64"/>
    <mergeCell ref="T63:T64"/>
    <mergeCell ref="F65:F66"/>
    <mergeCell ref="G65:G66"/>
    <mergeCell ref="F61:F62"/>
    <mergeCell ref="G61:G62"/>
    <mergeCell ref="H61:H62"/>
    <mergeCell ref="J61:J62"/>
    <mergeCell ref="I63:I64"/>
    <mergeCell ref="J63:J64"/>
    <mergeCell ref="H65:H66"/>
    <mergeCell ref="I65:I66"/>
    <mergeCell ref="AA63:AA64"/>
    <mergeCell ref="AB63:AB64"/>
    <mergeCell ref="AB65:AB66"/>
    <mergeCell ref="AA65:AA66"/>
    <mergeCell ref="P63:P64"/>
    <mergeCell ref="O63:O64"/>
    <mergeCell ref="V65:V66"/>
    <mergeCell ref="H63:H64"/>
    <mergeCell ref="A63:A64"/>
    <mergeCell ref="B63:B64"/>
    <mergeCell ref="C63:C64"/>
    <mergeCell ref="D63:D64"/>
    <mergeCell ref="AC61:AC62"/>
    <mergeCell ref="AD61:AD62"/>
    <mergeCell ref="F63:F64"/>
    <mergeCell ref="G63:G64"/>
    <mergeCell ref="R63:R64"/>
    <mergeCell ref="S63:S64"/>
    <mergeCell ref="E63:E64"/>
    <mergeCell ref="Y63:Y64"/>
    <mergeCell ref="Q63:Q64"/>
    <mergeCell ref="A61:A62"/>
    <mergeCell ref="B61:B62"/>
    <mergeCell ref="C61:C62"/>
    <mergeCell ref="D61:D62"/>
    <mergeCell ref="E61:E62"/>
    <mergeCell ref="V61:V62"/>
    <mergeCell ref="K61:K62"/>
    <mergeCell ref="W61:W62"/>
    <mergeCell ref="X61:X62"/>
    <mergeCell ref="T59:T60"/>
    <mergeCell ref="U59:U60"/>
    <mergeCell ref="P59:P60"/>
    <mergeCell ref="Q59:Q60"/>
    <mergeCell ref="R59:R60"/>
    <mergeCell ref="O61:O62"/>
    <mergeCell ref="P61:P62"/>
    <mergeCell ref="Q61:Q62"/>
    <mergeCell ref="R61:R62"/>
    <mergeCell ref="F59:F60"/>
    <mergeCell ref="G59:G60"/>
    <mergeCell ref="J59:J60"/>
    <mergeCell ref="AC57:AC58"/>
    <mergeCell ref="Z57:Z58"/>
    <mergeCell ref="AA57:AA58"/>
    <mergeCell ref="AB57:AB58"/>
    <mergeCell ref="K59:K60"/>
    <mergeCell ref="S61:S62"/>
    <mergeCell ref="T61:T62"/>
    <mergeCell ref="U61:U62"/>
    <mergeCell ref="M61:M62"/>
    <mergeCell ref="N61:N62"/>
    <mergeCell ref="X57:X58"/>
    <mergeCell ref="T57:T58"/>
    <mergeCell ref="U57:U58"/>
    <mergeCell ref="V57:V58"/>
    <mergeCell ref="AD57:AD58"/>
    <mergeCell ref="A59:A60"/>
    <mergeCell ref="B59:B60"/>
    <mergeCell ref="C59:C60"/>
    <mergeCell ref="D59:D60"/>
    <mergeCell ref="E59:E60"/>
    <mergeCell ref="AD59:AD60"/>
    <mergeCell ref="S59:S60"/>
    <mergeCell ref="Y57:Y58"/>
    <mergeCell ref="L57:L58"/>
    <mergeCell ref="M57:M58"/>
    <mergeCell ref="V59:V60"/>
    <mergeCell ref="W59:W60"/>
    <mergeCell ref="R57:R58"/>
    <mergeCell ref="S57:S58"/>
    <mergeCell ref="W57:W58"/>
    <mergeCell ref="L59:L60"/>
    <mergeCell ref="M59:M60"/>
    <mergeCell ref="H59:H60"/>
    <mergeCell ref="I59:I60"/>
    <mergeCell ref="H57:H58"/>
    <mergeCell ref="I57:I58"/>
    <mergeCell ref="J57:J58"/>
    <mergeCell ref="AC59:AC60"/>
    <mergeCell ref="A57:A58"/>
    <mergeCell ref="B57:B58"/>
    <mergeCell ref="C57:C58"/>
    <mergeCell ref="D57:D58"/>
    <mergeCell ref="E57:E58"/>
    <mergeCell ref="F57:F58"/>
    <mergeCell ref="G57:G58"/>
    <mergeCell ref="N57:N58"/>
    <mergeCell ref="O57:O58"/>
    <mergeCell ref="P57:P58"/>
    <mergeCell ref="Q57:Q58"/>
    <mergeCell ref="F55:F56"/>
    <mergeCell ref="G55:G56"/>
    <mergeCell ref="H55:H56"/>
    <mergeCell ref="I55:I56"/>
    <mergeCell ref="K57:K58"/>
    <mergeCell ref="V55:V56"/>
    <mergeCell ref="Q55:Q56"/>
    <mergeCell ref="Y59:Y60"/>
    <mergeCell ref="I53:I54"/>
    <mergeCell ref="J53:J54"/>
    <mergeCell ref="K53:K54"/>
    <mergeCell ref="M53:M54"/>
    <mergeCell ref="T53:T54"/>
    <mergeCell ref="N59:N60"/>
    <mergeCell ref="O59:O60"/>
    <mergeCell ref="A53:A54"/>
    <mergeCell ref="B53:B54"/>
    <mergeCell ref="C53:C54"/>
    <mergeCell ref="D53:D54"/>
    <mergeCell ref="A55:A56"/>
    <mergeCell ref="B55:B56"/>
    <mergeCell ref="C55:C56"/>
    <mergeCell ref="D55:D56"/>
    <mergeCell ref="E55:E56"/>
    <mergeCell ref="P53:P54"/>
    <mergeCell ref="J55:J56"/>
    <mergeCell ref="K55:K56"/>
    <mergeCell ref="G53:G54"/>
    <mergeCell ref="H53:H54"/>
    <mergeCell ref="F53:F54"/>
    <mergeCell ref="E53:E54"/>
    <mergeCell ref="U55:U56"/>
    <mergeCell ref="X59:X60"/>
    <mergeCell ref="W55:W56"/>
    <mergeCell ref="L55:L56"/>
    <mergeCell ref="M55:M56"/>
    <mergeCell ref="N55:N56"/>
    <mergeCell ref="S55:S56"/>
    <mergeCell ref="T55:T56"/>
    <mergeCell ref="O55:O56"/>
    <mergeCell ref="P55:P56"/>
    <mergeCell ref="X53:X54"/>
    <mergeCell ref="AC53:AC54"/>
    <mergeCell ref="AC55:AC56"/>
    <mergeCell ref="Z53:Z54"/>
    <mergeCell ref="Y55:Y56"/>
    <mergeCell ref="Z55:Z56"/>
    <mergeCell ref="AC51:AC52"/>
    <mergeCell ref="AD51:AD52"/>
    <mergeCell ref="Y51:Y52"/>
    <mergeCell ref="AA51:AA52"/>
    <mergeCell ref="AD55:AD56"/>
    <mergeCell ref="AD53:AD54"/>
    <mergeCell ref="U53:U54"/>
    <mergeCell ref="N53:N54"/>
    <mergeCell ref="O53:O54"/>
    <mergeCell ref="X55:X56"/>
    <mergeCell ref="V53:V54"/>
    <mergeCell ref="Q53:Q54"/>
    <mergeCell ref="R53:R54"/>
    <mergeCell ref="S53:S54"/>
    <mergeCell ref="W53:W54"/>
    <mergeCell ref="R55:R56"/>
    <mergeCell ref="A51:A52"/>
    <mergeCell ref="B51:B52"/>
    <mergeCell ref="C51:C52"/>
    <mergeCell ref="D51:D52"/>
    <mergeCell ref="S49:S50"/>
    <mergeCell ref="T49:T50"/>
    <mergeCell ref="O51:O52"/>
    <mergeCell ref="P51:P52"/>
    <mergeCell ref="Q51:Q52"/>
    <mergeCell ref="E51:E52"/>
    <mergeCell ref="F51:F52"/>
    <mergeCell ref="U49:U50"/>
    <mergeCell ref="G51:G52"/>
    <mergeCell ref="R51:R52"/>
    <mergeCell ref="S51:S52"/>
    <mergeCell ref="T51:T52"/>
    <mergeCell ref="H51:H52"/>
    <mergeCell ref="I51:I52"/>
    <mergeCell ref="J51:J52"/>
    <mergeCell ref="M51:M52"/>
    <mergeCell ref="N51:N52"/>
    <mergeCell ref="U51:U52"/>
    <mergeCell ref="V49:V50"/>
    <mergeCell ref="I49:I50"/>
    <mergeCell ref="M49:M50"/>
    <mergeCell ref="N49:N50"/>
    <mergeCell ref="R49:R50"/>
    <mergeCell ref="J49:J50"/>
    <mergeCell ref="AA49:AA50"/>
    <mergeCell ref="V51:V52"/>
    <mergeCell ref="K51:K52"/>
    <mergeCell ref="L51:L52"/>
    <mergeCell ref="X49:X50"/>
    <mergeCell ref="K49:K50"/>
    <mergeCell ref="L49:L50"/>
    <mergeCell ref="W51:W52"/>
    <mergeCell ref="X51:X52"/>
    <mergeCell ref="G49:G50"/>
    <mergeCell ref="H49:H50"/>
    <mergeCell ref="AC49:AC50"/>
    <mergeCell ref="AD49:AD50"/>
    <mergeCell ref="O49:O50"/>
    <mergeCell ref="P49:P50"/>
    <mergeCell ref="Q49:Q50"/>
    <mergeCell ref="W49:W50"/>
    <mergeCell ref="Y49:Y50"/>
    <mergeCell ref="Z49:Z50"/>
    <mergeCell ref="A49:A50"/>
    <mergeCell ref="B49:B50"/>
    <mergeCell ref="C49:C50"/>
    <mergeCell ref="D49:D50"/>
    <mergeCell ref="E49:E50"/>
    <mergeCell ref="F49:F50"/>
    <mergeCell ref="M47:M48"/>
    <mergeCell ref="N47:N48"/>
    <mergeCell ref="K47:K48"/>
    <mergeCell ref="L47:L48"/>
    <mergeCell ref="F47:F48"/>
    <mergeCell ref="G47:G48"/>
    <mergeCell ref="H47:H48"/>
    <mergeCell ref="J47:J48"/>
    <mergeCell ref="O47:O48"/>
    <mergeCell ref="Y45:Y46"/>
    <mergeCell ref="U45:U46"/>
    <mergeCell ref="R45:R46"/>
    <mergeCell ref="S45:S46"/>
    <mergeCell ref="P45:P46"/>
    <mergeCell ref="Q45:Q46"/>
    <mergeCell ref="S47:S48"/>
    <mergeCell ref="T47:T48"/>
    <mergeCell ref="W47:W48"/>
    <mergeCell ref="X47:X48"/>
    <mergeCell ref="P47:P48"/>
    <mergeCell ref="Q47:Q48"/>
    <mergeCell ref="R47:R48"/>
    <mergeCell ref="N45:N46"/>
    <mergeCell ref="O45:O46"/>
    <mergeCell ref="T45:T46"/>
    <mergeCell ref="U47:U48"/>
    <mergeCell ref="V47:V48"/>
    <mergeCell ref="E45:E46"/>
    <mergeCell ref="F45:F46"/>
    <mergeCell ref="G45:G46"/>
    <mergeCell ref="H45:H46"/>
    <mergeCell ref="Z45:Z46"/>
    <mergeCell ref="N41:N42"/>
    <mergeCell ref="Z47:Z48"/>
    <mergeCell ref="AC45:AC46"/>
    <mergeCell ref="AA47:AA48"/>
    <mergeCell ref="AA45:AA46"/>
    <mergeCell ref="AD45:AD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AC47:AC48"/>
    <mergeCell ref="AD47:AD48"/>
    <mergeCell ref="V45:V46"/>
    <mergeCell ref="W45:W46"/>
    <mergeCell ref="X45:X46"/>
    <mergeCell ref="Y47:Y48"/>
    <mergeCell ref="J45:J46"/>
    <mergeCell ref="K45:K46"/>
    <mergeCell ref="L45:L46"/>
    <mergeCell ref="M45:M46"/>
    <mergeCell ref="K43:K44"/>
    <mergeCell ref="V41:V42"/>
    <mergeCell ref="S43:S44"/>
    <mergeCell ref="R43:R44"/>
    <mergeCell ref="P41:P42"/>
    <mergeCell ref="Q41:Q42"/>
    <mergeCell ref="H41:H42"/>
    <mergeCell ref="I41:I42"/>
    <mergeCell ref="W43:W44"/>
    <mergeCell ref="I43:I44"/>
    <mergeCell ref="M43:M44"/>
    <mergeCell ref="N43:N44"/>
    <mergeCell ref="O43:O44"/>
    <mergeCell ref="R41:R42"/>
    <mergeCell ref="S41:S42"/>
    <mergeCell ref="F43:F44"/>
    <mergeCell ref="G43:G44"/>
    <mergeCell ref="U41:U42"/>
    <mergeCell ref="O41:O42"/>
    <mergeCell ref="W41:W42"/>
    <mergeCell ref="X41:X42"/>
    <mergeCell ref="F41:F42"/>
    <mergeCell ref="H43:H44"/>
    <mergeCell ref="J43:J44"/>
    <mergeCell ref="X43:X44"/>
    <mergeCell ref="Z43:Z44"/>
    <mergeCell ref="AA43:AA44"/>
    <mergeCell ref="AC43:AC44"/>
    <mergeCell ref="T43:T44"/>
    <mergeCell ref="U43:U44"/>
    <mergeCell ref="V43:V44"/>
    <mergeCell ref="Y43:Y44"/>
    <mergeCell ref="AB41:AB42"/>
    <mergeCell ref="AA39:AA40"/>
    <mergeCell ref="AB39:AB40"/>
    <mergeCell ref="AA41:AA42"/>
    <mergeCell ref="AC41:AC42"/>
    <mergeCell ref="AB43:AB44"/>
    <mergeCell ref="AC39:AC40"/>
    <mergeCell ref="J41:J42"/>
    <mergeCell ref="K41:K42"/>
    <mergeCell ref="Y41:Y42"/>
    <mergeCell ref="Z41:Z42"/>
    <mergeCell ref="M39:M40"/>
    <mergeCell ref="P39:P40"/>
    <mergeCell ref="N39:N40"/>
    <mergeCell ref="O39:O40"/>
    <mergeCell ref="A43:A44"/>
    <mergeCell ref="B43:B44"/>
    <mergeCell ref="C43:C44"/>
    <mergeCell ref="D43:D44"/>
    <mergeCell ref="AD41:AD42"/>
    <mergeCell ref="Y39:Y40"/>
    <mergeCell ref="Z39:Z40"/>
    <mergeCell ref="G39:G40"/>
    <mergeCell ref="H39:H40"/>
    <mergeCell ref="G41:G42"/>
    <mergeCell ref="E43:E44"/>
    <mergeCell ref="AD43:AD44"/>
    <mergeCell ref="A41:A42"/>
    <mergeCell ref="B41:B42"/>
    <mergeCell ref="C41:C42"/>
    <mergeCell ref="P43:P44"/>
    <mergeCell ref="Q43:Q44"/>
    <mergeCell ref="T41:T42"/>
    <mergeCell ref="D41:D42"/>
    <mergeCell ref="E41:E42"/>
    <mergeCell ref="Q35:Q36"/>
    <mergeCell ref="R35:R36"/>
    <mergeCell ref="V35:V36"/>
    <mergeCell ref="Y35:Y36"/>
    <mergeCell ref="Z35:Z36"/>
    <mergeCell ref="AA35:AA36"/>
    <mergeCell ref="U37:U38"/>
    <mergeCell ref="V37:V38"/>
    <mergeCell ref="L37:L38"/>
    <mergeCell ref="M37:M38"/>
    <mergeCell ref="E39:E40"/>
    <mergeCell ref="F39:F40"/>
    <mergeCell ref="G37:G38"/>
    <mergeCell ref="H37:H38"/>
    <mergeCell ref="I37:I38"/>
    <mergeCell ref="J37:J38"/>
    <mergeCell ref="O37:O38"/>
    <mergeCell ref="P37:P38"/>
    <mergeCell ref="Q37:Q38"/>
    <mergeCell ref="R37:R38"/>
    <mergeCell ref="S37:S38"/>
    <mergeCell ref="T37:T38"/>
    <mergeCell ref="V39:V40"/>
    <mergeCell ref="W39:W40"/>
    <mergeCell ref="X39:X40"/>
    <mergeCell ref="X35:X36"/>
    <mergeCell ref="AC37:AC38"/>
    <mergeCell ref="AD37:AD38"/>
    <mergeCell ref="AC35:AC36"/>
    <mergeCell ref="AD35:AD36"/>
    <mergeCell ref="A39:A40"/>
    <mergeCell ref="B39:B40"/>
    <mergeCell ref="C39:C40"/>
    <mergeCell ref="D39:D40"/>
    <mergeCell ref="N35:N36"/>
    <mergeCell ref="AD39:AD40"/>
    <mergeCell ref="E37:E38"/>
    <mergeCell ref="F37:F38"/>
    <mergeCell ref="T39:T40"/>
    <mergeCell ref="U39:U40"/>
    <mergeCell ref="W37:W38"/>
    <mergeCell ref="C37:C38"/>
    <mergeCell ref="D37:D38"/>
    <mergeCell ref="H35:H36"/>
    <mergeCell ref="I35:I36"/>
    <mergeCell ref="E35:E36"/>
    <mergeCell ref="F35:F36"/>
    <mergeCell ref="G35:G36"/>
    <mergeCell ref="W35:W36"/>
    <mergeCell ref="N37:N38"/>
    <mergeCell ref="X37:X38"/>
    <mergeCell ref="A37:A38"/>
    <mergeCell ref="B37:B38"/>
    <mergeCell ref="K39:K40"/>
    <mergeCell ref="Q39:Q40"/>
    <mergeCell ref="R39:R40"/>
    <mergeCell ref="K37:K38"/>
    <mergeCell ref="I39:I40"/>
    <mergeCell ref="J39:J40"/>
    <mergeCell ref="S39:S40"/>
    <mergeCell ref="Q33:Q34"/>
    <mergeCell ref="R33:R34"/>
    <mergeCell ref="S33:S34"/>
    <mergeCell ref="V33:V34"/>
    <mergeCell ref="A35:A36"/>
    <mergeCell ref="B35:B36"/>
    <mergeCell ref="C35:C36"/>
    <mergeCell ref="D35:D36"/>
    <mergeCell ref="O35:O36"/>
    <mergeCell ref="P35:P36"/>
    <mergeCell ref="U35:U36"/>
    <mergeCell ref="F33:F34"/>
    <mergeCell ref="G33:G34"/>
    <mergeCell ref="J35:J36"/>
    <mergeCell ref="K35:K36"/>
    <mergeCell ref="M35:M36"/>
    <mergeCell ref="S35:S36"/>
    <mergeCell ref="T35:T36"/>
    <mergeCell ref="M33:M34"/>
    <mergeCell ref="N33:N34"/>
    <mergeCell ref="AC33:AC34"/>
    <mergeCell ref="AD31:AD32"/>
    <mergeCell ref="A33:A34"/>
    <mergeCell ref="B33:B34"/>
    <mergeCell ref="C33:C34"/>
    <mergeCell ref="D33:D34"/>
    <mergeCell ref="E33:E34"/>
    <mergeCell ref="P31:P32"/>
    <mergeCell ref="Q31:Q32"/>
    <mergeCell ref="J33:J34"/>
    <mergeCell ref="O31:O32"/>
    <mergeCell ref="R31:R32"/>
    <mergeCell ref="S31:S32"/>
    <mergeCell ref="H33:H34"/>
    <mergeCell ref="I33:I34"/>
    <mergeCell ref="X33:X34"/>
    <mergeCell ref="K33:K34"/>
    <mergeCell ref="W33:W34"/>
    <mergeCell ref="O33:O34"/>
    <mergeCell ref="P33:P34"/>
    <mergeCell ref="Z33:Z34"/>
    <mergeCell ref="AD33:AD34"/>
    <mergeCell ref="AB33:AB34"/>
    <mergeCell ref="AA31:AA32"/>
    <mergeCell ref="AA33:AA34"/>
    <mergeCell ref="F31:F32"/>
    <mergeCell ref="G31:G32"/>
    <mergeCell ref="T33:T34"/>
    <mergeCell ref="U33:U34"/>
    <mergeCell ref="N31:N32"/>
    <mergeCell ref="H31:H32"/>
    <mergeCell ref="Y31:Y32"/>
    <mergeCell ref="Z31:Z32"/>
    <mergeCell ref="AB31:AB32"/>
    <mergeCell ref="A31:A32"/>
    <mergeCell ref="B31:B32"/>
    <mergeCell ref="C31:C32"/>
    <mergeCell ref="D31:D32"/>
    <mergeCell ref="V31:V32"/>
    <mergeCell ref="W31:W32"/>
    <mergeCell ref="T29:T30"/>
    <mergeCell ref="U29:U30"/>
    <mergeCell ref="H29:H30"/>
    <mergeCell ref="L29:L30"/>
    <mergeCell ref="E31:E32"/>
    <mergeCell ref="AC31:AC32"/>
    <mergeCell ref="T31:T32"/>
    <mergeCell ref="U31:U32"/>
    <mergeCell ref="I31:I32"/>
    <mergeCell ref="X31:X32"/>
    <mergeCell ref="J31:J32"/>
    <mergeCell ref="K31:K32"/>
    <mergeCell ref="M31:M32"/>
    <mergeCell ref="X27:X28"/>
    <mergeCell ref="N27:N28"/>
    <mergeCell ref="O27:O28"/>
    <mergeCell ref="M29:M30"/>
    <mergeCell ref="N29:N30"/>
    <mergeCell ref="O29:O30"/>
    <mergeCell ref="P29:P30"/>
    <mergeCell ref="W29:W30"/>
    <mergeCell ref="X29:X30"/>
    <mergeCell ref="AA29:AA30"/>
    <mergeCell ref="V27:V28"/>
    <mergeCell ref="W27:W28"/>
    <mergeCell ref="L27:L28"/>
    <mergeCell ref="M27:M28"/>
    <mergeCell ref="R27:R28"/>
    <mergeCell ref="S27:S28"/>
    <mergeCell ref="S29:S30"/>
    <mergeCell ref="AD27:AD28"/>
    <mergeCell ref="K29:K30"/>
    <mergeCell ref="F29:F30"/>
    <mergeCell ref="A29:A30"/>
    <mergeCell ref="B29:B30"/>
    <mergeCell ref="C29:C30"/>
    <mergeCell ref="D29:D30"/>
    <mergeCell ref="AC29:AC30"/>
    <mergeCell ref="T27:T28"/>
    <mergeCell ref="U27:U28"/>
    <mergeCell ref="B27:B28"/>
    <mergeCell ref="C27:C28"/>
    <mergeCell ref="D27:D28"/>
    <mergeCell ref="E29:E30"/>
    <mergeCell ref="P27:P28"/>
    <mergeCell ref="AD29:AD30"/>
    <mergeCell ref="AA27:AA28"/>
    <mergeCell ref="AB27:AB28"/>
    <mergeCell ref="AB29:AB30"/>
    <mergeCell ref="AC27:AC28"/>
    <mergeCell ref="R25:R26"/>
    <mergeCell ref="P25:P26"/>
    <mergeCell ref="F25:F26"/>
    <mergeCell ref="G25:G26"/>
    <mergeCell ref="G29:G30"/>
    <mergeCell ref="J29:J30"/>
    <mergeCell ref="J27:J28"/>
    <mergeCell ref="K27:K28"/>
    <mergeCell ref="Q29:Q30"/>
    <mergeCell ref="R29:R30"/>
    <mergeCell ref="G27:G28"/>
    <mergeCell ref="S19:S20"/>
    <mergeCell ref="G19:G20"/>
    <mergeCell ref="E19:E20"/>
    <mergeCell ref="J25:J26"/>
    <mergeCell ref="K25:K26"/>
    <mergeCell ref="L25:L26"/>
    <mergeCell ref="E25:E26"/>
    <mergeCell ref="N19:N20"/>
    <mergeCell ref="F21:F22"/>
    <mergeCell ref="A19:A20"/>
    <mergeCell ref="B19:B20"/>
    <mergeCell ref="C19:C20"/>
    <mergeCell ref="D19:D20"/>
    <mergeCell ref="E27:E28"/>
    <mergeCell ref="F27:F28"/>
    <mergeCell ref="B25:B26"/>
    <mergeCell ref="C25:C26"/>
    <mergeCell ref="D25:D26"/>
    <mergeCell ref="A27:A28"/>
    <mergeCell ref="A25:A26"/>
    <mergeCell ref="Q27:Q28"/>
    <mergeCell ref="J21:J22"/>
    <mergeCell ref="L21:L22"/>
    <mergeCell ref="A21:A22"/>
    <mergeCell ref="B21:B22"/>
    <mergeCell ref="C21:C22"/>
    <mergeCell ref="D21:D22"/>
    <mergeCell ref="H27:H28"/>
    <mergeCell ref="E21:E22"/>
    <mergeCell ref="AD25:AD26"/>
    <mergeCell ref="S25:S26"/>
    <mergeCell ref="T25:T26"/>
    <mergeCell ref="U25:U26"/>
    <mergeCell ref="V25:V26"/>
    <mergeCell ref="W25:W26"/>
    <mergeCell ref="X25:X26"/>
    <mergeCell ref="AA25:AA26"/>
    <mergeCell ref="AC25:AC26"/>
    <mergeCell ref="H25:H26"/>
    <mergeCell ref="M25:M26"/>
    <mergeCell ref="AD17:AD18"/>
    <mergeCell ref="Y17:Y18"/>
    <mergeCell ref="Z17:Z18"/>
    <mergeCell ref="AA17:AA18"/>
    <mergeCell ref="AB17:AB18"/>
    <mergeCell ref="N25:N26"/>
    <mergeCell ref="O25:O26"/>
    <mergeCell ref="Q17:Q18"/>
    <mergeCell ref="F19:F20"/>
    <mergeCell ref="U17:U18"/>
    <mergeCell ref="V17:V18"/>
    <mergeCell ref="O17:O18"/>
    <mergeCell ref="R17:R18"/>
    <mergeCell ref="Q25:Q26"/>
    <mergeCell ref="I19:I20"/>
    <mergeCell ref="J19:J20"/>
    <mergeCell ref="L19:L20"/>
    <mergeCell ref="P21:P22"/>
    <mergeCell ref="AC17:AC18"/>
    <mergeCell ref="P17:P18"/>
    <mergeCell ref="T17:T18"/>
    <mergeCell ref="G17:G18"/>
    <mergeCell ref="I17:I18"/>
    <mergeCell ref="J17:J18"/>
    <mergeCell ref="L17:L18"/>
    <mergeCell ref="N17:N18"/>
    <mergeCell ref="S17:S18"/>
    <mergeCell ref="W17:W18"/>
    <mergeCell ref="AD19:AD20"/>
    <mergeCell ref="T19:T20"/>
    <mergeCell ref="U19:U20"/>
    <mergeCell ref="V19:V20"/>
    <mergeCell ref="W19:W20"/>
    <mergeCell ref="X19:X20"/>
    <mergeCell ref="AC19:AC20"/>
    <mergeCell ref="X17:X18"/>
    <mergeCell ref="M19:M20"/>
    <mergeCell ref="R19:R20"/>
    <mergeCell ref="M17:M18"/>
    <mergeCell ref="O19:O20"/>
    <mergeCell ref="P19:P20"/>
    <mergeCell ref="Q19:Q20"/>
    <mergeCell ref="AC15:AC16"/>
    <mergeCell ref="AD15:AD16"/>
    <mergeCell ref="Y15:Y16"/>
    <mergeCell ref="Z15:Z16"/>
    <mergeCell ref="AA15:AA16"/>
    <mergeCell ref="AB15:AB16"/>
    <mergeCell ref="H11:H12"/>
    <mergeCell ref="I11:I12"/>
    <mergeCell ref="J11:J12"/>
    <mergeCell ref="K11:K12"/>
    <mergeCell ref="R13:R14"/>
    <mergeCell ref="K13:K14"/>
    <mergeCell ref="L13:L14"/>
    <mergeCell ref="M13:M14"/>
    <mergeCell ref="O13:O14"/>
    <mergeCell ref="P13:P14"/>
    <mergeCell ref="J15:J16"/>
    <mergeCell ref="L15:L16"/>
    <mergeCell ref="Q13:Q14"/>
    <mergeCell ref="W13:W14"/>
    <mergeCell ref="A17:A18"/>
    <mergeCell ref="B17:B18"/>
    <mergeCell ref="C17:C18"/>
    <mergeCell ref="D17:D18"/>
    <mergeCell ref="Z11:Z12"/>
    <mergeCell ref="E17:E18"/>
    <mergeCell ref="F17:F18"/>
    <mergeCell ref="U15:U16"/>
    <mergeCell ref="V15:V16"/>
    <mergeCell ref="O15:O16"/>
    <mergeCell ref="P15:P16"/>
    <mergeCell ref="X13:X14"/>
    <mergeCell ref="G15:G16"/>
    <mergeCell ref="I15:I16"/>
    <mergeCell ref="N13:N14"/>
    <mergeCell ref="AE4:AJ5"/>
    <mergeCell ref="AC11:AC12"/>
    <mergeCell ref="AD11:AD12"/>
    <mergeCell ref="T4:V4"/>
    <mergeCell ref="W4:W6"/>
    <mergeCell ref="U11:U12"/>
    <mergeCell ref="V11:V12"/>
    <mergeCell ref="W11:W12"/>
    <mergeCell ref="X11:X12"/>
    <mergeCell ref="O11:O12"/>
    <mergeCell ref="P11:P12"/>
    <mergeCell ref="E13:E14"/>
    <mergeCell ref="T13:T14"/>
    <mergeCell ref="U13:U14"/>
    <mergeCell ref="V13:V14"/>
    <mergeCell ref="F13:F14"/>
    <mergeCell ref="G13:G14"/>
    <mergeCell ref="J13:J14"/>
    <mergeCell ref="S13:S14"/>
    <mergeCell ref="Y13:Y14"/>
    <mergeCell ref="Z13:Z14"/>
    <mergeCell ref="L11:L12"/>
    <mergeCell ref="AA13:AA14"/>
    <mergeCell ref="Q11:Q12"/>
    <mergeCell ref="R11:R12"/>
    <mergeCell ref="S11:S12"/>
    <mergeCell ref="Y11:Y12"/>
    <mergeCell ref="M11:M12"/>
    <mergeCell ref="N11:N12"/>
    <mergeCell ref="C2:X2"/>
    <mergeCell ref="G3:S3"/>
    <mergeCell ref="A4:A6"/>
    <mergeCell ref="B4:B6"/>
    <mergeCell ref="C4:D6"/>
    <mergeCell ref="E4:E6"/>
    <mergeCell ref="F4:F6"/>
    <mergeCell ref="G4:N4"/>
    <mergeCell ref="O4:P4"/>
    <mergeCell ref="Q4:S4"/>
    <mergeCell ref="D15:D16"/>
    <mergeCell ref="D13:D14"/>
    <mergeCell ref="X15:X16"/>
    <mergeCell ref="Q15:Q16"/>
    <mergeCell ref="R15:R16"/>
    <mergeCell ref="S15:S16"/>
    <mergeCell ref="T15:T16"/>
    <mergeCell ref="W15:W16"/>
    <mergeCell ref="E15:E16"/>
    <mergeCell ref="M15:M16"/>
    <mergeCell ref="A13:A14"/>
    <mergeCell ref="B13:B14"/>
    <mergeCell ref="C13:C14"/>
    <mergeCell ref="A11:A12"/>
    <mergeCell ref="B11:B12"/>
    <mergeCell ref="A15:A16"/>
    <mergeCell ref="B15:B16"/>
    <mergeCell ref="C15:C16"/>
    <mergeCell ref="H21:H22"/>
    <mergeCell ref="I21:I22"/>
    <mergeCell ref="C7:D7"/>
    <mergeCell ref="C9:D9"/>
    <mergeCell ref="C11:C12"/>
    <mergeCell ref="D11:D12"/>
    <mergeCell ref="E11:E12"/>
    <mergeCell ref="F11:F12"/>
    <mergeCell ref="F15:F16"/>
    <mergeCell ref="C10:D10"/>
    <mergeCell ref="AD13:AD14"/>
    <mergeCell ref="G11:G12"/>
    <mergeCell ref="X4:X6"/>
    <mergeCell ref="AC4:AC6"/>
    <mergeCell ref="U5:V5"/>
    <mergeCell ref="Y4:Y6"/>
    <mergeCell ref="Z4:Z6"/>
    <mergeCell ref="AB4:AB6"/>
    <mergeCell ref="AA4:AA6"/>
    <mergeCell ref="AA11:AA12"/>
    <mergeCell ref="AB19:AB20"/>
    <mergeCell ref="N5:N6"/>
    <mergeCell ref="O5:O6"/>
    <mergeCell ref="P5:P6"/>
    <mergeCell ref="Q5:Q6"/>
    <mergeCell ref="AB11:AB12"/>
    <mergeCell ref="R5:S5"/>
    <mergeCell ref="T5:T6"/>
    <mergeCell ref="T11:T12"/>
    <mergeCell ref="N15:N16"/>
    <mergeCell ref="Z85:Z86"/>
    <mergeCell ref="Y87:Y88"/>
    <mergeCell ref="Z87:Z88"/>
    <mergeCell ref="V77:V78"/>
    <mergeCell ref="Y85:Y86"/>
    <mergeCell ref="Y77:Y78"/>
    <mergeCell ref="Z77:Z78"/>
    <mergeCell ref="Y79:Y80"/>
    <mergeCell ref="Z79:Z80"/>
    <mergeCell ref="W83:W84"/>
    <mergeCell ref="G5:G6"/>
    <mergeCell ref="H5:M5"/>
    <mergeCell ref="G21:G22"/>
    <mergeCell ref="AP6:AQ6"/>
    <mergeCell ref="AN4:AO6"/>
    <mergeCell ref="Q21:Q22"/>
    <mergeCell ref="R21:R22"/>
    <mergeCell ref="S21:S22"/>
    <mergeCell ref="T21:T22"/>
    <mergeCell ref="AD4:AD6"/>
    <mergeCell ref="U21:U22"/>
    <mergeCell ref="V21:V22"/>
    <mergeCell ref="W21:W22"/>
    <mergeCell ref="X21:X22"/>
    <mergeCell ref="V29:V30"/>
    <mergeCell ref="AP4:AS5"/>
    <mergeCell ref="Y19:Y20"/>
    <mergeCell ref="Z19:Z20"/>
    <mergeCell ref="Y21:Y22"/>
    <mergeCell ref="Z21:Z22"/>
    <mergeCell ref="AK4:AL6"/>
    <mergeCell ref="AM4:AM6"/>
    <mergeCell ref="AE6:AF6"/>
    <mergeCell ref="AG6:AH6"/>
    <mergeCell ref="AI6:AJ6"/>
    <mergeCell ref="Y29:Y30"/>
    <mergeCell ref="Z29:Z30"/>
    <mergeCell ref="AC13:AC14"/>
    <mergeCell ref="AB13:AB14"/>
    <mergeCell ref="AA19:AA20"/>
    <mergeCell ref="C96:D96"/>
    <mergeCell ref="AC21:AC22"/>
    <mergeCell ref="AD21:AD22"/>
    <mergeCell ref="C24:D24"/>
    <mergeCell ref="L35:L36"/>
    <mergeCell ref="Y25:Y26"/>
    <mergeCell ref="Z25:Z26"/>
    <mergeCell ref="M21:M22"/>
    <mergeCell ref="N21:N22"/>
    <mergeCell ref="O21:O22"/>
    <mergeCell ref="AC97:AC98"/>
    <mergeCell ref="AD97:AD98"/>
    <mergeCell ref="AA97:AA98"/>
    <mergeCell ref="AB97:AB98"/>
    <mergeCell ref="U97:U98"/>
    <mergeCell ref="C97:C98"/>
    <mergeCell ref="D97:D98"/>
    <mergeCell ref="E97:E98"/>
    <mergeCell ref="F97:F98"/>
    <mergeCell ref="Y97:Y98"/>
    <mergeCell ref="G97:G98"/>
    <mergeCell ref="I97:I98"/>
    <mergeCell ref="S97:S98"/>
    <mergeCell ref="T97:T98"/>
    <mergeCell ref="Q97:Q98"/>
    <mergeCell ref="R97:R98"/>
    <mergeCell ref="P97:P98"/>
    <mergeCell ref="P107:P108"/>
    <mergeCell ref="R107:R108"/>
    <mergeCell ref="S107:S108"/>
    <mergeCell ref="T107:T108"/>
    <mergeCell ref="K107:K108"/>
    <mergeCell ref="M107:M108"/>
    <mergeCell ref="N107:N108"/>
    <mergeCell ref="O107:O108"/>
    <mergeCell ref="Q107:Q108"/>
    <mergeCell ref="Y109:Y110"/>
    <mergeCell ref="U107:U108"/>
    <mergeCell ref="Z109:Z110"/>
    <mergeCell ref="V107:V108"/>
    <mergeCell ref="W107:W108"/>
    <mergeCell ref="X107:X108"/>
    <mergeCell ref="V109:V110"/>
    <mergeCell ref="W109:W110"/>
    <mergeCell ref="M111:M112"/>
    <mergeCell ref="N111:N112"/>
    <mergeCell ref="Y113:Y114"/>
    <mergeCell ref="Z113:Z114"/>
    <mergeCell ref="X113:X114"/>
    <mergeCell ref="U109:U110"/>
    <mergeCell ref="V111:V112"/>
    <mergeCell ref="W111:W112"/>
    <mergeCell ref="Y111:Y112"/>
    <mergeCell ref="Z111:Z112"/>
    <mergeCell ref="R109:R110"/>
    <mergeCell ref="S109:S110"/>
    <mergeCell ref="P109:P110"/>
    <mergeCell ref="Q109:Q110"/>
    <mergeCell ref="O109:O110"/>
    <mergeCell ref="S111:S112"/>
    <mergeCell ref="Q111:Q112"/>
    <mergeCell ref="R111:R112"/>
    <mergeCell ref="A117:A118"/>
    <mergeCell ref="B117:B118"/>
    <mergeCell ref="C117:C118"/>
    <mergeCell ref="D117:D118"/>
    <mergeCell ref="J111:J112"/>
    <mergeCell ref="K111:K112"/>
    <mergeCell ref="J113:J114"/>
    <mergeCell ref="K113:K114"/>
    <mergeCell ref="A115:A116"/>
    <mergeCell ref="B115:B116"/>
    <mergeCell ref="AD107:AD108"/>
    <mergeCell ref="Y105:Y106"/>
    <mergeCell ref="Z105:Z106"/>
    <mergeCell ref="Y107:Y108"/>
    <mergeCell ref="Z107:Z108"/>
    <mergeCell ref="AA107:AA108"/>
    <mergeCell ref="AC107:AC108"/>
    <mergeCell ref="AB107:AB108"/>
    <mergeCell ref="AD105:AD106"/>
    <mergeCell ref="AC105:AC106"/>
    <mergeCell ref="B107:B108"/>
    <mergeCell ref="C107:C108"/>
    <mergeCell ref="D107:D108"/>
    <mergeCell ref="V117:V118"/>
    <mergeCell ref="S117:S118"/>
    <mergeCell ref="T117:T118"/>
    <mergeCell ref="U117:U118"/>
    <mergeCell ref="E117:E118"/>
    <mergeCell ref="I107:I108"/>
    <mergeCell ref="J107:J108"/>
    <mergeCell ref="C140:D140"/>
    <mergeCell ref="E153:E154"/>
    <mergeCell ref="D157:D158"/>
    <mergeCell ref="E143:E144"/>
    <mergeCell ref="F143:F144"/>
    <mergeCell ref="E157:E158"/>
    <mergeCell ref="F157:F158"/>
    <mergeCell ref="D143:D144"/>
    <mergeCell ref="C145:C146"/>
    <mergeCell ref="D145:D146"/>
    <mergeCell ref="L143:L144"/>
    <mergeCell ref="M143:M144"/>
    <mergeCell ref="H161:H162"/>
    <mergeCell ref="I161:I162"/>
    <mergeCell ref="G143:G144"/>
    <mergeCell ref="H143:H144"/>
    <mergeCell ref="G147:G148"/>
    <mergeCell ref="H147:H148"/>
    <mergeCell ref="H149:H150"/>
    <mergeCell ref="G157:G158"/>
    <mergeCell ref="C141:C142"/>
    <mergeCell ref="D141:D142"/>
    <mergeCell ref="J155:J156"/>
    <mergeCell ref="K155:K156"/>
    <mergeCell ref="J143:J144"/>
    <mergeCell ref="K143:K144"/>
    <mergeCell ref="F151:F152"/>
    <mergeCell ref="F149:F150"/>
    <mergeCell ref="K151:K152"/>
    <mergeCell ref="G155:G156"/>
    <mergeCell ref="O157:O158"/>
    <mergeCell ref="A172:A173"/>
    <mergeCell ref="B172:B173"/>
    <mergeCell ref="C172:C173"/>
    <mergeCell ref="D172:D173"/>
    <mergeCell ref="A163:A164"/>
    <mergeCell ref="B163:B164"/>
    <mergeCell ref="C163:C164"/>
    <mergeCell ref="E163:E164"/>
    <mergeCell ref="J165:J166"/>
    <mergeCell ref="A174:A175"/>
    <mergeCell ref="B174:B175"/>
    <mergeCell ref="C174:C175"/>
    <mergeCell ref="D174:D175"/>
    <mergeCell ref="C165:C166"/>
    <mergeCell ref="N157:N158"/>
    <mergeCell ref="E174:E175"/>
    <mergeCell ref="F174:F175"/>
    <mergeCell ref="G174:G175"/>
    <mergeCell ref="I174:I175"/>
    <mergeCell ref="A157:A158"/>
    <mergeCell ref="B157:B158"/>
    <mergeCell ref="C157:C158"/>
    <mergeCell ref="A161:A162"/>
    <mergeCell ref="B161:B162"/>
    <mergeCell ref="A167:A168"/>
    <mergeCell ref="B167:B168"/>
    <mergeCell ref="C167:C168"/>
    <mergeCell ref="G161:G162"/>
    <mergeCell ref="F163:F164"/>
    <mergeCell ref="G163:G164"/>
    <mergeCell ref="G172:G173"/>
    <mergeCell ref="D167:D168"/>
    <mergeCell ref="A165:A166"/>
    <mergeCell ref="B165:B166"/>
    <mergeCell ref="E172:E173"/>
    <mergeCell ref="E167:E168"/>
    <mergeCell ref="S191:S192"/>
    <mergeCell ref="O191:O192"/>
    <mergeCell ref="P191:P192"/>
    <mergeCell ref="Q186:Q187"/>
    <mergeCell ref="R186:R187"/>
    <mergeCell ref="C170:D170"/>
    <mergeCell ref="C171:D171"/>
    <mergeCell ref="F172:F173"/>
    <mergeCell ref="H174:H175"/>
    <mergeCell ref="J174:J175"/>
    <mergeCell ref="Q191:Q192"/>
    <mergeCell ref="R191:R192"/>
    <mergeCell ref="O198:O199"/>
    <mergeCell ref="P198:P199"/>
    <mergeCell ref="H163:H164"/>
    <mergeCell ref="D163:D164"/>
    <mergeCell ref="D165:D166"/>
    <mergeCell ref="J178:J179"/>
    <mergeCell ref="Q167:Q168"/>
    <mergeCell ref="R167:R168"/>
    <mergeCell ref="I172:I173"/>
    <mergeCell ref="K174:K175"/>
    <mergeCell ref="M174:M175"/>
    <mergeCell ref="I182:I183"/>
    <mergeCell ref="T191:T192"/>
    <mergeCell ref="M198:M199"/>
    <mergeCell ref="N198:N199"/>
    <mergeCell ref="R196:R197"/>
    <mergeCell ref="S196:S197"/>
    <mergeCell ref="T196:T197"/>
    <mergeCell ref="U186:U187"/>
    <mergeCell ref="S186:S187"/>
    <mergeCell ref="T186:T187"/>
    <mergeCell ref="G186:G187"/>
    <mergeCell ref="I186:I187"/>
    <mergeCell ref="J186:J187"/>
    <mergeCell ref="M186:M187"/>
    <mergeCell ref="N186:N187"/>
    <mergeCell ref="O186:O187"/>
    <mergeCell ref="P186:P187"/>
    <mergeCell ref="A186:A187"/>
    <mergeCell ref="B186:B187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N191:N192"/>
    <mergeCell ref="K186:K187"/>
    <mergeCell ref="I198:I199"/>
    <mergeCell ref="J198:J199"/>
    <mergeCell ref="K198:K199"/>
    <mergeCell ref="L198:L199"/>
    <mergeCell ref="C195:D195"/>
    <mergeCell ref="C194:D194"/>
    <mergeCell ref="A196:A197"/>
    <mergeCell ref="B196:B197"/>
    <mergeCell ref="K191:K192"/>
    <mergeCell ref="M191:M192"/>
    <mergeCell ref="A191:A192"/>
    <mergeCell ref="B191:B192"/>
    <mergeCell ref="C191:C192"/>
    <mergeCell ref="D196:D197"/>
    <mergeCell ref="H200:H201"/>
    <mergeCell ref="I200:I201"/>
    <mergeCell ref="C203:D203"/>
    <mergeCell ref="G204:G205"/>
    <mergeCell ref="Q204:Q205"/>
    <mergeCell ref="N204:N205"/>
    <mergeCell ref="O204:O205"/>
    <mergeCell ref="L204:L205"/>
    <mergeCell ref="M204:M205"/>
    <mergeCell ref="P204:P205"/>
    <mergeCell ref="R200:R201"/>
    <mergeCell ref="S200:S201"/>
    <mergeCell ref="T200:T201"/>
    <mergeCell ref="O200:O201"/>
    <mergeCell ref="P200:P201"/>
    <mergeCell ref="Q200:Q201"/>
    <mergeCell ref="C200:C201"/>
    <mergeCell ref="D200:D201"/>
    <mergeCell ref="E200:E201"/>
    <mergeCell ref="N200:N201"/>
    <mergeCell ref="J200:J201"/>
    <mergeCell ref="K200:K201"/>
    <mergeCell ref="L200:L201"/>
    <mergeCell ref="M200:M201"/>
    <mergeCell ref="F200:F201"/>
    <mergeCell ref="G200:G201"/>
    <mergeCell ref="R204:R205"/>
    <mergeCell ref="S204:S205"/>
    <mergeCell ref="W204:W205"/>
    <mergeCell ref="I208:I209"/>
    <mergeCell ref="M206:M207"/>
    <mergeCell ref="N206:N207"/>
    <mergeCell ref="I206:I207"/>
    <mergeCell ref="J206:J207"/>
    <mergeCell ref="O206:O207"/>
    <mergeCell ref="P206:P207"/>
    <mergeCell ref="H204:H205"/>
    <mergeCell ref="I204:I205"/>
    <mergeCell ref="J204:J205"/>
    <mergeCell ref="K204:K205"/>
    <mergeCell ref="A204:A205"/>
    <mergeCell ref="B204:B205"/>
    <mergeCell ref="C204:C205"/>
    <mergeCell ref="D204:D205"/>
    <mergeCell ref="E204:E205"/>
    <mergeCell ref="F204:F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00:A201"/>
    <mergeCell ref="B200:B201"/>
    <mergeCell ref="L208:L209"/>
    <mergeCell ref="K208:K209"/>
    <mergeCell ref="K206:K207"/>
    <mergeCell ref="L206:L207"/>
    <mergeCell ref="E208:E209"/>
    <mergeCell ref="F208:F209"/>
    <mergeCell ref="G208:G209"/>
    <mergeCell ref="H208:H209"/>
    <mergeCell ref="M212:M213"/>
    <mergeCell ref="U212:U213"/>
    <mergeCell ref="N210:N211"/>
    <mergeCell ref="O210:O211"/>
    <mergeCell ref="P210:P211"/>
    <mergeCell ref="Q212:Q213"/>
    <mergeCell ref="N212:N213"/>
    <mergeCell ref="O212:O213"/>
    <mergeCell ref="T210:T211"/>
    <mergeCell ref="R210:R211"/>
    <mergeCell ref="M208:M209"/>
    <mergeCell ref="N208:N209"/>
    <mergeCell ref="E206:E207"/>
    <mergeCell ref="F206:F207"/>
    <mergeCell ref="G206:G207"/>
    <mergeCell ref="H206:H207"/>
    <mergeCell ref="D214:D215"/>
    <mergeCell ref="J214:J215"/>
    <mergeCell ref="K214:K215"/>
    <mergeCell ref="L214:L215"/>
    <mergeCell ref="J210:J211"/>
    <mergeCell ref="K210:K211"/>
    <mergeCell ref="J212:J213"/>
    <mergeCell ref="I210:I211"/>
    <mergeCell ref="AC214:AC215"/>
    <mergeCell ref="AB214:AB215"/>
    <mergeCell ref="AA214:AA215"/>
    <mergeCell ref="G214:G215"/>
    <mergeCell ref="M214:M215"/>
    <mergeCell ref="I214:I215"/>
    <mergeCell ref="N214:N215"/>
    <mergeCell ref="U214:U215"/>
    <mergeCell ref="V214:V215"/>
    <mergeCell ref="K212:K213"/>
    <mergeCell ref="AC212:AC213"/>
    <mergeCell ref="C249:D249"/>
    <mergeCell ref="F238:F239"/>
    <mergeCell ref="G238:G239"/>
    <mergeCell ref="H238:H239"/>
    <mergeCell ref="W246:W247"/>
    <mergeCell ref="U238:U239"/>
    <mergeCell ref="V238:V239"/>
    <mergeCell ref="AA246:AA247"/>
    <mergeCell ref="L246:L247"/>
    <mergeCell ref="M246:M247"/>
    <mergeCell ref="M242:M243"/>
    <mergeCell ref="P242:P243"/>
    <mergeCell ref="S242:S243"/>
    <mergeCell ref="F244:F245"/>
    <mergeCell ref="G244:G245"/>
    <mergeCell ref="H244:H245"/>
    <mergeCell ref="I244:I245"/>
    <mergeCell ref="J242:J243"/>
    <mergeCell ref="Z232:Z233"/>
    <mergeCell ref="Y234:Y235"/>
    <mergeCell ref="W244:W245"/>
    <mergeCell ref="L244:L245"/>
    <mergeCell ref="X244:X245"/>
    <mergeCell ref="C246:C247"/>
    <mergeCell ref="H246:H247"/>
    <mergeCell ref="I246:I247"/>
    <mergeCell ref="J246:J247"/>
    <mergeCell ref="K246:K247"/>
    <mergeCell ref="H222:H223"/>
    <mergeCell ref="I222:I223"/>
    <mergeCell ref="J222:J223"/>
    <mergeCell ref="K222:K223"/>
    <mergeCell ref="N222:N223"/>
    <mergeCell ref="Q222:Q223"/>
    <mergeCell ref="S222:S223"/>
    <mergeCell ref="T222:T223"/>
    <mergeCell ref="U222:U223"/>
    <mergeCell ref="V222:V223"/>
    <mergeCell ref="AD246:AD247"/>
    <mergeCell ref="O222:O223"/>
    <mergeCell ref="P222:P223"/>
    <mergeCell ref="R222:R223"/>
    <mergeCell ref="Z222:Z223"/>
    <mergeCell ref="Y232:Y233"/>
    <mergeCell ref="AD222:AD223"/>
    <mergeCell ref="R224:R225"/>
    <mergeCell ref="X246:X247"/>
    <mergeCell ref="AC246:AC247"/>
    <mergeCell ref="R240:R241"/>
    <mergeCell ref="Z224:Z225"/>
    <mergeCell ref="Y228:Y229"/>
    <mergeCell ref="AB224:AB225"/>
    <mergeCell ref="AA232:AA233"/>
    <mergeCell ref="AA234:AA235"/>
    <mergeCell ref="P240:P241"/>
    <mergeCell ref="AC244:AC245"/>
    <mergeCell ref="AA238:AA239"/>
    <mergeCell ref="AB238:AB239"/>
    <mergeCell ref="AB244:AB245"/>
    <mergeCell ref="Q244:Q245"/>
    <mergeCell ref="R244:R245"/>
    <mergeCell ref="Q240:Q241"/>
    <mergeCell ref="V240:V241"/>
    <mergeCell ref="W240:W241"/>
    <mergeCell ref="AC262:AC263"/>
    <mergeCell ref="AC258:AC259"/>
    <mergeCell ref="X260:X261"/>
    <mergeCell ref="AC260:AC261"/>
    <mergeCell ref="Y260:Y261"/>
    <mergeCell ref="AA262:AA263"/>
    <mergeCell ref="AB262:AB263"/>
    <mergeCell ref="AA258:AA259"/>
    <mergeCell ref="AB258:AB259"/>
    <mergeCell ref="X262:X263"/>
    <mergeCell ref="M260:M261"/>
    <mergeCell ref="W262:W263"/>
    <mergeCell ref="U274:U275"/>
    <mergeCell ref="V274:V275"/>
    <mergeCell ref="M274:M275"/>
    <mergeCell ref="N274:N275"/>
    <mergeCell ref="Q272:Q273"/>
    <mergeCell ref="R272:R273"/>
    <mergeCell ref="V260:V261"/>
    <mergeCell ref="Q264:Q265"/>
    <mergeCell ref="AB260:AB261"/>
    <mergeCell ref="T244:T245"/>
    <mergeCell ref="U244:U245"/>
    <mergeCell ref="T246:T247"/>
    <mergeCell ref="U246:U247"/>
    <mergeCell ref="AA244:AA245"/>
    <mergeCell ref="T250:T251"/>
    <mergeCell ref="U250:U251"/>
    <mergeCell ref="Y254:Y255"/>
    <mergeCell ref="X250:X251"/>
    <mergeCell ref="AD274:AD275"/>
    <mergeCell ref="Y262:Y263"/>
    <mergeCell ref="Z262:Z263"/>
    <mergeCell ref="AA264:AA265"/>
    <mergeCell ref="AB264:AB265"/>
    <mergeCell ref="AA266:AA267"/>
    <mergeCell ref="AB266:AB267"/>
    <mergeCell ref="AA268:AA269"/>
    <mergeCell ref="AD262:AD263"/>
    <mergeCell ref="AD272:AD273"/>
    <mergeCell ref="K304:K305"/>
    <mergeCell ref="L304:L305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C326:C327"/>
    <mergeCell ref="D326:D327"/>
    <mergeCell ref="AC304:AC305"/>
    <mergeCell ref="AD304:AD305"/>
    <mergeCell ref="M304:M305"/>
    <mergeCell ref="N304:N305"/>
    <mergeCell ref="O304:O305"/>
    <mergeCell ref="P304:P305"/>
    <mergeCell ref="W304:W305"/>
    <mergeCell ref="AA304:AA305"/>
    <mergeCell ref="E326:E327"/>
    <mergeCell ref="F326:F327"/>
    <mergeCell ref="U304:U305"/>
    <mergeCell ref="V304:V305"/>
    <mergeCell ref="G306:G307"/>
    <mergeCell ref="I306:I307"/>
    <mergeCell ref="E306:E307"/>
    <mergeCell ref="S306:S307"/>
    <mergeCell ref="U308:U309"/>
    <mergeCell ref="V308:V309"/>
    <mergeCell ref="A358:A359"/>
    <mergeCell ref="B358:B359"/>
    <mergeCell ref="C358:C359"/>
    <mergeCell ref="D358:D359"/>
    <mergeCell ref="A306:A307"/>
    <mergeCell ref="B306:B307"/>
    <mergeCell ref="C306:C307"/>
    <mergeCell ref="D306:D307"/>
    <mergeCell ref="A326:A327"/>
    <mergeCell ref="B326:B327"/>
    <mergeCell ref="E316:E317"/>
    <mergeCell ref="Y276:Y277"/>
    <mergeCell ref="Z276:Z277"/>
    <mergeCell ref="B316:B317"/>
    <mergeCell ref="C316:C317"/>
    <mergeCell ref="D316:D317"/>
    <mergeCell ref="F316:F317"/>
    <mergeCell ref="G316:G317"/>
    <mergeCell ref="W292:W293"/>
    <mergeCell ref="X292:X293"/>
    <mergeCell ref="H326:H327"/>
    <mergeCell ref="A318:A319"/>
    <mergeCell ref="Y278:Y279"/>
    <mergeCell ref="W284:W285"/>
    <mergeCell ref="X284:X285"/>
    <mergeCell ref="B318:B319"/>
    <mergeCell ref="C318:C319"/>
    <mergeCell ref="D318:D319"/>
    <mergeCell ref="E318:E319"/>
    <mergeCell ref="A316:A317"/>
    <mergeCell ref="A334:A335"/>
    <mergeCell ref="B334:B335"/>
    <mergeCell ref="V326:V327"/>
    <mergeCell ref="W326:W327"/>
    <mergeCell ref="X326:X327"/>
    <mergeCell ref="W332:W333"/>
    <mergeCell ref="U326:U327"/>
    <mergeCell ref="W334:W335"/>
    <mergeCell ref="R334:R335"/>
    <mergeCell ref="G326:G327"/>
    <mergeCell ref="AB318:AB319"/>
    <mergeCell ref="I322:I323"/>
    <mergeCell ref="J322:J323"/>
    <mergeCell ref="K322:K323"/>
    <mergeCell ref="AD318:AD319"/>
    <mergeCell ref="L322:L323"/>
    <mergeCell ref="M322:M323"/>
    <mergeCell ref="M320:M321"/>
    <mergeCell ref="V318:V319"/>
    <mergeCell ref="W318:W319"/>
    <mergeCell ref="A320:A321"/>
    <mergeCell ref="B320:B321"/>
    <mergeCell ref="C320:C321"/>
    <mergeCell ref="Y320:Y321"/>
    <mergeCell ref="Z320:Z321"/>
    <mergeCell ref="AB322:AB323"/>
    <mergeCell ref="A322:A323"/>
    <mergeCell ref="B322:B323"/>
    <mergeCell ref="C322:C323"/>
    <mergeCell ref="D322:D323"/>
    <mergeCell ref="X318:X319"/>
    <mergeCell ref="AC318:AC319"/>
    <mergeCell ref="Y318:Y319"/>
    <mergeCell ref="Z318:Z319"/>
    <mergeCell ref="AD326:AD327"/>
    <mergeCell ref="C329:D329"/>
    <mergeCell ref="AB324:AB325"/>
    <mergeCell ref="AA326:AA327"/>
    <mergeCell ref="AD320:AD321"/>
    <mergeCell ref="AA318:AA319"/>
    <mergeCell ref="AD330:AD331"/>
    <mergeCell ref="AD336:AD337"/>
    <mergeCell ref="AC338:AC339"/>
    <mergeCell ref="AD338:AD339"/>
    <mergeCell ref="R358:R359"/>
    <mergeCell ref="S358:S359"/>
    <mergeCell ref="T358:T359"/>
    <mergeCell ref="U358:U359"/>
    <mergeCell ref="AC330:AC331"/>
    <mergeCell ref="AA334:AA335"/>
    <mergeCell ref="V358:V359"/>
    <mergeCell ref="W358:W359"/>
    <mergeCell ref="X358:X359"/>
    <mergeCell ref="AC358:AC359"/>
    <mergeCell ref="Y358:Y359"/>
    <mergeCell ref="Z358:Z359"/>
    <mergeCell ref="AA358:AA359"/>
    <mergeCell ref="AB358:AB359"/>
    <mergeCell ref="AB336:AB337"/>
    <mergeCell ref="AA338:AA339"/>
    <mergeCell ref="AD358:AD359"/>
    <mergeCell ref="X332:X333"/>
    <mergeCell ref="AC332:AC333"/>
    <mergeCell ref="AD332:AD333"/>
    <mergeCell ref="Y332:Y333"/>
    <mergeCell ref="AA332:AA333"/>
    <mergeCell ref="AD334:AD335"/>
    <mergeCell ref="AC334:AC335"/>
    <mergeCell ref="J368:J369"/>
    <mergeCell ref="G373:G374"/>
    <mergeCell ref="E375:E376"/>
    <mergeCell ref="O375:O376"/>
    <mergeCell ref="M373:M374"/>
    <mergeCell ref="N373:N374"/>
    <mergeCell ref="I368:I369"/>
    <mergeCell ref="E368:E369"/>
    <mergeCell ref="F368:F369"/>
    <mergeCell ref="G368:G369"/>
    <mergeCell ref="I373:I374"/>
    <mergeCell ref="J373:J374"/>
    <mergeCell ref="K373:K374"/>
    <mergeCell ref="P375:P376"/>
    <mergeCell ref="Q375:Q376"/>
    <mergeCell ref="J375:J376"/>
    <mergeCell ref="K375:K376"/>
    <mergeCell ref="M375:M376"/>
    <mergeCell ref="N368:N369"/>
    <mergeCell ref="O368:O369"/>
    <mergeCell ref="N375:N376"/>
    <mergeCell ref="K368:K369"/>
    <mergeCell ref="L368:L369"/>
    <mergeCell ref="M368:M369"/>
    <mergeCell ref="P358:P359"/>
    <mergeCell ref="Q358:Q359"/>
    <mergeCell ref="K358:K359"/>
    <mergeCell ref="M358:M359"/>
    <mergeCell ref="E358:E359"/>
    <mergeCell ref="F358:F359"/>
    <mergeCell ref="G358:G359"/>
    <mergeCell ref="H358:H359"/>
    <mergeCell ref="O358:O359"/>
    <mergeCell ref="P373:P374"/>
    <mergeCell ref="A364:A365"/>
    <mergeCell ref="B364:B365"/>
    <mergeCell ref="C364:C365"/>
    <mergeCell ref="D364:D365"/>
    <mergeCell ref="E364:E365"/>
    <mergeCell ref="A368:A369"/>
    <mergeCell ref="B368:B369"/>
    <mergeCell ref="C368:C369"/>
    <mergeCell ref="A366:A367"/>
    <mergeCell ref="H368:H369"/>
    <mergeCell ref="H373:H374"/>
    <mergeCell ref="C372:D372"/>
    <mergeCell ref="H377:H378"/>
    <mergeCell ref="B366:B367"/>
    <mergeCell ref="C366:C367"/>
    <mergeCell ref="D366:D367"/>
    <mergeCell ref="C371:D371"/>
    <mergeCell ref="E366:E367"/>
    <mergeCell ref="D368:D369"/>
    <mergeCell ref="W377:W378"/>
    <mergeCell ref="X377:X378"/>
    <mergeCell ref="AC377:AC378"/>
    <mergeCell ref="V377:V378"/>
    <mergeCell ref="E381:E382"/>
    <mergeCell ref="F381:F382"/>
    <mergeCell ref="J381:J382"/>
    <mergeCell ref="K381:K382"/>
    <mergeCell ref="G381:G382"/>
    <mergeCell ref="H381:H382"/>
    <mergeCell ref="C375:C376"/>
    <mergeCell ref="D375:D376"/>
    <mergeCell ref="A377:A378"/>
    <mergeCell ref="A381:A382"/>
    <mergeCell ref="B381:B382"/>
    <mergeCell ref="C381:C382"/>
    <mergeCell ref="D381:D382"/>
    <mergeCell ref="B377:B378"/>
    <mergeCell ref="C377:C378"/>
    <mergeCell ref="D377:D378"/>
    <mergeCell ref="R373:R374"/>
    <mergeCell ref="Q373:Q374"/>
    <mergeCell ref="O373:O374"/>
    <mergeCell ref="C380:D380"/>
    <mergeCell ref="A373:A374"/>
    <mergeCell ref="B373:B374"/>
    <mergeCell ref="C373:C374"/>
    <mergeCell ref="D373:D374"/>
    <mergeCell ref="A375:A376"/>
    <mergeCell ref="B375:B376"/>
    <mergeCell ref="P377:P378"/>
    <mergeCell ref="AB381:AB382"/>
    <mergeCell ref="AC381:AC382"/>
    <mergeCell ref="AD381:AD382"/>
    <mergeCell ref="P383:P384"/>
    <mergeCell ref="Q383:Q384"/>
    <mergeCell ref="R383:R384"/>
    <mergeCell ref="V381:V382"/>
    <mergeCell ref="P381:P382"/>
    <mergeCell ref="S381:S382"/>
    <mergeCell ref="Q381:Q382"/>
    <mergeCell ref="AD383:AD384"/>
    <mergeCell ref="Y377:Y378"/>
    <mergeCell ref="Z377:Z378"/>
    <mergeCell ref="Y381:Y382"/>
    <mergeCell ref="Z381:Z382"/>
    <mergeCell ref="T381:T382"/>
    <mergeCell ref="AA381:AA382"/>
    <mergeCell ref="Q377:Q378"/>
    <mergeCell ref="R377:R378"/>
    <mergeCell ref="N377:N378"/>
    <mergeCell ref="I377:I378"/>
    <mergeCell ref="J377:J378"/>
    <mergeCell ref="K377:K378"/>
    <mergeCell ref="M377:M378"/>
    <mergeCell ref="O381:O382"/>
    <mergeCell ref="O377:O378"/>
    <mergeCell ref="I381:I382"/>
    <mergeCell ref="O383:O384"/>
    <mergeCell ref="J385:J386"/>
    <mergeCell ref="K385:K386"/>
    <mergeCell ref="M381:M382"/>
    <mergeCell ref="N381:N382"/>
    <mergeCell ref="B385:B386"/>
    <mergeCell ref="C385:C386"/>
    <mergeCell ref="D385:D386"/>
    <mergeCell ref="M385:M386"/>
    <mergeCell ref="N385:N386"/>
    <mergeCell ref="E385:E386"/>
    <mergeCell ref="F385:F386"/>
    <mergeCell ref="G385:G386"/>
    <mergeCell ref="H385:H386"/>
    <mergeCell ref="M383:M384"/>
    <mergeCell ref="N383:N384"/>
    <mergeCell ref="AA385:AA386"/>
    <mergeCell ref="O385:O386"/>
    <mergeCell ref="W385:W386"/>
    <mergeCell ref="X385:X386"/>
    <mergeCell ref="G383:G384"/>
    <mergeCell ref="H383:H384"/>
    <mergeCell ref="I383:I384"/>
    <mergeCell ref="J383:J384"/>
    <mergeCell ref="K383:K384"/>
    <mergeCell ref="Y383:Y384"/>
    <mergeCell ref="R385:R386"/>
    <mergeCell ref="S385:S386"/>
    <mergeCell ref="T385:T386"/>
    <mergeCell ref="U385:U386"/>
    <mergeCell ref="V385:V386"/>
    <mergeCell ref="Z385:Z386"/>
    <mergeCell ref="AD385:AD386"/>
    <mergeCell ref="A383:A384"/>
    <mergeCell ref="B383:B384"/>
    <mergeCell ref="C383:C384"/>
    <mergeCell ref="D383:D384"/>
    <mergeCell ref="E383:E384"/>
    <mergeCell ref="F383:F384"/>
    <mergeCell ref="Y385:Y386"/>
    <mergeCell ref="AC385:AC386"/>
    <mergeCell ref="AB385:AB386"/>
    <mergeCell ref="A387:A388"/>
    <mergeCell ref="B387:B388"/>
    <mergeCell ref="C387:C388"/>
    <mergeCell ref="D387:D388"/>
    <mergeCell ref="G387:G388"/>
    <mergeCell ref="H387:H388"/>
    <mergeCell ref="P385:P386"/>
    <mergeCell ref="Q385:Q386"/>
    <mergeCell ref="I385:I386"/>
    <mergeCell ref="P387:P388"/>
    <mergeCell ref="Q387:Q388"/>
    <mergeCell ref="I387:I388"/>
    <mergeCell ref="J387:J388"/>
    <mergeCell ref="K387:K388"/>
    <mergeCell ref="D391:D392"/>
    <mergeCell ref="E391:E392"/>
    <mergeCell ref="F391:F392"/>
    <mergeCell ref="G391:G392"/>
    <mergeCell ref="A385:A386"/>
    <mergeCell ref="A391:A392"/>
    <mergeCell ref="B391:B392"/>
    <mergeCell ref="C391:C392"/>
    <mergeCell ref="E387:E388"/>
    <mergeCell ref="F387:F388"/>
    <mergeCell ref="M391:M392"/>
    <mergeCell ref="N391:N392"/>
    <mergeCell ref="I391:I392"/>
    <mergeCell ref="N387:N388"/>
    <mergeCell ref="J393:J394"/>
    <mergeCell ref="K393:K394"/>
    <mergeCell ref="O393:O394"/>
    <mergeCell ref="P393:P394"/>
    <mergeCell ref="M387:M388"/>
    <mergeCell ref="G393:G394"/>
    <mergeCell ref="H393:H394"/>
    <mergeCell ref="I393:I394"/>
    <mergeCell ref="O391:O392"/>
    <mergeCell ref="P391:P392"/>
    <mergeCell ref="J391:J392"/>
    <mergeCell ref="K391:K392"/>
    <mergeCell ref="AD387:AD388"/>
    <mergeCell ref="W391:W392"/>
    <mergeCell ref="X391:X392"/>
    <mergeCell ref="AC391:AC392"/>
    <mergeCell ref="X387:X388"/>
    <mergeCell ref="Y387:Y388"/>
    <mergeCell ref="AD391:AD392"/>
    <mergeCell ref="AA391:AA392"/>
    <mergeCell ref="AB391:AB392"/>
    <mergeCell ref="AA387:AA388"/>
    <mergeCell ref="U387:U388"/>
    <mergeCell ref="V387:V388"/>
    <mergeCell ref="W387:W388"/>
    <mergeCell ref="C390:D390"/>
    <mergeCell ref="R387:R388"/>
    <mergeCell ref="O387:O388"/>
    <mergeCell ref="S387:S388"/>
    <mergeCell ref="T387:T388"/>
    <mergeCell ref="AB387:AB388"/>
    <mergeCell ref="Q393:Q394"/>
    <mergeCell ref="R393:R394"/>
    <mergeCell ref="S391:S392"/>
    <mergeCell ref="Z393:Z394"/>
    <mergeCell ref="T391:T392"/>
    <mergeCell ref="U391:U392"/>
    <mergeCell ref="V391:V392"/>
    <mergeCell ref="Q391:Q392"/>
    <mergeCell ref="R391:R392"/>
    <mergeCell ref="M395:M396"/>
    <mergeCell ref="N395:N396"/>
    <mergeCell ref="B395:B396"/>
    <mergeCell ref="C395:C396"/>
    <mergeCell ref="D395:D396"/>
    <mergeCell ref="E395:E396"/>
    <mergeCell ref="Y393:Y394"/>
    <mergeCell ref="F395:F396"/>
    <mergeCell ref="W395:W396"/>
    <mergeCell ref="O395:O396"/>
    <mergeCell ref="P395:P396"/>
    <mergeCell ref="Q395:Q396"/>
    <mergeCell ref="R395:R396"/>
    <mergeCell ref="J395:J396"/>
    <mergeCell ref="S395:S396"/>
    <mergeCell ref="K395:K396"/>
    <mergeCell ref="AB395:AB396"/>
    <mergeCell ref="AD395:AD396"/>
    <mergeCell ref="AA393:AA394"/>
    <mergeCell ref="AB393:AB394"/>
    <mergeCell ref="AA395:AA396"/>
    <mergeCell ref="C393:C394"/>
    <mergeCell ref="D393:D394"/>
    <mergeCell ref="E393:E394"/>
    <mergeCell ref="F393:F394"/>
    <mergeCell ref="AC393:AC394"/>
    <mergeCell ref="Z395:Z396"/>
    <mergeCell ref="AD393:AD394"/>
    <mergeCell ref="A393:A394"/>
    <mergeCell ref="B393:B394"/>
    <mergeCell ref="G395:G396"/>
    <mergeCell ref="H395:H396"/>
    <mergeCell ref="I395:I396"/>
    <mergeCell ref="M393:M394"/>
    <mergeCell ref="N393:N394"/>
    <mergeCell ref="A395:A396"/>
    <mergeCell ref="A397:A398"/>
    <mergeCell ref="B397:B398"/>
    <mergeCell ref="X395:X396"/>
    <mergeCell ref="AC395:AC396"/>
    <mergeCell ref="Y395:Y396"/>
    <mergeCell ref="T395:T396"/>
    <mergeCell ref="U395:U396"/>
    <mergeCell ref="V395:V396"/>
    <mergeCell ref="G397:G398"/>
    <mergeCell ref="H397:H398"/>
    <mergeCell ref="I397:I398"/>
    <mergeCell ref="J397:J398"/>
    <mergeCell ref="C397:C398"/>
    <mergeCell ref="D397:D398"/>
    <mergeCell ref="E397:E398"/>
    <mergeCell ref="F397:F398"/>
    <mergeCell ref="R397:R398"/>
    <mergeCell ref="AD397:AD398"/>
    <mergeCell ref="S397:S398"/>
    <mergeCell ref="T397:T398"/>
    <mergeCell ref="U397:U398"/>
    <mergeCell ref="V397:V398"/>
    <mergeCell ref="Y397:Y398"/>
    <mergeCell ref="Z397:Z398"/>
    <mergeCell ref="W401:W402"/>
    <mergeCell ref="X401:X402"/>
    <mergeCell ref="AD399:AD400"/>
    <mergeCell ref="Y399:Y400"/>
    <mergeCell ref="Z399:Z400"/>
    <mergeCell ref="Q399:Q400"/>
    <mergeCell ref="R399:R400"/>
    <mergeCell ref="A399:A400"/>
    <mergeCell ref="B399:B400"/>
    <mergeCell ref="C399:C400"/>
    <mergeCell ref="D399:D400"/>
    <mergeCell ref="AD401:AD402"/>
    <mergeCell ref="AB401:AB402"/>
    <mergeCell ref="R401:R402"/>
    <mergeCell ref="S401:S402"/>
    <mergeCell ref="T401:T402"/>
    <mergeCell ref="V401:V402"/>
    <mergeCell ref="I399:I400"/>
    <mergeCell ref="J399:J400"/>
    <mergeCell ref="K399:K400"/>
    <mergeCell ref="L399:L400"/>
    <mergeCell ref="E399:E400"/>
    <mergeCell ref="F399:F400"/>
    <mergeCell ref="G399:G400"/>
    <mergeCell ref="H399:H400"/>
    <mergeCell ref="E403:E404"/>
    <mergeCell ref="F403:F404"/>
    <mergeCell ref="I403:I404"/>
    <mergeCell ref="J403:J404"/>
    <mergeCell ref="G403:G404"/>
    <mergeCell ref="H403:H404"/>
    <mergeCell ref="AC397:AC398"/>
    <mergeCell ref="AB397:AB398"/>
    <mergeCell ref="V399:V400"/>
    <mergeCell ref="W399:W400"/>
    <mergeCell ref="X399:X400"/>
    <mergeCell ref="AC399:AC400"/>
    <mergeCell ref="W397:W398"/>
    <mergeCell ref="X397:X398"/>
    <mergeCell ref="AA399:AA400"/>
    <mergeCell ref="AB399:AB400"/>
    <mergeCell ref="E401:E402"/>
    <mergeCell ref="F401:F402"/>
    <mergeCell ref="G401:G402"/>
    <mergeCell ref="H401:H402"/>
    <mergeCell ref="I401:I402"/>
    <mergeCell ref="AA397:AA398"/>
    <mergeCell ref="M399:M400"/>
    <mergeCell ref="N399:N400"/>
    <mergeCell ref="S399:S400"/>
    <mergeCell ref="T399:T400"/>
    <mergeCell ref="P397:P398"/>
    <mergeCell ref="Q397:Q398"/>
    <mergeCell ref="U401:U402"/>
    <mergeCell ref="S403:S404"/>
    <mergeCell ref="Q403:Q404"/>
    <mergeCell ref="K397:K398"/>
    <mergeCell ref="M397:M398"/>
    <mergeCell ref="N397:N398"/>
    <mergeCell ref="O397:O398"/>
    <mergeCell ref="U399:U400"/>
    <mergeCell ref="O399:O400"/>
    <mergeCell ref="P399:P400"/>
    <mergeCell ref="C403:C404"/>
    <mergeCell ref="D403:D404"/>
    <mergeCell ref="N401:N402"/>
    <mergeCell ref="K403:K404"/>
    <mergeCell ref="L403:L404"/>
    <mergeCell ref="J401:J402"/>
    <mergeCell ref="K401:K402"/>
    <mergeCell ref="L401:L402"/>
    <mergeCell ref="AD403:AD404"/>
    <mergeCell ref="Y401:Y402"/>
    <mergeCell ref="Z401:Z402"/>
    <mergeCell ref="Y403:Y404"/>
    <mergeCell ref="Z403:Z404"/>
    <mergeCell ref="AA401:AA402"/>
    <mergeCell ref="AA403:AA404"/>
    <mergeCell ref="AB403:AB404"/>
    <mergeCell ref="AC401:AC402"/>
    <mergeCell ref="C406:D406"/>
    <mergeCell ref="A401:A402"/>
    <mergeCell ref="B401:B402"/>
    <mergeCell ref="C401:C402"/>
    <mergeCell ref="D401:D402"/>
    <mergeCell ref="A403:A404"/>
    <mergeCell ref="B403:B404"/>
    <mergeCell ref="AC403:AC404"/>
    <mergeCell ref="U403:U404"/>
    <mergeCell ref="V403:V404"/>
    <mergeCell ref="W403:W404"/>
    <mergeCell ref="X403:X404"/>
    <mergeCell ref="N403:N404"/>
    <mergeCell ref="O403:O404"/>
    <mergeCell ref="P403:P404"/>
    <mergeCell ref="N407:N408"/>
    <mergeCell ref="O407:O408"/>
    <mergeCell ref="P407:P408"/>
    <mergeCell ref="Q407:Q408"/>
    <mergeCell ref="M401:M402"/>
    <mergeCell ref="M403:M404"/>
    <mergeCell ref="O401:O402"/>
    <mergeCell ref="P401:P402"/>
    <mergeCell ref="R407:R408"/>
    <mergeCell ref="S407:S408"/>
    <mergeCell ref="T403:T404"/>
    <mergeCell ref="V407:V408"/>
    <mergeCell ref="T407:T408"/>
    <mergeCell ref="U407:U408"/>
    <mergeCell ref="R403:R404"/>
    <mergeCell ref="W407:W408"/>
    <mergeCell ref="X407:X408"/>
    <mergeCell ref="AC407:AC408"/>
    <mergeCell ref="Y407:Y408"/>
    <mergeCell ref="Z407:Z408"/>
    <mergeCell ref="AA407:AA408"/>
    <mergeCell ref="AB407:AB408"/>
    <mergeCell ref="AD407:AD408"/>
    <mergeCell ref="A409:A410"/>
    <mergeCell ref="B409:B410"/>
    <mergeCell ref="C409:C410"/>
    <mergeCell ref="D409:D410"/>
    <mergeCell ref="E409:E410"/>
    <mergeCell ref="F409:F410"/>
    <mergeCell ref="G409:G410"/>
    <mergeCell ref="J409:J410"/>
    <mergeCell ref="K409:K410"/>
    <mergeCell ref="A407:A408"/>
    <mergeCell ref="B407:B408"/>
    <mergeCell ref="C407:C408"/>
    <mergeCell ref="D407:D408"/>
    <mergeCell ref="L409:L410"/>
    <mergeCell ref="M409:M410"/>
    <mergeCell ref="J407:J408"/>
    <mergeCell ref="K407:K408"/>
    <mergeCell ref="X409:X410"/>
    <mergeCell ref="AC409:AC410"/>
    <mergeCell ref="Y409:Y410"/>
    <mergeCell ref="Z409:Z410"/>
    <mergeCell ref="AA409:AA410"/>
    <mergeCell ref="AB409:AB410"/>
    <mergeCell ref="N409:N410"/>
    <mergeCell ref="O409:O410"/>
    <mergeCell ref="A411:A412"/>
    <mergeCell ref="B411:B412"/>
    <mergeCell ref="C411:C412"/>
    <mergeCell ref="D411:D412"/>
    <mergeCell ref="L407:L408"/>
    <mergeCell ref="M407:M408"/>
    <mergeCell ref="E407:E408"/>
    <mergeCell ref="F407:F408"/>
    <mergeCell ref="G407:G408"/>
    <mergeCell ref="I407:I408"/>
    <mergeCell ref="E411:E412"/>
    <mergeCell ref="Z411:Z412"/>
    <mergeCell ref="R411:R412"/>
    <mergeCell ref="S411:S412"/>
    <mergeCell ref="T411:T412"/>
    <mergeCell ref="P411:P412"/>
    <mergeCell ref="Q411:Q412"/>
    <mergeCell ref="U411:U412"/>
    <mergeCell ref="H409:H410"/>
    <mergeCell ref="I409:I410"/>
    <mergeCell ref="N411:N412"/>
    <mergeCell ref="O411:O412"/>
    <mergeCell ref="L411:L412"/>
    <mergeCell ref="M411:M412"/>
    <mergeCell ref="P409:P410"/>
    <mergeCell ref="Q409:Q410"/>
    <mergeCell ref="B415:B416"/>
    <mergeCell ref="AD415:AD416"/>
    <mergeCell ref="F411:F412"/>
    <mergeCell ref="G411:G412"/>
    <mergeCell ref="H411:H412"/>
    <mergeCell ref="I411:I412"/>
    <mergeCell ref="J411:J412"/>
    <mergeCell ref="K411:K412"/>
    <mergeCell ref="V409:V410"/>
    <mergeCell ref="W409:W410"/>
    <mergeCell ref="R409:R410"/>
    <mergeCell ref="S409:S410"/>
    <mergeCell ref="T409:T410"/>
    <mergeCell ref="U409:U410"/>
    <mergeCell ref="AD409:AD410"/>
    <mergeCell ref="AD413:AD414"/>
    <mergeCell ref="AC413:AC414"/>
    <mergeCell ref="V411:V412"/>
    <mergeCell ref="W411:W412"/>
    <mergeCell ref="X411:X412"/>
    <mergeCell ref="AC411:AC412"/>
    <mergeCell ref="Y411:Y412"/>
    <mergeCell ref="AD411:AD412"/>
    <mergeCell ref="AA411:AA412"/>
    <mergeCell ref="AB411:AB412"/>
    <mergeCell ref="C415:C416"/>
    <mergeCell ref="D415:D416"/>
    <mergeCell ref="E415:E416"/>
    <mergeCell ref="F415:F416"/>
    <mergeCell ref="H415:H416"/>
    <mergeCell ref="O415:O416"/>
    <mergeCell ref="P415:P416"/>
    <mergeCell ref="I415:I416"/>
    <mergeCell ref="J415:J416"/>
    <mergeCell ref="K415:K416"/>
    <mergeCell ref="L415:L416"/>
    <mergeCell ref="N415:N416"/>
    <mergeCell ref="E413:E414"/>
    <mergeCell ref="F413:F414"/>
    <mergeCell ref="G413:G414"/>
    <mergeCell ref="M415:M416"/>
    <mergeCell ref="L413:L414"/>
    <mergeCell ref="M413:M414"/>
    <mergeCell ref="AC415:AC416"/>
    <mergeCell ref="V415:V416"/>
    <mergeCell ref="W415:W416"/>
    <mergeCell ref="Q415:Q416"/>
    <mergeCell ref="R415:R416"/>
    <mergeCell ref="AA415:AA416"/>
    <mergeCell ref="AB415:AB416"/>
    <mergeCell ref="S415:S416"/>
    <mergeCell ref="Y415:Y416"/>
    <mergeCell ref="Z415:Z416"/>
    <mergeCell ref="R413:R414"/>
    <mergeCell ref="S413:S414"/>
    <mergeCell ref="T413:T414"/>
    <mergeCell ref="U413:U414"/>
    <mergeCell ref="Y413:Y414"/>
    <mergeCell ref="W413:W414"/>
    <mergeCell ref="Z413:Z414"/>
    <mergeCell ref="AA413:AA414"/>
    <mergeCell ref="A417:A418"/>
    <mergeCell ref="B417:B418"/>
    <mergeCell ref="C417:C418"/>
    <mergeCell ref="D417:D418"/>
    <mergeCell ref="H413:H414"/>
    <mergeCell ref="I413:I414"/>
    <mergeCell ref="J413:J414"/>
    <mergeCell ref="K413:K414"/>
    <mergeCell ref="V413:V414"/>
    <mergeCell ref="E423:E424"/>
    <mergeCell ref="F423:F424"/>
    <mergeCell ref="G423:G424"/>
    <mergeCell ref="H423:H424"/>
    <mergeCell ref="C422:D422"/>
    <mergeCell ref="A423:A424"/>
    <mergeCell ref="B423:B424"/>
    <mergeCell ref="C423:C424"/>
    <mergeCell ref="D423:D424"/>
    <mergeCell ref="X413:X414"/>
    <mergeCell ref="T415:T416"/>
    <mergeCell ref="U415:U416"/>
    <mergeCell ref="X415:X416"/>
    <mergeCell ref="N413:N414"/>
    <mergeCell ref="O413:O414"/>
    <mergeCell ref="P413:P414"/>
    <mergeCell ref="Q413:Q414"/>
    <mergeCell ref="S419:S420"/>
    <mergeCell ref="T419:T420"/>
    <mergeCell ref="U419:U420"/>
    <mergeCell ref="W419:W420"/>
    <mergeCell ref="A413:A414"/>
    <mergeCell ref="B413:B414"/>
    <mergeCell ref="G415:G416"/>
    <mergeCell ref="A415:A416"/>
    <mergeCell ref="C413:C414"/>
    <mergeCell ref="D413:D414"/>
    <mergeCell ref="X419:X420"/>
    <mergeCell ref="AC419:AC420"/>
    <mergeCell ref="AD419:AD420"/>
    <mergeCell ref="Y419:Y420"/>
    <mergeCell ref="Z419:Z420"/>
    <mergeCell ref="AA419:AA420"/>
    <mergeCell ref="AB419:AB420"/>
    <mergeCell ref="AB423:AB424"/>
    <mergeCell ref="Y423:Y424"/>
    <mergeCell ref="L423:L424"/>
    <mergeCell ref="I427:I428"/>
    <mergeCell ref="J427:J428"/>
    <mergeCell ref="K423:K424"/>
    <mergeCell ref="I423:I424"/>
    <mergeCell ref="J423:J424"/>
    <mergeCell ref="W427:W428"/>
    <mergeCell ref="X427:X428"/>
    <mergeCell ref="Q471:Q472"/>
    <mergeCell ref="R471:R472"/>
    <mergeCell ref="AD427:AD428"/>
    <mergeCell ref="Q423:Q424"/>
    <mergeCell ref="R423:R424"/>
    <mergeCell ref="S423:S424"/>
    <mergeCell ref="T423:T424"/>
    <mergeCell ref="U423:U424"/>
    <mergeCell ref="V423:V424"/>
    <mergeCell ref="AA423:AA424"/>
    <mergeCell ref="T463:T464"/>
    <mergeCell ref="U463:U464"/>
    <mergeCell ref="W461:W462"/>
    <mergeCell ref="W439:W440"/>
    <mergeCell ref="M485:M486"/>
    <mergeCell ref="N485:N486"/>
    <mergeCell ref="R451:R452"/>
    <mergeCell ref="S451:S452"/>
    <mergeCell ref="N471:N472"/>
    <mergeCell ref="O471:O472"/>
    <mergeCell ref="AC439:AC440"/>
    <mergeCell ref="Y439:Y440"/>
    <mergeCell ref="Z439:Z440"/>
    <mergeCell ref="AA437:AA438"/>
    <mergeCell ref="T461:T462"/>
    <mergeCell ref="P461:P462"/>
    <mergeCell ref="Q461:Q462"/>
    <mergeCell ref="U461:U462"/>
    <mergeCell ref="Y437:Y438"/>
    <mergeCell ref="Z437:Z438"/>
    <mergeCell ref="U439:U440"/>
    <mergeCell ref="AC431:AC432"/>
    <mergeCell ref="M431:M432"/>
    <mergeCell ref="Y427:Y428"/>
    <mergeCell ref="P431:P432"/>
    <mergeCell ref="AA431:AA432"/>
    <mergeCell ref="AB431:AB432"/>
    <mergeCell ref="R431:R432"/>
    <mergeCell ref="Y431:Y432"/>
    <mergeCell ref="Z431:Z432"/>
    <mergeCell ref="Y463:Y464"/>
    <mergeCell ref="Z463:Z464"/>
    <mergeCell ref="U459:U460"/>
    <mergeCell ref="V459:V460"/>
    <mergeCell ref="X459:X460"/>
    <mergeCell ref="W447:W448"/>
    <mergeCell ref="W459:W460"/>
    <mergeCell ref="X463:X464"/>
    <mergeCell ref="W463:W464"/>
    <mergeCell ref="U447:U448"/>
    <mergeCell ref="Z449:Z450"/>
    <mergeCell ref="AB453:AB454"/>
    <mergeCell ref="Y453:Y454"/>
    <mergeCell ref="AC447:AC448"/>
    <mergeCell ref="T437:T438"/>
    <mergeCell ref="Y461:Y462"/>
    <mergeCell ref="Z461:Z462"/>
    <mergeCell ref="V439:V440"/>
    <mergeCell ref="T439:T440"/>
    <mergeCell ref="AB439:AB440"/>
    <mergeCell ref="AA457:AA458"/>
    <mergeCell ref="AB457:AB458"/>
    <mergeCell ref="AA451:AA452"/>
    <mergeCell ref="AB451:AB452"/>
    <mergeCell ref="AD485:AD486"/>
    <mergeCell ref="Y443:Y444"/>
    <mergeCell ref="Z443:Z444"/>
    <mergeCell ref="Y447:Y448"/>
    <mergeCell ref="Z447:Z448"/>
    <mergeCell ref="Y449:Y450"/>
    <mergeCell ref="AD423:AD424"/>
    <mergeCell ref="X461:X462"/>
    <mergeCell ref="X471:X472"/>
    <mergeCell ref="AD439:AD440"/>
    <mergeCell ref="W423:W424"/>
    <mergeCell ref="X423:X424"/>
    <mergeCell ref="X439:X440"/>
    <mergeCell ref="W431:W432"/>
    <mergeCell ref="X431:X432"/>
    <mergeCell ref="AB437:AB438"/>
    <mergeCell ref="G489:G490"/>
    <mergeCell ref="F485:F486"/>
    <mergeCell ref="G485:G486"/>
    <mergeCell ref="AD429:AD430"/>
    <mergeCell ref="AD431:AD432"/>
    <mergeCell ref="AC437:AC438"/>
    <mergeCell ref="AA439:AA440"/>
    <mergeCell ref="AC449:AC450"/>
    <mergeCell ref="AA455:AA456"/>
    <mergeCell ref="AB455:AB456"/>
    <mergeCell ref="A489:A490"/>
    <mergeCell ref="B489:B490"/>
    <mergeCell ref="C489:C490"/>
    <mergeCell ref="D489:D490"/>
    <mergeCell ref="E489:E490"/>
    <mergeCell ref="F489:F490"/>
    <mergeCell ref="P455:P456"/>
    <mergeCell ref="I489:I490"/>
    <mergeCell ref="J489:J490"/>
    <mergeCell ref="K489:K490"/>
    <mergeCell ref="L489:L490"/>
    <mergeCell ref="H485:H486"/>
    <mergeCell ref="P463:P464"/>
    <mergeCell ref="P471:P472"/>
    <mergeCell ref="O455:O456"/>
    <mergeCell ref="I457:I458"/>
    <mergeCell ref="B457:B458"/>
    <mergeCell ref="C457:C458"/>
    <mergeCell ref="D457:D458"/>
    <mergeCell ref="G453:G454"/>
    <mergeCell ref="G457:G458"/>
    <mergeCell ref="A455:A456"/>
    <mergeCell ref="B455:B456"/>
    <mergeCell ref="C455:C456"/>
    <mergeCell ref="D455:D456"/>
    <mergeCell ref="E455:E456"/>
    <mergeCell ref="O489:O490"/>
    <mergeCell ref="P489:P490"/>
    <mergeCell ref="Q489:Q490"/>
    <mergeCell ref="H489:H490"/>
    <mergeCell ref="E453:E454"/>
    <mergeCell ref="N453:N454"/>
    <mergeCell ref="O453:O454"/>
    <mergeCell ref="O485:O486"/>
    <mergeCell ref="P485:P486"/>
    <mergeCell ref="Q485:Q486"/>
    <mergeCell ref="I485:I486"/>
    <mergeCell ref="R499:R500"/>
    <mergeCell ref="S499:S500"/>
    <mergeCell ref="T499:T500"/>
    <mergeCell ref="F487:F488"/>
    <mergeCell ref="A485:A486"/>
    <mergeCell ref="B485:B486"/>
    <mergeCell ref="C485:C486"/>
    <mergeCell ref="D485:D486"/>
    <mergeCell ref="E485:E486"/>
    <mergeCell ref="U499:U500"/>
    <mergeCell ref="V499:V500"/>
    <mergeCell ref="Y497:Y498"/>
    <mergeCell ref="C526:D526"/>
    <mergeCell ref="E499:E500"/>
    <mergeCell ref="F499:F500"/>
    <mergeCell ref="G499:G500"/>
    <mergeCell ref="H499:H500"/>
    <mergeCell ref="S501:S502"/>
    <mergeCell ref="T501:T502"/>
    <mergeCell ref="W497:W498"/>
    <mergeCell ref="X497:X498"/>
    <mergeCell ref="L497:L498"/>
    <mergeCell ref="Q497:Q498"/>
    <mergeCell ref="R497:R498"/>
    <mergeCell ref="S497:S498"/>
    <mergeCell ref="T497:T498"/>
    <mergeCell ref="N497:N498"/>
    <mergeCell ref="H511:H512"/>
    <mergeCell ref="I511:I512"/>
    <mergeCell ref="K517:K518"/>
    <mergeCell ref="M517:M518"/>
    <mergeCell ref="L513:L514"/>
    <mergeCell ref="L515:L516"/>
    <mergeCell ref="J513:J514"/>
    <mergeCell ref="I515:I516"/>
    <mergeCell ref="J515:J516"/>
    <mergeCell ref="K515:K516"/>
    <mergeCell ref="U497:U498"/>
    <mergeCell ref="V497:V498"/>
    <mergeCell ref="Y523:Y524"/>
    <mergeCell ref="U523:U524"/>
    <mergeCell ref="Z523:Z524"/>
    <mergeCell ref="V519:V520"/>
    <mergeCell ref="W519:W520"/>
    <mergeCell ref="W517:W518"/>
    <mergeCell ref="X517:X518"/>
    <mergeCell ref="X513:X514"/>
    <mergeCell ref="AC497:AC498"/>
    <mergeCell ref="AD497:AD498"/>
    <mergeCell ref="AC499:AC500"/>
    <mergeCell ref="AD499:AD500"/>
    <mergeCell ref="Y527:Y528"/>
    <mergeCell ref="Z527:Z528"/>
    <mergeCell ref="Z505:Z506"/>
    <mergeCell ref="AA509:AA510"/>
    <mergeCell ref="AB509:AB510"/>
    <mergeCell ref="AA511:AA512"/>
    <mergeCell ref="AC503:AC504"/>
    <mergeCell ref="AD503:AD504"/>
    <mergeCell ref="AC513:AC514"/>
    <mergeCell ref="AA501:AA502"/>
    <mergeCell ref="AD511:AD512"/>
    <mergeCell ref="AB503:AB504"/>
    <mergeCell ref="AB511:AB512"/>
    <mergeCell ref="AC505:AC506"/>
    <mergeCell ref="AD505:AD506"/>
    <mergeCell ref="AA503:AA504"/>
    <mergeCell ref="AA517:AA518"/>
    <mergeCell ref="Y515:Y516"/>
    <mergeCell ref="Z515:Z516"/>
    <mergeCell ref="Y517:Y518"/>
    <mergeCell ref="Z517:Z518"/>
    <mergeCell ref="Z511:Z512"/>
    <mergeCell ref="X499:X500"/>
    <mergeCell ref="U511:U512"/>
    <mergeCell ref="V511:V512"/>
    <mergeCell ref="X511:X512"/>
    <mergeCell ref="V517:V518"/>
    <mergeCell ref="Z503:Z504"/>
    <mergeCell ref="Y509:Y510"/>
    <mergeCell ref="Z509:Z510"/>
    <mergeCell ref="W515:W516"/>
    <mergeCell ref="X515:X516"/>
    <mergeCell ref="AD513:AD514"/>
    <mergeCell ref="Y513:Y514"/>
    <mergeCell ref="Z513:Z514"/>
    <mergeCell ref="AA513:AA514"/>
    <mergeCell ref="AB513:AB514"/>
    <mergeCell ref="AA519:AA520"/>
    <mergeCell ref="AB519:AB520"/>
    <mergeCell ref="AD515:AD516"/>
    <mergeCell ref="AC517:AC518"/>
    <mergeCell ref="AA523:AA524"/>
    <mergeCell ref="AB523:AB524"/>
    <mergeCell ref="AA515:AA516"/>
    <mergeCell ref="AB515:AB516"/>
    <mergeCell ref="AD517:AD518"/>
    <mergeCell ref="AD519:AD520"/>
    <mergeCell ref="T519:T520"/>
    <mergeCell ref="U519:U520"/>
    <mergeCell ref="Y519:Y520"/>
    <mergeCell ref="AC511:AC512"/>
    <mergeCell ref="AC515:AC516"/>
    <mergeCell ref="V515:V516"/>
    <mergeCell ref="AB517:AB518"/>
    <mergeCell ref="Z519:Z520"/>
    <mergeCell ref="U515:U516"/>
    <mergeCell ref="AD523:AD524"/>
    <mergeCell ref="AB529:AB530"/>
    <mergeCell ref="N529:N530"/>
    <mergeCell ref="F529:F530"/>
    <mergeCell ref="W529:W530"/>
    <mergeCell ref="X529:X530"/>
    <mergeCell ref="O529:O530"/>
    <mergeCell ref="P529:P530"/>
    <mergeCell ref="Q529:Q530"/>
    <mergeCell ref="R529:R530"/>
    <mergeCell ref="Z531:Z532"/>
    <mergeCell ref="G529:G530"/>
    <mergeCell ref="G533:G534"/>
    <mergeCell ref="G531:G532"/>
    <mergeCell ref="Y529:Y530"/>
    <mergeCell ref="Z529:Z530"/>
    <mergeCell ref="L531:L532"/>
    <mergeCell ref="N533:N534"/>
    <mergeCell ref="V529:V530"/>
    <mergeCell ref="K529:K530"/>
    <mergeCell ref="P533:P534"/>
    <mergeCell ref="Q533:Q534"/>
    <mergeCell ref="V531:V532"/>
    <mergeCell ref="J531:J532"/>
    <mergeCell ref="K531:K532"/>
    <mergeCell ref="M531:M532"/>
    <mergeCell ref="N531:N532"/>
    <mergeCell ref="O531:O532"/>
    <mergeCell ref="R531:R532"/>
    <mergeCell ref="S531:S532"/>
    <mergeCell ref="AD542:AD543"/>
    <mergeCell ref="R546:R547"/>
    <mergeCell ref="S546:S547"/>
    <mergeCell ref="T546:T547"/>
    <mergeCell ref="U546:U547"/>
    <mergeCell ref="V546:V547"/>
    <mergeCell ref="Z546:Z547"/>
    <mergeCell ref="AC544:AC545"/>
    <mergeCell ref="AD544:AD545"/>
    <mergeCell ref="AD546:AD547"/>
    <mergeCell ref="AC533:AC534"/>
    <mergeCell ref="AD533:AD534"/>
    <mergeCell ref="Y533:Y534"/>
    <mergeCell ref="Z533:Z534"/>
    <mergeCell ref="AA533:AA534"/>
    <mergeCell ref="AB533:AB534"/>
    <mergeCell ref="W533:W534"/>
    <mergeCell ref="X533:X534"/>
    <mergeCell ref="S533:S534"/>
    <mergeCell ref="T533:T534"/>
    <mergeCell ref="U533:U534"/>
    <mergeCell ref="V533:V534"/>
    <mergeCell ref="AC538:AC539"/>
    <mergeCell ref="AD538:AD539"/>
    <mergeCell ref="W546:W547"/>
    <mergeCell ref="X546:X547"/>
    <mergeCell ref="AA538:AA539"/>
    <mergeCell ref="AB538:AB539"/>
    <mergeCell ref="AC542:AC543"/>
    <mergeCell ref="AB546:AB547"/>
    <mergeCell ref="Y538:Y539"/>
    <mergeCell ref="Z538:Z539"/>
    <mergeCell ref="AC546:AC547"/>
    <mergeCell ref="U542:U543"/>
    <mergeCell ref="V542:V543"/>
    <mergeCell ref="W542:W543"/>
    <mergeCell ref="X542:X543"/>
    <mergeCell ref="AB542:AB543"/>
    <mergeCell ref="AB544:AB545"/>
    <mergeCell ref="AA546:AA547"/>
    <mergeCell ref="U544:U545"/>
    <mergeCell ref="N544:N545"/>
    <mergeCell ref="O544:O545"/>
    <mergeCell ref="AA542:AA543"/>
    <mergeCell ref="AA544:AA545"/>
    <mergeCell ref="M542:M543"/>
    <mergeCell ref="V544:V545"/>
    <mergeCell ref="W544:W545"/>
    <mergeCell ref="X544:X545"/>
    <mergeCell ref="Y542:Y543"/>
    <mergeCell ref="N542:N543"/>
    <mergeCell ref="H544:H545"/>
    <mergeCell ref="I544:I545"/>
    <mergeCell ref="P544:P545"/>
    <mergeCell ref="Q544:Q545"/>
    <mergeCell ref="J544:J545"/>
    <mergeCell ref="L546:L547"/>
    <mergeCell ref="M546:M547"/>
    <mergeCell ref="N546:N547"/>
    <mergeCell ref="O546:O547"/>
    <mergeCell ref="M544:M545"/>
    <mergeCell ref="AD555:AD556"/>
    <mergeCell ref="R548:R549"/>
    <mergeCell ref="X548:X549"/>
    <mergeCell ref="T548:T549"/>
    <mergeCell ref="U548:U549"/>
    <mergeCell ref="V548:V549"/>
    <mergeCell ref="Z550:Z551"/>
    <mergeCell ref="AA548:AA549"/>
    <mergeCell ref="W555:W556"/>
    <mergeCell ref="U555:U556"/>
    <mergeCell ref="A546:A547"/>
    <mergeCell ref="B546:B547"/>
    <mergeCell ref="C546:C547"/>
    <mergeCell ref="D546:D547"/>
    <mergeCell ref="Y550:Y551"/>
    <mergeCell ref="AD548:AD549"/>
    <mergeCell ref="H548:H549"/>
    <mergeCell ref="I548:I549"/>
    <mergeCell ref="J548:J549"/>
    <mergeCell ref="K548:K549"/>
    <mergeCell ref="Q546:Q547"/>
    <mergeCell ref="E546:E547"/>
    <mergeCell ref="F546:F547"/>
    <mergeCell ref="G546:G547"/>
    <mergeCell ref="J550:J551"/>
    <mergeCell ref="K550:K551"/>
    <mergeCell ref="L550:L551"/>
    <mergeCell ref="M550:M551"/>
    <mergeCell ref="E550:E551"/>
    <mergeCell ref="P546:P547"/>
    <mergeCell ref="L560:L561"/>
    <mergeCell ref="Y555:Y556"/>
    <mergeCell ref="Z555:Z556"/>
    <mergeCell ref="Y560:Y561"/>
    <mergeCell ref="Z560:Z561"/>
    <mergeCell ref="B555:B556"/>
    <mergeCell ref="X555:X556"/>
    <mergeCell ref="F555:F556"/>
    <mergeCell ref="K555:K556"/>
    <mergeCell ref="R555:R556"/>
    <mergeCell ref="AC548:AC549"/>
    <mergeCell ref="I550:I551"/>
    <mergeCell ref="S555:S556"/>
    <mergeCell ref="L555:L556"/>
    <mergeCell ref="M555:M556"/>
    <mergeCell ref="N555:N556"/>
    <mergeCell ref="O555:O556"/>
    <mergeCell ref="P555:P556"/>
    <mergeCell ref="Y548:Y549"/>
    <mergeCell ref="AB548:AB549"/>
    <mergeCell ref="N550:N551"/>
    <mergeCell ref="O550:O551"/>
    <mergeCell ref="P550:P551"/>
    <mergeCell ref="T550:T551"/>
    <mergeCell ref="W548:W549"/>
    <mergeCell ref="G555:G556"/>
    <mergeCell ref="I555:I556"/>
    <mergeCell ref="J555:J556"/>
    <mergeCell ref="H550:H551"/>
    <mergeCell ref="N548:N549"/>
    <mergeCell ref="A560:A561"/>
    <mergeCell ref="B560:B561"/>
    <mergeCell ref="C560:C561"/>
    <mergeCell ref="D560:D561"/>
    <mergeCell ref="AA550:AA551"/>
    <mergeCell ref="AB550:AB551"/>
    <mergeCell ref="AA555:AA556"/>
    <mergeCell ref="AB555:AB556"/>
    <mergeCell ref="V550:V551"/>
    <mergeCell ref="W550:W551"/>
    <mergeCell ref="C553:D553"/>
    <mergeCell ref="H555:H556"/>
    <mergeCell ref="A550:A551"/>
    <mergeCell ref="B550:B551"/>
    <mergeCell ref="C550:C551"/>
    <mergeCell ref="D550:D551"/>
    <mergeCell ref="A555:A556"/>
    <mergeCell ref="AD550:AD551"/>
    <mergeCell ref="M560:M561"/>
    <mergeCell ref="N560:N561"/>
    <mergeCell ref="O560:O561"/>
    <mergeCell ref="P560:P561"/>
    <mergeCell ref="F550:F551"/>
    <mergeCell ref="G550:G551"/>
    <mergeCell ref="AC550:AC551"/>
    <mergeCell ref="AD560:AD561"/>
    <mergeCell ref="X550:X551"/>
    <mergeCell ref="Q566:Q567"/>
    <mergeCell ref="B570:B571"/>
    <mergeCell ref="C570:C571"/>
    <mergeCell ref="D570:D571"/>
    <mergeCell ref="E570:E571"/>
    <mergeCell ref="I566:I567"/>
    <mergeCell ref="P566:P567"/>
    <mergeCell ref="Q568:Q569"/>
    <mergeCell ref="D566:D567"/>
    <mergeCell ref="E566:E567"/>
    <mergeCell ref="Q560:Q561"/>
    <mergeCell ref="R560:R561"/>
    <mergeCell ref="AC562:AC563"/>
    <mergeCell ref="AA560:AA561"/>
    <mergeCell ref="AB560:AB561"/>
    <mergeCell ref="AB562:AB563"/>
    <mergeCell ref="R562:R563"/>
    <mergeCell ref="X560:X561"/>
    <mergeCell ref="L566:L567"/>
    <mergeCell ref="E564:E565"/>
    <mergeCell ref="F564:F565"/>
    <mergeCell ref="G564:G565"/>
    <mergeCell ref="H564:H565"/>
    <mergeCell ref="E560:E561"/>
    <mergeCell ref="F560:F561"/>
    <mergeCell ref="G560:G561"/>
    <mergeCell ref="H560:H561"/>
    <mergeCell ref="I560:I561"/>
    <mergeCell ref="AA562:AA563"/>
    <mergeCell ref="AA564:AA565"/>
    <mergeCell ref="A562:A563"/>
    <mergeCell ref="B562:B563"/>
    <mergeCell ref="C562:C563"/>
    <mergeCell ref="Y562:Y563"/>
    <mergeCell ref="N562:N563"/>
    <mergeCell ref="O562:O563"/>
    <mergeCell ref="J564:J565"/>
    <mergeCell ref="K564:K565"/>
    <mergeCell ref="K566:K567"/>
    <mergeCell ref="A570:A571"/>
    <mergeCell ref="A566:A567"/>
    <mergeCell ref="B566:B567"/>
    <mergeCell ref="C566:C567"/>
    <mergeCell ref="Z562:Z563"/>
    <mergeCell ref="Y564:Y565"/>
    <mergeCell ref="Z564:Z565"/>
    <mergeCell ref="L564:L565"/>
    <mergeCell ref="H566:H567"/>
    <mergeCell ref="M566:M567"/>
    <mergeCell ref="N566:N567"/>
    <mergeCell ref="O566:O567"/>
    <mergeCell ref="A564:A565"/>
    <mergeCell ref="B564:B565"/>
    <mergeCell ref="C564:C565"/>
    <mergeCell ref="D564:D565"/>
    <mergeCell ref="F566:F567"/>
    <mergeCell ref="G566:G567"/>
    <mergeCell ref="J566:J567"/>
    <mergeCell ref="H568:H569"/>
    <mergeCell ref="I568:I569"/>
    <mergeCell ref="P570:P571"/>
    <mergeCell ref="I570:I571"/>
    <mergeCell ref="J570:J571"/>
    <mergeCell ref="K570:K571"/>
    <mergeCell ref="L570:L571"/>
    <mergeCell ref="N568:N569"/>
    <mergeCell ref="M572:M573"/>
    <mergeCell ref="N572:N573"/>
    <mergeCell ref="Q570:Q571"/>
    <mergeCell ref="A568:A569"/>
    <mergeCell ref="B568:B569"/>
    <mergeCell ref="C568:C569"/>
    <mergeCell ref="D568:D569"/>
    <mergeCell ref="E568:E569"/>
    <mergeCell ref="F568:F569"/>
    <mergeCell ref="E572:E573"/>
    <mergeCell ref="F572:F573"/>
    <mergeCell ref="G572:G573"/>
    <mergeCell ref="M570:M571"/>
    <mergeCell ref="J568:J569"/>
    <mergeCell ref="K568:K569"/>
    <mergeCell ref="L568:L569"/>
    <mergeCell ref="M568:M569"/>
    <mergeCell ref="L572:L573"/>
    <mergeCell ref="G568:G569"/>
    <mergeCell ref="A572:A573"/>
    <mergeCell ref="B572:B573"/>
    <mergeCell ref="C572:C573"/>
    <mergeCell ref="D572:D573"/>
    <mergeCell ref="P568:P569"/>
    <mergeCell ref="A574:A575"/>
    <mergeCell ref="B574:B575"/>
    <mergeCell ref="C574:C575"/>
    <mergeCell ref="D574:D575"/>
    <mergeCell ref="E574:E575"/>
    <mergeCell ref="O572:O573"/>
    <mergeCell ref="L574:L575"/>
    <mergeCell ref="M574:M575"/>
    <mergeCell ref="O570:O571"/>
    <mergeCell ref="O568:O569"/>
    <mergeCell ref="F570:F571"/>
    <mergeCell ref="G570:G571"/>
    <mergeCell ref="H570:H571"/>
    <mergeCell ref="N570:N571"/>
    <mergeCell ref="H572:H573"/>
    <mergeCell ref="K576:K577"/>
    <mergeCell ref="L576:L577"/>
    <mergeCell ref="I572:I573"/>
    <mergeCell ref="J572:J573"/>
    <mergeCell ref="K572:K573"/>
    <mergeCell ref="H574:H575"/>
    <mergeCell ref="I574:I575"/>
    <mergeCell ref="J574:J575"/>
    <mergeCell ref="K574:K575"/>
    <mergeCell ref="U574:U575"/>
    <mergeCell ref="V574:V575"/>
    <mergeCell ref="N574:N575"/>
    <mergeCell ref="O574:O575"/>
    <mergeCell ref="S576:S577"/>
    <mergeCell ref="T576:T577"/>
    <mergeCell ref="F574:F575"/>
    <mergeCell ref="G574:G575"/>
    <mergeCell ref="M576:M577"/>
    <mergeCell ref="N576:N577"/>
    <mergeCell ref="O576:O577"/>
    <mergeCell ref="P576:P577"/>
    <mergeCell ref="F576:F577"/>
    <mergeCell ref="G576:G577"/>
    <mergeCell ref="H576:H577"/>
    <mergeCell ref="I576:I577"/>
    <mergeCell ref="A576:A577"/>
    <mergeCell ref="B576:B577"/>
    <mergeCell ref="C576:C577"/>
    <mergeCell ref="D576:D577"/>
    <mergeCell ref="U576:U577"/>
    <mergeCell ref="V576:V577"/>
    <mergeCell ref="Q576:Q577"/>
    <mergeCell ref="R576:R577"/>
    <mergeCell ref="E576:E577"/>
    <mergeCell ref="J576:J577"/>
    <mergeCell ref="AC576:AC577"/>
    <mergeCell ref="AD576:AD577"/>
    <mergeCell ref="B578:B579"/>
    <mergeCell ref="C578:C579"/>
    <mergeCell ref="D578:D579"/>
    <mergeCell ref="E578:E579"/>
    <mergeCell ref="F578:F579"/>
    <mergeCell ref="V578:V579"/>
    <mergeCell ref="W578:W579"/>
    <mergeCell ref="P578:P579"/>
    <mergeCell ref="AD582:AD583"/>
    <mergeCell ref="Y582:Y583"/>
    <mergeCell ref="Z582:Z583"/>
    <mergeCell ref="AA582:AA583"/>
    <mergeCell ref="AB582:AB583"/>
    <mergeCell ref="AC578:AC579"/>
    <mergeCell ref="AD578:AD579"/>
    <mergeCell ref="AC580:AC581"/>
    <mergeCell ref="AD580:AD581"/>
    <mergeCell ref="H580:H581"/>
    <mergeCell ref="I580:I581"/>
    <mergeCell ref="J580:J581"/>
    <mergeCell ref="K580:K581"/>
    <mergeCell ref="Q578:Q579"/>
    <mergeCell ref="N578:N579"/>
    <mergeCell ref="T580:T581"/>
    <mergeCell ref="X580:X581"/>
    <mergeCell ref="P580:P581"/>
    <mergeCell ref="AA578:AA579"/>
    <mergeCell ref="AB578:AB579"/>
    <mergeCell ref="AA580:AA581"/>
    <mergeCell ref="AB580:AB581"/>
    <mergeCell ref="M580:M581"/>
    <mergeCell ref="N580:N581"/>
    <mergeCell ref="O580:O581"/>
    <mergeCell ref="Q580:Q581"/>
    <mergeCell ref="R580:R581"/>
    <mergeCell ref="S580:S581"/>
    <mergeCell ref="X578:X579"/>
    <mergeCell ref="F582:F583"/>
    <mergeCell ref="G582:G583"/>
    <mergeCell ref="L582:L583"/>
    <mergeCell ref="L580:L581"/>
    <mergeCell ref="X582:X583"/>
    <mergeCell ref="U580:U581"/>
    <mergeCell ref="V580:V581"/>
    <mergeCell ref="W580:W581"/>
    <mergeCell ref="O578:O579"/>
    <mergeCell ref="N582:N583"/>
    <mergeCell ref="O582:O583"/>
    <mergeCell ref="H582:H583"/>
    <mergeCell ref="I582:I583"/>
    <mergeCell ref="J582:J583"/>
    <mergeCell ref="K582:K583"/>
    <mergeCell ref="D580:D581"/>
    <mergeCell ref="E580:E581"/>
    <mergeCell ref="F580:F581"/>
    <mergeCell ref="G580:G581"/>
    <mergeCell ref="D582:D583"/>
    <mergeCell ref="M582:M583"/>
    <mergeCell ref="E582:E583"/>
    <mergeCell ref="X588:X589"/>
    <mergeCell ref="Q588:Q589"/>
    <mergeCell ref="J586:J587"/>
    <mergeCell ref="A584:A585"/>
    <mergeCell ref="B584:B585"/>
    <mergeCell ref="C584:C585"/>
    <mergeCell ref="D584:D585"/>
    <mergeCell ref="I584:I585"/>
    <mergeCell ref="J584:J585"/>
    <mergeCell ref="K584:K585"/>
    <mergeCell ref="AC582:AC583"/>
    <mergeCell ref="P582:P583"/>
    <mergeCell ref="Q582:Q583"/>
    <mergeCell ref="R582:R583"/>
    <mergeCell ref="S582:S583"/>
    <mergeCell ref="T582:T583"/>
    <mergeCell ref="U582:U583"/>
    <mergeCell ref="V582:V583"/>
    <mergeCell ref="W582:W583"/>
    <mergeCell ref="E584:E585"/>
    <mergeCell ref="F584:F585"/>
    <mergeCell ref="G584:G585"/>
    <mergeCell ref="H584:H585"/>
    <mergeCell ref="AC584:AC585"/>
    <mergeCell ref="Y584:Y585"/>
    <mergeCell ref="Z584:Z585"/>
    <mergeCell ref="AA584:AA585"/>
    <mergeCell ref="AB584:AB585"/>
    <mergeCell ref="Q584:Q585"/>
    <mergeCell ref="AA586:AA587"/>
    <mergeCell ref="AB586:AB587"/>
    <mergeCell ref="S586:S587"/>
    <mergeCell ref="T586:T587"/>
    <mergeCell ref="U586:U587"/>
    <mergeCell ref="V586:V587"/>
    <mergeCell ref="W586:W587"/>
    <mergeCell ref="X586:X587"/>
    <mergeCell ref="Q586:Q587"/>
    <mergeCell ref="R586:R587"/>
    <mergeCell ref="A588:A589"/>
    <mergeCell ref="B588:B589"/>
    <mergeCell ref="C588:C589"/>
    <mergeCell ref="D588:D589"/>
    <mergeCell ref="P588:P589"/>
    <mergeCell ref="W588:W589"/>
    <mergeCell ref="A586:A587"/>
    <mergeCell ref="B586:B587"/>
    <mergeCell ref="C586:C587"/>
    <mergeCell ref="D586:D587"/>
    <mergeCell ref="AC586:AC587"/>
    <mergeCell ref="AD586:AD587"/>
    <mergeCell ref="M586:M587"/>
    <mergeCell ref="N586:N587"/>
    <mergeCell ref="O586:O587"/>
    <mergeCell ref="P586:P587"/>
    <mergeCell ref="I592:I593"/>
    <mergeCell ref="J592:J593"/>
    <mergeCell ref="K592:K593"/>
    <mergeCell ref="L592:L593"/>
    <mergeCell ref="K588:K589"/>
    <mergeCell ref="L588:L589"/>
    <mergeCell ref="J590:J591"/>
    <mergeCell ref="K590:K591"/>
    <mergeCell ref="J588:J589"/>
    <mergeCell ref="G590:G591"/>
    <mergeCell ref="H590:H591"/>
    <mergeCell ref="I590:I591"/>
    <mergeCell ref="L590:L591"/>
    <mergeCell ref="M590:M591"/>
    <mergeCell ref="K586:K587"/>
    <mergeCell ref="L586:L587"/>
    <mergeCell ref="H586:H587"/>
    <mergeCell ref="S584:S585"/>
    <mergeCell ref="N590:N591"/>
    <mergeCell ref="O590:O591"/>
    <mergeCell ref="T590:T591"/>
    <mergeCell ref="U590:U591"/>
    <mergeCell ref="M592:M593"/>
    <mergeCell ref="U588:U589"/>
    <mergeCell ref="R588:R589"/>
    <mergeCell ref="N592:N593"/>
    <mergeCell ref="O592:O593"/>
    <mergeCell ref="V594:V595"/>
    <mergeCell ref="AD584:AD585"/>
    <mergeCell ref="M584:M585"/>
    <mergeCell ref="N584:N585"/>
    <mergeCell ref="O584:O585"/>
    <mergeCell ref="P584:P585"/>
    <mergeCell ref="U584:U585"/>
    <mergeCell ref="V584:V585"/>
    <mergeCell ref="W584:W585"/>
    <mergeCell ref="X584:X585"/>
    <mergeCell ref="AC592:AC593"/>
    <mergeCell ref="AD592:AD593"/>
    <mergeCell ref="W592:W593"/>
    <mergeCell ref="D594:D595"/>
    <mergeCell ref="X594:X595"/>
    <mergeCell ref="AC594:AC595"/>
    <mergeCell ref="AD594:AD595"/>
    <mergeCell ref="S594:S595"/>
    <mergeCell ref="T594:T595"/>
    <mergeCell ref="U594:U595"/>
    <mergeCell ref="U592:U593"/>
    <mergeCell ref="V592:V593"/>
    <mergeCell ref="R592:R593"/>
    <mergeCell ref="S592:S593"/>
    <mergeCell ref="T592:T593"/>
    <mergeCell ref="X592:X593"/>
    <mergeCell ref="V590:V591"/>
    <mergeCell ref="W590:W591"/>
    <mergeCell ref="AD588:AD589"/>
    <mergeCell ref="AC590:AC591"/>
    <mergeCell ref="AD590:AD591"/>
    <mergeCell ref="AC588:AC589"/>
    <mergeCell ref="AA588:AA589"/>
    <mergeCell ref="AB588:AB589"/>
    <mergeCell ref="AA590:AA591"/>
    <mergeCell ref="AB590:AB591"/>
    <mergeCell ref="X590:X591"/>
    <mergeCell ref="H592:H593"/>
    <mergeCell ref="A602:A603"/>
    <mergeCell ref="C603:D603"/>
    <mergeCell ref="A600:A601"/>
    <mergeCell ref="B600:B601"/>
    <mergeCell ref="C600:C601"/>
    <mergeCell ref="D600:D601"/>
    <mergeCell ref="E600:E601"/>
    <mergeCell ref="F600:F601"/>
    <mergeCell ref="N600:N601"/>
    <mergeCell ref="O600:O601"/>
    <mergeCell ref="A604:A605"/>
    <mergeCell ref="B604:B605"/>
    <mergeCell ref="C604:C605"/>
    <mergeCell ref="D604:D605"/>
    <mergeCell ref="I604:I605"/>
    <mergeCell ref="P600:P601"/>
    <mergeCell ref="F594:F595"/>
    <mergeCell ref="G594:G595"/>
    <mergeCell ref="H594:H595"/>
    <mergeCell ref="I594:I595"/>
    <mergeCell ref="J594:J595"/>
    <mergeCell ref="K594:K595"/>
    <mergeCell ref="H600:H601"/>
    <mergeCell ref="L600:L601"/>
    <mergeCell ref="M600:M601"/>
    <mergeCell ref="E592:E593"/>
    <mergeCell ref="E604:E605"/>
    <mergeCell ref="F604:F605"/>
    <mergeCell ref="G604:G605"/>
    <mergeCell ref="G600:G601"/>
    <mergeCell ref="A592:A593"/>
    <mergeCell ref="B592:B593"/>
    <mergeCell ref="C592:C593"/>
    <mergeCell ref="D592:D593"/>
    <mergeCell ref="E594:E595"/>
    <mergeCell ref="G606:G607"/>
    <mergeCell ref="I606:I607"/>
    <mergeCell ref="AD608:AD609"/>
    <mergeCell ref="S608:S609"/>
    <mergeCell ref="T608:T609"/>
    <mergeCell ref="Q606:Q607"/>
    <mergeCell ref="N608:N609"/>
    <mergeCell ref="O608:O609"/>
    <mergeCell ref="U608:U609"/>
    <mergeCell ref="V608:V609"/>
    <mergeCell ref="V600:V601"/>
    <mergeCell ref="W600:W601"/>
    <mergeCell ref="X600:X601"/>
    <mergeCell ref="Q600:Q601"/>
    <mergeCell ref="R600:R601"/>
    <mergeCell ref="S600:S601"/>
    <mergeCell ref="T600:T601"/>
    <mergeCell ref="U600:U601"/>
    <mergeCell ref="AC600:AC601"/>
    <mergeCell ref="AD600:AD601"/>
    <mergeCell ref="Y600:Y601"/>
    <mergeCell ref="Z600:Z601"/>
    <mergeCell ref="AA600:AA601"/>
    <mergeCell ref="AB600:AB601"/>
    <mergeCell ref="A606:A607"/>
    <mergeCell ref="B606:B607"/>
    <mergeCell ref="C606:C607"/>
    <mergeCell ref="D606:D607"/>
    <mergeCell ref="E606:E607"/>
    <mergeCell ref="F606:F607"/>
    <mergeCell ref="R606:R607"/>
    <mergeCell ref="K606:K607"/>
    <mergeCell ref="L606:L607"/>
    <mergeCell ref="M606:M607"/>
    <mergeCell ref="N606:N607"/>
    <mergeCell ref="P610:P611"/>
    <mergeCell ref="M608:M609"/>
    <mergeCell ref="K608:K609"/>
    <mergeCell ref="L608:L609"/>
    <mergeCell ref="L610:L611"/>
    <mergeCell ref="J606:J607"/>
    <mergeCell ref="F608:F609"/>
    <mergeCell ref="G608:G609"/>
    <mergeCell ref="I608:I609"/>
    <mergeCell ref="J608:J609"/>
    <mergeCell ref="R608:R609"/>
    <mergeCell ref="P608:P609"/>
    <mergeCell ref="Q608:Q609"/>
    <mergeCell ref="O606:O607"/>
    <mergeCell ref="P606:P607"/>
    <mergeCell ref="AC610:AC611"/>
    <mergeCell ref="R610:R611"/>
    <mergeCell ref="S610:S611"/>
    <mergeCell ref="T610:T611"/>
    <mergeCell ref="U610:U611"/>
    <mergeCell ref="V610:V611"/>
    <mergeCell ref="Z610:Z611"/>
    <mergeCell ref="W610:W611"/>
    <mergeCell ref="X610:X611"/>
    <mergeCell ref="J610:J611"/>
    <mergeCell ref="S612:S613"/>
    <mergeCell ref="AD610:AD611"/>
    <mergeCell ref="A608:A609"/>
    <mergeCell ref="B608:B609"/>
    <mergeCell ref="C608:C609"/>
    <mergeCell ref="D608:D609"/>
    <mergeCell ref="E608:E609"/>
    <mergeCell ref="Y608:Y609"/>
    <mergeCell ref="Z608:Z609"/>
    <mergeCell ref="AB608:AB609"/>
    <mergeCell ref="Q610:Q611"/>
    <mergeCell ref="A610:A611"/>
    <mergeCell ref="B610:B611"/>
    <mergeCell ref="C610:C611"/>
    <mergeCell ref="D610:D611"/>
    <mergeCell ref="E610:E611"/>
    <mergeCell ref="F610:F611"/>
    <mergeCell ref="G610:G611"/>
    <mergeCell ref="I610:I611"/>
    <mergeCell ref="K610:K611"/>
    <mergeCell ref="L614:L615"/>
    <mergeCell ref="L616:L617"/>
    <mergeCell ref="P612:P613"/>
    <mergeCell ref="W608:W609"/>
    <mergeCell ref="X608:X609"/>
    <mergeCell ref="M610:M611"/>
    <mergeCell ref="N610:N611"/>
    <mergeCell ref="O610:O611"/>
    <mergeCell ref="S616:S617"/>
    <mergeCell ref="M622:M623"/>
    <mergeCell ref="N622:N623"/>
    <mergeCell ref="O622:O623"/>
    <mergeCell ref="P622:P623"/>
    <mergeCell ref="Q622:Q623"/>
    <mergeCell ref="R622:R623"/>
    <mergeCell ref="AD618:AD619"/>
    <mergeCell ref="AA620:AA621"/>
    <mergeCell ref="AB620:AB621"/>
    <mergeCell ref="AA622:AA623"/>
    <mergeCell ref="Q612:Q613"/>
    <mergeCell ref="AC622:AC623"/>
    <mergeCell ref="S622:S623"/>
    <mergeCell ref="X622:X623"/>
    <mergeCell ref="AD612:AD613"/>
    <mergeCell ref="Z612:Z613"/>
    <mergeCell ref="L612:L613"/>
    <mergeCell ref="M612:M613"/>
    <mergeCell ref="N612:N613"/>
    <mergeCell ref="O612:O613"/>
    <mergeCell ref="R612:R613"/>
    <mergeCell ref="U620:U621"/>
    <mergeCell ref="T616:T617"/>
    <mergeCell ref="Q616:Q617"/>
    <mergeCell ref="R616:R617"/>
    <mergeCell ref="S614:S615"/>
    <mergeCell ref="T612:T613"/>
    <mergeCell ref="X630:X631"/>
    <mergeCell ref="S626:S627"/>
    <mergeCell ref="AC612:AC613"/>
    <mergeCell ref="U612:U613"/>
    <mergeCell ref="V612:V613"/>
    <mergeCell ref="W612:W613"/>
    <mergeCell ref="X612:X613"/>
    <mergeCell ref="Y612:Y613"/>
    <mergeCell ref="T622:T623"/>
    <mergeCell ref="J630:J631"/>
    <mergeCell ref="K630:K631"/>
    <mergeCell ref="L630:L631"/>
    <mergeCell ref="T626:T627"/>
    <mergeCell ref="T630:T631"/>
    <mergeCell ref="AD614:AD615"/>
    <mergeCell ref="U622:U623"/>
    <mergeCell ref="AD620:AD621"/>
    <mergeCell ref="AD622:AD623"/>
    <mergeCell ref="Y616:Y617"/>
    <mergeCell ref="A620:A621"/>
    <mergeCell ref="Y622:Y623"/>
    <mergeCell ref="Z622:Z623"/>
    <mergeCell ref="Z630:Z631"/>
    <mergeCell ref="Y626:Y627"/>
    <mergeCell ref="Z626:Z627"/>
    <mergeCell ref="H630:H631"/>
    <mergeCell ref="M630:M631"/>
    <mergeCell ref="U630:U631"/>
    <mergeCell ref="V630:V631"/>
    <mergeCell ref="E612:E613"/>
    <mergeCell ref="F612:F613"/>
    <mergeCell ref="G612:G613"/>
    <mergeCell ref="I612:I613"/>
    <mergeCell ref="A612:A613"/>
    <mergeCell ref="B612:B613"/>
    <mergeCell ref="C612:C613"/>
    <mergeCell ref="D612:D613"/>
    <mergeCell ref="V634:V635"/>
    <mergeCell ref="W634:W635"/>
    <mergeCell ref="J612:J613"/>
    <mergeCell ref="K612:K613"/>
    <mergeCell ref="AD632:AD633"/>
    <mergeCell ref="A634:A635"/>
    <mergeCell ref="B634:B635"/>
    <mergeCell ref="C634:C635"/>
    <mergeCell ref="D634:D635"/>
    <mergeCell ref="E634:E635"/>
    <mergeCell ref="L632:L633"/>
    <mergeCell ref="M632:M633"/>
    <mergeCell ref="N632:N633"/>
    <mergeCell ref="O632:O633"/>
    <mergeCell ref="T634:T635"/>
    <mergeCell ref="U634:U635"/>
    <mergeCell ref="R634:R635"/>
    <mergeCell ref="S634:S635"/>
    <mergeCell ref="S632:S633"/>
    <mergeCell ref="X632:X633"/>
    <mergeCell ref="AC632:AC633"/>
    <mergeCell ref="Z632:Z633"/>
    <mergeCell ref="W632:W633"/>
    <mergeCell ref="T632:T633"/>
    <mergeCell ref="U632:U633"/>
    <mergeCell ref="V632:V633"/>
    <mergeCell ref="V636:V637"/>
    <mergeCell ref="W636:W637"/>
    <mergeCell ref="M636:M637"/>
    <mergeCell ref="N636:N637"/>
    <mergeCell ref="O636:O637"/>
    <mergeCell ref="H636:H637"/>
    <mergeCell ref="I636:I637"/>
    <mergeCell ref="J636:J637"/>
    <mergeCell ref="M634:M635"/>
    <mergeCell ref="K636:K637"/>
    <mergeCell ref="P636:P637"/>
    <mergeCell ref="Q636:Q637"/>
    <mergeCell ref="R636:R637"/>
    <mergeCell ref="C636:C637"/>
    <mergeCell ref="D636:D637"/>
    <mergeCell ref="N634:N635"/>
    <mergeCell ref="O634:O635"/>
    <mergeCell ref="P634:P635"/>
    <mergeCell ref="U626:U627"/>
    <mergeCell ref="S636:S637"/>
    <mergeCell ref="T636:T637"/>
    <mergeCell ref="U636:U637"/>
    <mergeCell ref="I630:I631"/>
    <mergeCell ref="N630:N631"/>
    <mergeCell ref="O630:O631"/>
    <mergeCell ref="P630:P631"/>
    <mergeCell ref="L636:L637"/>
    <mergeCell ref="L634:L635"/>
    <mergeCell ref="H634:H635"/>
    <mergeCell ref="I634:I635"/>
    <mergeCell ref="J634:J635"/>
    <mergeCell ref="K634:K635"/>
    <mergeCell ref="C616:C617"/>
    <mergeCell ref="D616:D617"/>
    <mergeCell ref="J626:J627"/>
    <mergeCell ref="I632:I633"/>
    <mergeCell ref="J632:J633"/>
    <mergeCell ref="K632:K633"/>
    <mergeCell ref="Y644:Y645"/>
    <mergeCell ref="Z644:Z645"/>
    <mergeCell ref="Y646:Y647"/>
    <mergeCell ref="Z646:Z647"/>
    <mergeCell ref="Y642:Y643"/>
    <mergeCell ref="Z642:Z643"/>
    <mergeCell ref="AC624:AC625"/>
    <mergeCell ref="Y137:Y138"/>
    <mergeCell ref="Z137:Z138"/>
    <mergeCell ref="Y200:Y201"/>
    <mergeCell ref="Z200:Z201"/>
    <mergeCell ref="Y342:Y343"/>
    <mergeCell ref="Z616:Z617"/>
    <mergeCell ref="Z618:Z619"/>
    <mergeCell ref="AA616:AA617"/>
    <mergeCell ref="AC608:AC609"/>
    <mergeCell ref="AD636:AD637"/>
    <mergeCell ref="Y636:Y637"/>
    <mergeCell ref="R630:R631"/>
    <mergeCell ref="S630:S631"/>
    <mergeCell ref="AD634:AD635"/>
    <mergeCell ref="Z636:Z637"/>
    <mergeCell ref="AD630:AD631"/>
    <mergeCell ref="X636:X637"/>
    <mergeCell ref="AC636:AC637"/>
    <mergeCell ref="W630:W631"/>
    <mergeCell ref="AB624:AB625"/>
    <mergeCell ref="Y630:Y631"/>
    <mergeCell ref="AA628:AA629"/>
    <mergeCell ref="AA634:AA635"/>
    <mergeCell ref="AB634:AB635"/>
    <mergeCell ref="Y634:Y635"/>
    <mergeCell ref="Z634:Z635"/>
    <mergeCell ref="Y37:Y38"/>
    <mergeCell ref="Z37:Z38"/>
    <mergeCell ref="Y27:Y28"/>
    <mergeCell ref="Z27:Z28"/>
    <mergeCell ref="Y33:Y34"/>
    <mergeCell ref="Q634:Q635"/>
    <mergeCell ref="Y628:Y629"/>
    <mergeCell ref="Y71:Y72"/>
    <mergeCell ref="Z71:Z72"/>
    <mergeCell ref="X624:X625"/>
    <mergeCell ref="Z191:Z192"/>
    <mergeCell ref="Y167:Y168"/>
    <mergeCell ref="Z167:Z168"/>
    <mergeCell ref="Z51:Z52"/>
    <mergeCell ref="Y53:Y54"/>
    <mergeCell ref="Z59:Z60"/>
    <mergeCell ref="Y61:Y62"/>
    <mergeCell ref="Z61:Z62"/>
    <mergeCell ref="Y69:Y70"/>
    <mergeCell ref="Z69:Z70"/>
    <mergeCell ref="Y129:Y130"/>
    <mergeCell ref="Z129:Z130"/>
    <mergeCell ref="Y270:Y271"/>
    <mergeCell ref="AN672:AO674"/>
    <mergeCell ref="Z147:Z148"/>
    <mergeCell ref="Z149:Z150"/>
    <mergeCell ref="Y638:Y639"/>
    <mergeCell ref="Z638:Z639"/>
    <mergeCell ref="AA638:AA639"/>
    <mergeCell ref="AB638:AB639"/>
    <mergeCell ref="Z497:Z498"/>
    <mergeCell ref="AP672:AS673"/>
    <mergeCell ref="AE674:AF674"/>
    <mergeCell ref="AG674:AH674"/>
    <mergeCell ref="AI674:AJ674"/>
    <mergeCell ref="AP674:AQ674"/>
    <mergeCell ref="AM672:AM674"/>
    <mergeCell ref="AE672:AJ673"/>
    <mergeCell ref="AK672:AL674"/>
    <mergeCell ref="AA624:AA625"/>
    <mergeCell ref="Z270:Z271"/>
    <mergeCell ref="Y272:Y273"/>
    <mergeCell ref="Y274:Y275"/>
    <mergeCell ref="Z274:Z275"/>
    <mergeCell ref="Y191:Y192"/>
    <mergeCell ref="Z153:Z154"/>
    <mergeCell ref="Y155:Y156"/>
    <mergeCell ref="Z155:Z156"/>
    <mergeCell ref="Y161:Y162"/>
    <mergeCell ref="Z161:Z162"/>
    <mergeCell ref="Z491:Z492"/>
    <mergeCell ref="Z548:Z549"/>
    <mergeCell ref="Y212:Y213"/>
    <mergeCell ref="Z212:Z213"/>
    <mergeCell ref="Z240:Z241"/>
    <mergeCell ref="Y300:Y301"/>
    <mergeCell ref="Z300:Z301"/>
    <mergeCell ref="Z228:Z229"/>
    <mergeCell ref="Y230:Y231"/>
    <mergeCell ref="Z230:Z231"/>
    <mergeCell ref="Y594:Y595"/>
    <mergeCell ref="Z594:Z595"/>
    <mergeCell ref="Y487:Y488"/>
    <mergeCell ref="Y586:Y587"/>
    <mergeCell ref="Z586:Z587"/>
    <mergeCell ref="Y578:Y579"/>
    <mergeCell ref="Z578:Z579"/>
    <mergeCell ref="Y580:Y581"/>
    <mergeCell ref="Z580:Z581"/>
    <mergeCell ref="Y491:Y492"/>
    <mergeCell ref="Y588:Y589"/>
    <mergeCell ref="Z588:Z589"/>
    <mergeCell ref="Y590:Y591"/>
    <mergeCell ref="Z590:Z591"/>
    <mergeCell ref="Y592:Y593"/>
    <mergeCell ref="Z592:Z593"/>
    <mergeCell ref="Y606:Y607"/>
    <mergeCell ref="Z606:Z607"/>
    <mergeCell ref="Y620:Y621"/>
    <mergeCell ref="Z620:Z621"/>
    <mergeCell ref="Y624:Y625"/>
    <mergeCell ref="Z624:Z625"/>
    <mergeCell ref="Y610:Y611"/>
    <mergeCell ref="Y614:Y615"/>
    <mergeCell ref="Z614:Z615"/>
    <mergeCell ref="Y546:Y547"/>
    <mergeCell ref="Y499:Y500"/>
    <mergeCell ref="Z499:Z500"/>
    <mergeCell ref="Y501:Y502"/>
    <mergeCell ref="Z501:Z502"/>
    <mergeCell ref="Y503:Y504"/>
    <mergeCell ref="Z542:Z543"/>
    <mergeCell ref="Y544:Y545"/>
    <mergeCell ref="Z544:Z545"/>
    <mergeCell ref="Y531:Y532"/>
    <mergeCell ref="AB35:AB36"/>
    <mergeCell ref="AA37:AA38"/>
    <mergeCell ref="AB37:AB38"/>
    <mergeCell ref="AA21:AA22"/>
    <mergeCell ref="AB21:AB22"/>
    <mergeCell ref="AB25:AB26"/>
    <mergeCell ref="AB115:AB116"/>
    <mergeCell ref="AA186:AA187"/>
    <mergeCell ref="AB186:AB187"/>
    <mergeCell ref="AA119:AA120"/>
    <mergeCell ref="AB119:AB120"/>
    <mergeCell ref="AA123:AA124"/>
    <mergeCell ref="AB123:AB124"/>
    <mergeCell ref="AA149:AA150"/>
    <mergeCell ref="AB149:AB150"/>
    <mergeCell ref="AA115:AA116"/>
    <mergeCell ref="AB212:AB213"/>
    <mergeCell ref="AB77:AB78"/>
    <mergeCell ref="AA131:AA132"/>
    <mergeCell ref="AA145:AA146"/>
    <mergeCell ref="AB145:AB146"/>
    <mergeCell ref="AA147:AA148"/>
    <mergeCell ref="AB147:AB148"/>
    <mergeCell ref="AA83:AA84"/>
    <mergeCell ref="AB83:AB84"/>
    <mergeCell ref="AA191:AA192"/>
    <mergeCell ref="AA53:AA54"/>
    <mergeCell ref="AB53:AB54"/>
    <mergeCell ref="AA55:AA56"/>
    <mergeCell ref="AB55:AB56"/>
    <mergeCell ref="AB45:AB46"/>
    <mergeCell ref="AA59:AA60"/>
    <mergeCell ref="AB59:AB60"/>
    <mergeCell ref="AB47:AB48"/>
    <mergeCell ref="AB49:AB50"/>
    <mergeCell ref="AB51:AB52"/>
    <mergeCell ref="AA69:AA70"/>
    <mergeCell ref="AB69:AB70"/>
    <mergeCell ref="AA71:AA72"/>
    <mergeCell ref="AB71:AB72"/>
    <mergeCell ref="AA61:AA62"/>
    <mergeCell ref="AB61:AB62"/>
    <mergeCell ref="AB191:AB192"/>
    <mergeCell ref="AA167:AA168"/>
    <mergeCell ref="AB167:AB168"/>
    <mergeCell ref="AA172:AA173"/>
    <mergeCell ref="AB172:AB173"/>
    <mergeCell ref="AA178:AA179"/>
    <mergeCell ref="AA174:AA175"/>
    <mergeCell ref="AB174:AB175"/>
    <mergeCell ref="AB178:AB179"/>
    <mergeCell ref="AA206:AA207"/>
    <mergeCell ref="AA278:AA279"/>
    <mergeCell ref="AB278:AB279"/>
    <mergeCell ref="AB270:AB271"/>
    <mergeCell ref="AA272:AA273"/>
    <mergeCell ref="AB272:AB273"/>
    <mergeCell ref="AA274:AA275"/>
    <mergeCell ref="AB274:AB275"/>
    <mergeCell ref="AA270:AA271"/>
    <mergeCell ref="AA250:AA251"/>
    <mergeCell ref="AA196:AA197"/>
    <mergeCell ref="AB196:AB197"/>
    <mergeCell ref="AB200:AB201"/>
    <mergeCell ref="AA204:AA205"/>
    <mergeCell ref="AB204:AB205"/>
    <mergeCell ref="AA200:AA201"/>
    <mergeCell ref="AB298:AB299"/>
    <mergeCell ref="AA302:AA303"/>
    <mergeCell ref="AB302:AB303"/>
    <mergeCell ref="AA224:AA225"/>
    <mergeCell ref="AA236:AA237"/>
    <mergeCell ref="AB236:AB237"/>
    <mergeCell ref="AA242:AA243"/>
    <mergeCell ref="AB242:AB243"/>
    <mergeCell ref="AA254:AA255"/>
    <mergeCell ref="AA260:AA261"/>
    <mergeCell ref="AB342:AB343"/>
    <mergeCell ref="AA447:AA448"/>
    <mergeCell ref="AB447:AB448"/>
    <mergeCell ref="AA449:AA450"/>
    <mergeCell ref="AB449:AB450"/>
    <mergeCell ref="AB300:AB301"/>
    <mergeCell ref="AA427:AA428"/>
    <mergeCell ref="AB427:AB428"/>
    <mergeCell ref="AA429:AA430"/>
    <mergeCell ref="AB429:AB430"/>
    <mergeCell ref="AA479:AA480"/>
    <mergeCell ref="AB479:AB480"/>
    <mergeCell ref="AA487:AA488"/>
    <mergeCell ref="AB326:AB327"/>
    <mergeCell ref="AB338:AB339"/>
    <mergeCell ref="AA348:AA349"/>
    <mergeCell ref="AB334:AB335"/>
    <mergeCell ref="AA340:AA341"/>
    <mergeCell ref="AB340:AB341"/>
    <mergeCell ref="AA342:AA343"/>
    <mergeCell ref="AA499:AA500"/>
    <mergeCell ref="AB499:AB500"/>
    <mergeCell ref="AA497:AA498"/>
    <mergeCell ref="AB413:AB414"/>
    <mergeCell ref="AA505:AA506"/>
    <mergeCell ref="AB505:AB506"/>
    <mergeCell ref="AA489:AA490"/>
    <mergeCell ref="AB489:AB490"/>
    <mergeCell ref="AA477:AA478"/>
    <mergeCell ref="AB477:AB478"/>
    <mergeCell ref="AB473:AB474"/>
    <mergeCell ref="AB475:AB476"/>
    <mergeCell ref="AB491:AB492"/>
    <mergeCell ref="AB501:AB502"/>
    <mergeCell ref="AB487:AB488"/>
    <mergeCell ref="AB493:AB494"/>
    <mergeCell ref="AB497:AB498"/>
    <mergeCell ref="AA366:AA367"/>
    <mergeCell ref="AA596:AA597"/>
    <mergeCell ref="AB642:AB643"/>
    <mergeCell ref="AA610:AA611"/>
    <mergeCell ref="AB610:AB611"/>
    <mergeCell ref="AA592:AA593"/>
    <mergeCell ref="AB592:AB593"/>
    <mergeCell ref="AA594:AA595"/>
    <mergeCell ref="AB594:AB595"/>
    <mergeCell ref="AA608:AA609"/>
    <mergeCell ref="AB622:AB623"/>
    <mergeCell ref="AB596:AB597"/>
    <mergeCell ref="AB616:AB617"/>
    <mergeCell ref="AB598:AB599"/>
    <mergeCell ref="AA606:AA607"/>
    <mergeCell ref="AB606:AB607"/>
    <mergeCell ref="AA614:AA615"/>
    <mergeCell ref="AB614:AB615"/>
    <mergeCell ref="AA612:AA613"/>
    <mergeCell ref="AB612:AB613"/>
    <mergeCell ref="AB644:AB645"/>
    <mergeCell ref="AA640:AA641"/>
    <mergeCell ref="AB640:AB641"/>
    <mergeCell ref="AA642:AA643"/>
    <mergeCell ref="AA626:AA627"/>
    <mergeCell ref="AB626:AB627"/>
    <mergeCell ref="AA636:AA637"/>
    <mergeCell ref="AB636:AB637"/>
    <mergeCell ref="AA652:AA653"/>
    <mergeCell ref="AB652:AB653"/>
    <mergeCell ref="AA658:AA659"/>
    <mergeCell ref="AB658:AB659"/>
    <mergeCell ref="AA654:AA655"/>
    <mergeCell ref="AB654:AB655"/>
  </mergeCells>
  <phoneticPr fontId="73" type="noConversion"/>
  <printOptions verticalCentered="1"/>
  <pageMargins left="0" right="0" top="0.59055118110236227" bottom="0.39370078740157483" header="0" footer="0"/>
  <pageSetup paperSize="9" scale="29" fitToHeight="12" orientation="landscape" r:id="rId1"/>
  <headerFooter alignWithMargins="0"/>
  <rowBreaks count="5" manualBreakCount="5">
    <brk id="56" min="2" max="25" man="1"/>
    <brk id="190" min="2" max="25" man="1"/>
    <brk id="257" min="2" max="25" man="1"/>
    <brk id="460" min="2" max="25" man="1"/>
    <brk id="667" min="2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784"/>
  <sheetViews>
    <sheetView view="pageBreakPreview" zoomScale="45" zoomScaleNormal="40" zoomScaleSheetLayoutView="45" workbookViewId="0">
      <selection activeCell="C1" sqref="C1"/>
    </sheetView>
  </sheetViews>
  <sheetFormatPr defaultRowHeight="23.25"/>
  <cols>
    <col min="1" max="1" width="10.28515625" style="200" customWidth="1"/>
    <col min="2" max="2" width="8.7109375" style="200" customWidth="1"/>
    <col min="3" max="3" width="81.5703125" style="199" customWidth="1"/>
    <col min="4" max="4" width="63" style="156" customWidth="1"/>
    <col min="5" max="5" width="36.85546875" style="158" customWidth="1"/>
    <col min="6" max="6" width="8.7109375" style="156" customWidth="1"/>
    <col min="7" max="7" width="17.5703125" style="156" customWidth="1"/>
    <col min="8" max="8" width="14.42578125" style="156" customWidth="1"/>
    <col min="9" max="9" width="13.7109375" style="156" customWidth="1"/>
    <col min="10" max="10" width="7.5703125" style="156" customWidth="1"/>
    <col min="11" max="11" width="14.7109375" style="156" customWidth="1"/>
    <col min="12" max="12" width="15.7109375" style="156" customWidth="1"/>
    <col min="13" max="13" width="12.85546875" style="156" customWidth="1"/>
    <col min="14" max="14" width="21.5703125" style="156" customWidth="1"/>
    <col min="15" max="15" width="13.42578125" style="156" customWidth="1"/>
    <col min="16" max="16" width="10.7109375" style="156" customWidth="1"/>
    <col min="17" max="17" width="12" style="156" customWidth="1"/>
    <col min="18" max="18" width="8.28515625" style="156" customWidth="1"/>
    <col min="19" max="19" width="16.7109375" style="156" bestFit="1" customWidth="1"/>
    <col min="20" max="20" width="11.7109375" style="156" customWidth="1"/>
    <col min="21" max="21" width="8.7109375" style="156" customWidth="1"/>
    <col min="22" max="22" width="18.85546875" style="156" customWidth="1"/>
    <col min="23" max="23" width="19.7109375" style="156" customWidth="1"/>
    <col min="24" max="24" width="21.5703125" style="156" customWidth="1"/>
    <col min="25" max="25" width="24.5703125" style="156" customWidth="1"/>
    <col min="26" max="26" width="21.5703125" style="156" customWidth="1"/>
    <col min="27" max="27" width="22.140625" style="494" customWidth="1"/>
    <col min="28" max="28" width="24.140625" style="494" customWidth="1"/>
    <col min="29" max="29" width="23.85546875" style="201" customWidth="1"/>
    <col min="30" max="30" width="19" style="201" customWidth="1"/>
    <col min="31" max="31" width="17.5703125" style="202" customWidth="1"/>
    <col min="32" max="32" width="15.28515625" style="202" customWidth="1"/>
    <col min="33" max="33" width="21.28515625" style="202" customWidth="1"/>
    <col min="34" max="34" width="15.28515625" style="202" customWidth="1"/>
    <col min="35" max="35" width="19.5703125" style="209" customWidth="1"/>
    <col min="36" max="36" width="15.28515625" style="209" customWidth="1"/>
    <col min="37" max="37" width="18.7109375" style="204" customWidth="1"/>
    <col min="38" max="38" width="21.28515625" style="209" customWidth="1"/>
    <col min="39" max="39" width="28.140625" style="204" customWidth="1"/>
    <col min="40" max="40" width="18.7109375" style="204" customWidth="1"/>
    <col min="41" max="41" width="21.28515625" style="209" customWidth="1"/>
    <col min="42" max="42" width="24.7109375" style="202" customWidth="1"/>
    <col min="43" max="43" width="22.5703125" style="202" customWidth="1"/>
    <col min="44" max="44" width="13.5703125" style="202" customWidth="1"/>
    <col min="45" max="45" width="23.140625" style="202" customWidth="1"/>
    <col min="46" max="50" width="9.140625" style="210"/>
    <col min="51" max="51" width="14.42578125" style="210" bestFit="1" customWidth="1"/>
    <col min="52" max="16384" width="9.140625" style="210"/>
  </cols>
  <sheetData>
    <row r="1" spans="1:45" s="161" customFormat="1" ht="57" customHeight="1">
      <c r="A1" s="156"/>
      <c r="B1" s="156"/>
      <c r="C1" s="157" t="s">
        <v>1086</v>
      </c>
      <c r="D1" s="156"/>
      <c r="E1" s="158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494"/>
      <c r="AB1" s="494"/>
      <c r="AC1" s="156"/>
      <c r="AD1" s="156"/>
      <c r="AE1" s="159"/>
      <c r="AF1" s="159"/>
      <c r="AG1" s="159"/>
      <c r="AH1" s="159"/>
      <c r="AI1" s="160"/>
      <c r="AJ1" s="160"/>
      <c r="AK1" s="160"/>
      <c r="AL1" s="160"/>
      <c r="AM1" s="160"/>
      <c r="AN1" s="160"/>
      <c r="AO1" s="160"/>
      <c r="AP1" s="159"/>
      <c r="AQ1" s="159"/>
      <c r="AR1" s="159"/>
      <c r="AS1" s="159"/>
    </row>
    <row r="2" spans="1:45" s="169" customFormat="1" ht="64.5">
      <c r="A2" s="162"/>
      <c r="B2" s="162"/>
      <c r="C2" s="1160" t="s">
        <v>1087</v>
      </c>
      <c r="D2" s="1160"/>
      <c r="E2" s="1161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762"/>
      <c r="Z2" s="762"/>
      <c r="AA2" s="495"/>
      <c r="AB2" s="495"/>
      <c r="AC2" s="162"/>
      <c r="AD2" s="163"/>
      <c r="AE2" s="164"/>
      <c r="AF2" s="165"/>
      <c r="AG2" s="166"/>
      <c r="AH2" s="164"/>
      <c r="AI2" s="167"/>
      <c r="AJ2" s="168"/>
      <c r="AK2" s="168"/>
      <c r="AL2" s="168"/>
      <c r="AM2" s="168"/>
      <c r="AN2" s="168"/>
      <c r="AO2" s="168"/>
      <c r="AP2" s="164"/>
      <c r="AQ2" s="164"/>
      <c r="AR2" s="164"/>
      <c r="AS2" s="164"/>
    </row>
    <row r="3" spans="1:45" s="174" customFormat="1" ht="29.25" customHeight="1">
      <c r="A3" s="170"/>
      <c r="B3" s="170"/>
      <c r="C3" s="171"/>
      <c r="D3" s="170"/>
      <c r="E3" s="172"/>
      <c r="F3" s="170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70"/>
      <c r="U3" s="170"/>
      <c r="V3" s="170"/>
      <c r="W3" s="170"/>
      <c r="X3" s="170"/>
      <c r="Y3" s="170"/>
      <c r="Z3" s="170"/>
      <c r="AA3" s="496"/>
      <c r="AB3" s="496"/>
      <c r="AC3" s="170"/>
      <c r="AD3" s="170"/>
      <c r="AE3" s="164"/>
      <c r="AF3" s="164"/>
      <c r="AG3" s="164"/>
      <c r="AH3" s="164"/>
      <c r="AI3" s="173"/>
      <c r="AJ3" s="173"/>
      <c r="AK3" s="173"/>
      <c r="AL3" s="173"/>
      <c r="AM3" s="173"/>
      <c r="AN3" s="173"/>
      <c r="AO3" s="173"/>
      <c r="AP3" s="164"/>
      <c r="AQ3" s="164"/>
      <c r="AR3" s="164"/>
      <c r="AS3" s="164"/>
    </row>
    <row r="4" spans="1:45" s="175" customFormat="1" ht="85.5" customHeight="1">
      <c r="A4" s="1157"/>
      <c r="B4" s="1157"/>
      <c r="C4" s="1157" t="s">
        <v>266</v>
      </c>
      <c r="D4" s="1158"/>
      <c r="E4" s="1163" t="s">
        <v>267</v>
      </c>
      <c r="F4" s="1164" t="s">
        <v>268</v>
      </c>
      <c r="G4" s="1151" t="s">
        <v>269</v>
      </c>
      <c r="H4" s="1151"/>
      <c r="I4" s="1151"/>
      <c r="J4" s="1151"/>
      <c r="K4" s="1151"/>
      <c r="L4" s="1151"/>
      <c r="M4" s="1151"/>
      <c r="N4" s="1151"/>
      <c r="O4" s="1151" t="s">
        <v>270</v>
      </c>
      <c r="P4" s="1151"/>
      <c r="Q4" s="1151" t="s">
        <v>271</v>
      </c>
      <c r="R4" s="1151"/>
      <c r="S4" s="1151"/>
      <c r="T4" s="1151" t="s">
        <v>272</v>
      </c>
      <c r="U4" s="1151"/>
      <c r="V4" s="1151"/>
      <c r="W4" s="1151" t="s">
        <v>273</v>
      </c>
      <c r="X4" s="1151" t="s">
        <v>274</v>
      </c>
      <c r="Y4" s="1151" t="s">
        <v>1080</v>
      </c>
      <c r="Z4" s="1151" t="s">
        <v>274</v>
      </c>
      <c r="AA4" s="1156" t="s">
        <v>1080</v>
      </c>
      <c r="AB4" s="1156" t="s">
        <v>274</v>
      </c>
      <c r="AC4" s="1151" t="s">
        <v>275</v>
      </c>
      <c r="AD4" s="1151" t="s">
        <v>273</v>
      </c>
      <c r="AE4" s="1147" t="s">
        <v>276</v>
      </c>
      <c r="AF4" s="1150"/>
      <c r="AG4" s="1150"/>
      <c r="AH4" s="1150"/>
      <c r="AI4" s="1150"/>
      <c r="AJ4" s="1150"/>
      <c r="AK4" s="1147" t="s">
        <v>277</v>
      </c>
      <c r="AL4" s="1147"/>
      <c r="AM4" s="1147" t="s">
        <v>273</v>
      </c>
      <c r="AN4" s="1147" t="s">
        <v>278</v>
      </c>
      <c r="AO4" s="1147"/>
      <c r="AP4" s="1147" t="s">
        <v>279</v>
      </c>
      <c r="AQ4" s="1150"/>
      <c r="AR4" s="1150"/>
      <c r="AS4" s="1150"/>
    </row>
    <row r="5" spans="1:45" s="175" customFormat="1" ht="39.75" customHeight="1">
      <c r="A5" s="1157"/>
      <c r="B5" s="1157"/>
      <c r="C5" s="1157"/>
      <c r="D5" s="1158"/>
      <c r="E5" s="1163"/>
      <c r="F5" s="1164"/>
      <c r="G5" s="1151" t="s">
        <v>280</v>
      </c>
      <c r="H5" s="1151" t="s">
        <v>281</v>
      </c>
      <c r="I5" s="1152"/>
      <c r="J5" s="1152"/>
      <c r="K5" s="1152"/>
      <c r="L5" s="1152"/>
      <c r="M5" s="1152"/>
      <c r="N5" s="1151" t="s">
        <v>282</v>
      </c>
      <c r="O5" s="1154" t="s">
        <v>283</v>
      </c>
      <c r="P5" s="1154" t="s">
        <v>284</v>
      </c>
      <c r="Q5" s="1155" t="s">
        <v>285</v>
      </c>
      <c r="R5" s="1151" t="s">
        <v>286</v>
      </c>
      <c r="S5" s="1151"/>
      <c r="T5" s="1154" t="s">
        <v>287</v>
      </c>
      <c r="U5" s="1151" t="s">
        <v>288</v>
      </c>
      <c r="V5" s="1151"/>
      <c r="W5" s="1151"/>
      <c r="X5" s="1151"/>
      <c r="Y5" s="1151"/>
      <c r="Z5" s="1151"/>
      <c r="AA5" s="1156"/>
      <c r="AB5" s="1156"/>
      <c r="AC5" s="1151"/>
      <c r="AD5" s="1151"/>
      <c r="AE5" s="1150"/>
      <c r="AF5" s="1150"/>
      <c r="AG5" s="1150"/>
      <c r="AH5" s="1150"/>
      <c r="AI5" s="1150"/>
      <c r="AJ5" s="1150"/>
      <c r="AK5" s="1147"/>
      <c r="AL5" s="1147"/>
      <c r="AM5" s="1147"/>
      <c r="AN5" s="1147"/>
      <c r="AO5" s="1147"/>
      <c r="AP5" s="1150"/>
      <c r="AQ5" s="1150"/>
      <c r="AR5" s="1150"/>
      <c r="AS5" s="1150"/>
    </row>
    <row r="6" spans="1:45" s="175" customFormat="1" ht="253.5" customHeight="1">
      <c r="A6" s="1157"/>
      <c r="B6" s="1157"/>
      <c r="C6" s="1157"/>
      <c r="D6" s="1158"/>
      <c r="E6" s="1163"/>
      <c r="F6" s="1164"/>
      <c r="G6" s="1151"/>
      <c r="H6" s="298" t="s">
        <v>289</v>
      </c>
      <c r="I6" s="298" t="s">
        <v>290</v>
      </c>
      <c r="J6" s="298" t="s">
        <v>291</v>
      </c>
      <c r="K6" s="298" t="s">
        <v>292</v>
      </c>
      <c r="L6" s="301" t="s">
        <v>293</v>
      </c>
      <c r="M6" s="301" t="s">
        <v>294</v>
      </c>
      <c r="N6" s="1151"/>
      <c r="O6" s="1154"/>
      <c r="P6" s="1154"/>
      <c r="Q6" s="1155"/>
      <c r="R6" s="176" t="s">
        <v>295</v>
      </c>
      <c r="S6" s="176" t="s">
        <v>296</v>
      </c>
      <c r="T6" s="1154"/>
      <c r="U6" s="301" t="s">
        <v>295</v>
      </c>
      <c r="V6" s="301" t="s">
        <v>297</v>
      </c>
      <c r="W6" s="1151"/>
      <c r="X6" s="1151"/>
      <c r="Y6" s="1151"/>
      <c r="Z6" s="1151"/>
      <c r="AA6" s="1156"/>
      <c r="AB6" s="1156"/>
      <c r="AC6" s="1151"/>
      <c r="AD6" s="1151"/>
      <c r="AE6" s="1148" t="s">
        <v>298</v>
      </c>
      <c r="AF6" s="1148"/>
      <c r="AG6" s="1148" t="s">
        <v>299</v>
      </c>
      <c r="AH6" s="1148"/>
      <c r="AI6" s="1149" t="s">
        <v>300</v>
      </c>
      <c r="AJ6" s="1149"/>
      <c r="AK6" s="1147"/>
      <c r="AL6" s="1147"/>
      <c r="AM6" s="1147"/>
      <c r="AN6" s="1147"/>
      <c r="AO6" s="1147"/>
      <c r="AP6" s="1148" t="s">
        <v>301</v>
      </c>
      <c r="AQ6" s="1148"/>
      <c r="AR6" s="515" t="s">
        <v>302</v>
      </c>
      <c r="AS6" s="515" t="s">
        <v>303</v>
      </c>
    </row>
    <row r="7" spans="1:45" s="180" customFormat="1" ht="20.100000000000001" customHeight="1">
      <c r="A7" s="296"/>
      <c r="B7" s="296"/>
      <c r="C7" s="1157" t="s">
        <v>304</v>
      </c>
      <c r="D7" s="1158"/>
      <c r="E7" s="297" t="s">
        <v>305</v>
      </c>
      <c r="F7" s="296" t="s">
        <v>306</v>
      </c>
      <c r="G7" s="299">
        <v>5</v>
      </c>
      <c r="H7" s="296" t="s">
        <v>307</v>
      </c>
      <c r="I7" s="296" t="s">
        <v>308</v>
      </c>
      <c r="J7" s="296" t="s">
        <v>309</v>
      </c>
      <c r="K7" s="296" t="s">
        <v>310</v>
      </c>
      <c r="L7" s="299">
        <v>10</v>
      </c>
      <c r="M7" s="299">
        <v>11</v>
      </c>
      <c r="N7" s="299">
        <v>12</v>
      </c>
      <c r="O7" s="299">
        <v>13</v>
      </c>
      <c r="P7" s="299">
        <v>14</v>
      </c>
      <c r="Q7" s="299">
        <v>15</v>
      </c>
      <c r="R7" s="299">
        <v>16</v>
      </c>
      <c r="S7" s="299">
        <v>17</v>
      </c>
      <c r="T7" s="299">
        <v>18</v>
      </c>
      <c r="U7" s="299">
        <v>19</v>
      </c>
      <c r="V7" s="299">
        <v>20</v>
      </c>
      <c r="W7" s="299">
        <v>21</v>
      </c>
      <c r="X7" s="299">
        <v>22</v>
      </c>
      <c r="Y7" s="299"/>
      <c r="Z7" s="299"/>
      <c r="AA7" s="493"/>
      <c r="AB7" s="493"/>
      <c r="AC7" s="177"/>
      <c r="AD7" s="177"/>
      <c r="AE7" s="178"/>
      <c r="AF7" s="178"/>
      <c r="AG7" s="178"/>
      <c r="AH7" s="178"/>
      <c r="AI7" s="179"/>
      <c r="AJ7" s="179"/>
      <c r="AK7" s="179"/>
      <c r="AL7" s="179"/>
      <c r="AM7" s="179"/>
      <c r="AN7" s="179"/>
      <c r="AO7" s="179"/>
      <c r="AP7" s="178"/>
      <c r="AQ7" s="178"/>
      <c r="AR7" s="178"/>
      <c r="AS7" s="178"/>
    </row>
    <row r="8" spans="1:45" s="175" customFormat="1">
      <c r="A8" s="181"/>
      <c r="B8" s="181"/>
      <c r="C8" s="182"/>
      <c r="D8" s="181"/>
      <c r="E8" s="297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3"/>
      <c r="U8" s="183"/>
      <c r="V8" s="183"/>
      <c r="W8" s="183"/>
      <c r="X8" s="183"/>
      <c r="Y8" s="183"/>
      <c r="Z8" s="183"/>
      <c r="AA8" s="497"/>
      <c r="AB8" s="497"/>
      <c r="AC8" s="183"/>
      <c r="AD8" s="183"/>
      <c r="AE8" s="178"/>
      <c r="AF8" s="178"/>
      <c r="AG8" s="178"/>
      <c r="AH8" s="178"/>
      <c r="AI8" s="179"/>
      <c r="AJ8" s="179"/>
      <c r="AK8" s="179"/>
      <c r="AL8" s="179"/>
      <c r="AM8" s="179"/>
      <c r="AN8" s="179"/>
      <c r="AO8" s="179"/>
      <c r="AP8" s="178"/>
      <c r="AQ8" s="178"/>
      <c r="AR8" s="178"/>
      <c r="AS8" s="178"/>
    </row>
    <row r="9" spans="1:45" s="188" customFormat="1" ht="22.5" customHeight="1">
      <c r="A9" s="184"/>
      <c r="B9" s="184"/>
      <c r="C9" s="1159" t="s">
        <v>311</v>
      </c>
      <c r="D9" s="1159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498"/>
      <c r="AB9" s="498"/>
      <c r="AC9" s="185"/>
      <c r="AD9" s="185"/>
      <c r="AE9" s="186"/>
      <c r="AF9" s="186"/>
      <c r="AG9" s="186"/>
      <c r="AH9" s="186"/>
      <c r="AI9" s="187"/>
      <c r="AJ9" s="187"/>
      <c r="AK9" s="187"/>
      <c r="AL9" s="187"/>
      <c r="AM9" s="187"/>
      <c r="AN9" s="187"/>
      <c r="AO9" s="187"/>
      <c r="AP9" s="186"/>
      <c r="AQ9" s="186"/>
      <c r="AR9" s="186"/>
      <c r="AS9" s="186"/>
    </row>
    <row r="10" spans="1:45" s="188" customFormat="1" ht="22.5" customHeight="1">
      <c r="A10" s="184"/>
      <c r="B10" s="184"/>
      <c r="C10" s="1159" t="s">
        <v>312</v>
      </c>
      <c r="D10" s="1159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498"/>
      <c r="AB10" s="498"/>
      <c r="AC10" s="189"/>
      <c r="AD10" s="185"/>
      <c r="AE10" s="186"/>
      <c r="AF10" s="186"/>
      <c r="AG10" s="186"/>
      <c r="AH10" s="186"/>
      <c r="AI10" s="187"/>
      <c r="AJ10" s="187"/>
      <c r="AK10" s="187"/>
      <c r="AL10" s="187"/>
      <c r="AM10" s="187"/>
      <c r="AN10" s="187"/>
      <c r="AO10" s="187"/>
      <c r="AP10" s="186"/>
      <c r="AQ10" s="186"/>
      <c r="AR10" s="186"/>
      <c r="AS10" s="186"/>
    </row>
    <row r="11" spans="1:45" s="191" customFormat="1" ht="23.85" hidden="1" customHeight="1">
      <c r="A11" s="1129"/>
      <c r="B11" s="1129"/>
      <c r="C11" s="1128"/>
      <c r="D11" s="1129" t="s">
        <v>313</v>
      </c>
      <c r="E11" s="1129" t="s">
        <v>250</v>
      </c>
      <c r="F11" s="1129">
        <v>16</v>
      </c>
      <c r="G11" s="1127">
        <v>8320</v>
      </c>
      <c r="H11" s="1127">
        <f>2982*44.9%</f>
        <v>1338.9180000000001</v>
      </c>
      <c r="I11" s="1127"/>
      <c r="J11" s="1127"/>
      <c r="K11" s="1127"/>
      <c r="L11" s="1129"/>
      <c r="M11" s="1129"/>
      <c r="N11" s="1127">
        <f>G11+H11+I11+J11+K11+L11+M11</f>
        <v>9658.9179999999997</v>
      </c>
      <c r="O11" s="1129" t="s">
        <v>314</v>
      </c>
      <c r="P11" s="1129"/>
      <c r="Q11" s="1129"/>
      <c r="R11" s="1129"/>
      <c r="S11" s="1129"/>
      <c r="T11" s="1129">
        <v>32</v>
      </c>
      <c r="U11" s="1130">
        <v>0.3</v>
      </c>
      <c r="V11" s="1127">
        <f>N11*U11</f>
        <v>2897.6753999999996</v>
      </c>
      <c r="W11" s="1127"/>
      <c r="X11" s="1127">
        <f>N11</f>
        <v>9658.9179999999997</v>
      </c>
      <c r="Y11" s="1127"/>
      <c r="Z11" s="1127">
        <f>P11</f>
        <v>0</v>
      </c>
      <c r="AA11" s="1153"/>
      <c r="AB11" s="1153">
        <f>R11</f>
        <v>0</v>
      </c>
      <c r="AC11" s="1127"/>
      <c r="AD11" s="1127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</row>
    <row r="12" spans="1:45" s="191" customFormat="1" ht="23.85" hidden="1" customHeight="1">
      <c r="A12" s="1129"/>
      <c r="B12" s="1129"/>
      <c r="C12" s="1128"/>
      <c r="D12" s="1129"/>
      <c r="E12" s="1129"/>
      <c r="F12" s="1129"/>
      <c r="G12" s="1127"/>
      <c r="H12" s="1127"/>
      <c r="I12" s="1127"/>
      <c r="J12" s="1127"/>
      <c r="K12" s="1127"/>
      <c r="L12" s="1129"/>
      <c r="M12" s="1129"/>
      <c r="N12" s="1127"/>
      <c r="O12" s="1129"/>
      <c r="P12" s="1129"/>
      <c r="Q12" s="1129"/>
      <c r="R12" s="1129"/>
      <c r="S12" s="1129"/>
      <c r="T12" s="1129"/>
      <c r="U12" s="1130"/>
      <c r="V12" s="1127"/>
      <c r="W12" s="1127"/>
      <c r="X12" s="1127"/>
      <c r="Y12" s="1127"/>
      <c r="Z12" s="1127"/>
      <c r="AA12" s="1153"/>
      <c r="AB12" s="1153"/>
      <c r="AC12" s="1127"/>
      <c r="AD12" s="1127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</row>
    <row r="13" spans="1:45" s="191" customFormat="1" ht="23.85" hidden="1" customHeight="1">
      <c r="A13" s="1129"/>
      <c r="B13" s="1129"/>
      <c r="C13" s="1128"/>
      <c r="D13" s="1129" t="s">
        <v>315</v>
      </c>
      <c r="E13" s="1129" t="s">
        <v>316</v>
      </c>
      <c r="F13" s="1129">
        <v>14</v>
      </c>
      <c r="G13" s="1127">
        <v>7216</v>
      </c>
      <c r="H13" s="302">
        <v>0.25</v>
      </c>
      <c r="I13" s="302">
        <v>0.4</v>
      </c>
      <c r="J13" s="1129"/>
      <c r="K13" s="1129"/>
      <c r="L13" s="1129"/>
      <c r="M13" s="1129"/>
      <c r="N13" s="1127">
        <f>G13+H14+I14+L14</f>
        <v>12628</v>
      </c>
      <c r="O13" s="1127">
        <v>1</v>
      </c>
      <c r="P13" s="1127"/>
      <c r="Q13" s="1129"/>
      <c r="R13" s="1129"/>
      <c r="S13" s="1129"/>
      <c r="T13" s="1129">
        <v>29</v>
      </c>
      <c r="U13" s="1130">
        <v>0.3</v>
      </c>
      <c r="V13" s="1127">
        <f>N13*U13</f>
        <v>3788.3999999999996</v>
      </c>
      <c r="W13" s="1127"/>
      <c r="X13" s="1127">
        <f>(N13+V13)*O13</f>
        <v>16416.400000000001</v>
      </c>
      <c r="Y13" s="1127"/>
      <c r="Z13" s="1127">
        <f>(P13+X13)*Q13</f>
        <v>0</v>
      </c>
      <c r="AA13" s="1153"/>
      <c r="AB13" s="1153">
        <f>(R13+Z13)*S13</f>
        <v>0</v>
      </c>
      <c r="AC13" s="1127">
        <f>6700*O13</f>
        <v>6700</v>
      </c>
      <c r="AD13" s="1127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</row>
    <row r="14" spans="1:45" s="191" customFormat="1" ht="23.85" hidden="1" customHeight="1">
      <c r="A14" s="1129"/>
      <c r="B14" s="1129"/>
      <c r="C14" s="1128"/>
      <c r="D14" s="1129"/>
      <c r="E14" s="1129"/>
      <c r="F14" s="1129"/>
      <c r="G14" s="1127"/>
      <c r="H14" s="300">
        <f>G13*H13</f>
        <v>1804</v>
      </c>
      <c r="I14" s="303">
        <f>(G13+H14)*I13</f>
        <v>3608</v>
      </c>
      <c r="J14" s="1129"/>
      <c r="K14" s="1129"/>
      <c r="L14" s="1129"/>
      <c r="M14" s="1129"/>
      <c r="N14" s="1127"/>
      <c r="O14" s="1127"/>
      <c r="P14" s="1127"/>
      <c r="Q14" s="1129"/>
      <c r="R14" s="1129"/>
      <c r="S14" s="1129"/>
      <c r="T14" s="1129"/>
      <c r="U14" s="1130"/>
      <c r="V14" s="1127"/>
      <c r="W14" s="1127"/>
      <c r="X14" s="1127"/>
      <c r="Y14" s="1127"/>
      <c r="Z14" s="1127"/>
      <c r="AA14" s="1153"/>
      <c r="AB14" s="1153"/>
      <c r="AC14" s="1127"/>
      <c r="AD14" s="1127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</row>
    <row r="15" spans="1:45" s="438" customFormat="1" ht="24.95" customHeight="1">
      <c r="A15" s="1134"/>
      <c r="B15" s="1134"/>
      <c r="C15" s="1139" t="s">
        <v>993</v>
      </c>
      <c r="D15" s="1134" t="s">
        <v>313</v>
      </c>
      <c r="E15" s="1134" t="s">
        <v>250</v>
      </c>
      <c r="F15" s="1134"/>
      <c r="G15" s="1112">
        <f>N13</f>
        <v>12628</v>
      </c>
      <c r="H15" s="434">
        <v>0.44900000000000001</v>
      </c>
      <c r="I15" s="1134"/>
      <c r="J15" s="1134"/>
      <c r="K15" s="435">
        <v>0.15</v>
      </c>
      <c r="L15" s="1134"/>
      <c r="M15" s="1134"/>
      <c r="N15" s="1112">
        <f>G15+H16+I15+J15+K16+L15+M15</f>
        <v>16061.955699999999</v>
      </c>
      <c r="O15" s="1112">
        <v>1</v>
      </c>
      <c r="P15" s="1134"/>
      <c r="Q15" s="1134"/>
      <c r="R15" s="1134"/>
      <c r="S15" s="1134"/>
      <c r="T15" s="1134">
        <v>33</v>
      </c>
      <c r="U15" s="1138">
        <v>0.3</v>
      </c>
      <c r="V15" s="1112">
        <f>N15*U15*O15</f>
        <v>4818.5867099999996</v>
      </c>
      <c r="W15" s="1112"/>
      <c r="X15" s="1112">
        <f>(N15+V15)*O15</f>
        <v>20880.542409999998</v>
      </c>
      <c r="Y15" s="1112"/>
      <c r="Z15" s="1112">
        <f>X15+Y15</f>
        <v>20880.542409999998</v>
      </c>
      <c r="AA15" s="1109">
        <f>20000*O15</f>
        <v>20000</v>
      </c>
      <c r="AB15" s="1109">
        <f>AA15-X15</f>
        <v>-880.5424099999982</v>
      </c>
      <c r="AC15" s="1112">
        <f>6700*O15</f>
        <v>6700</v>
      </c>
      <c r="AD15" s="1112"/>
      <c r="AE15" s="436">
        <f t="shared" ref="AE15:AE22" si="0">G15*O15</f>
        <v>12628</v>
      </c>
      <c r="AF15" s="436">
        <f t="shared" ref="AF15:AF22" si="1">G15*P15</f>
        <v>0</v>
      </c>
      <c r="AG15" s="436">
        <f t="shared" ref="AG15:AG22" si="2">N15*O15</f>
        <v>16061.955699999999</v>
      </c>
      <c r="AH15" s="436">
        <f t="shared" ref="AH15:AH22" si="3">N15*P15</f>
        <v>0</v>
      </c>
      <c r="AI15" s="436">
        <f t="shared" ref="AI15:AJ22" si="4">AG15-AE15</f>
        <v>3433.9556999999986</v>
      </c>
      <c r="AJ15" s="436">
        <f t="shared" si="4"/>
        <v>0</v>
      </c>
      <c r="AK15" s="437">
        <f t="shared" ref="AK15:AK22" si="5">V15*O15</f>
        <v>4818.5867099999996</v>
      </c>
      <c r="AL15" s="437">
        <f t="shared" ref="AL15:AL22" si="6">V15*P15</f>
        <v>0</v>
      </c>
      <c r="AM15" s="437">
        <f>W15</f>
        <v>0</v>
      </c>
      <c r="AN15" s="437">
        <f t="shared" ref="AN15:AN22" si="7">S15*O15</f>
        <v>0</v>
      </c>
      <c r="AO15" s="437">
        <f t="shared" ref="AO15:AO22" si="8">S15*P15</f>
        <v>0</v>
      </c>
      <c r="AP15" s="437">
        <f t="shared" ref="AP15:AQ44" si="9">AG15</f>
        <v>16061.955699999999</v>
      </c>
      <c r="AQ15" s="437">
        <f t="shared" si="9"/>
        <v>0</v>
      </c>
      <c r="AR15" s="436"/>
      <c r="AS15" s="437">
        <f t="shared" ref="AS15:AS78" si="10">AP15+AQ15-AR15</f>
        <v>16061.955699999999</v>
      </c>
    </row>
    <row r="16" spans="1:45" s="438" customFormat="1" ht="24.95" customHeight="1">
      <c r="A16" s="1134"/>
      <c r="B16" s="1134"/>
      <c r="C16" s="1139"/>
      <c r="D16" s="1134"/>
      <c r="E16" s="1134"/>
      <c r="F16" s="1134"/>
      <c r="G16" s="1112"/>
      <c r="H16" s="439">
        <f>2982*H15</f>
        <v>1338.9180000000001</v>
      </c>
      <c r="I16" s="1134"/>
      <c r="J16" s="1134"/>
      <c r="K16" s="439">
        <f>(G15+H16)*K15</f>
        <v>2095.0376999999999</v>
      </c>
      <c r="L16" s="1134"/>
      <c r="M16" s="1134"/>
      <c r="N16" s="1112"/>
      <c r="O16" s="1165"/>
      <c r="P16" s="1134"/>
      <c r="Q16" s="1134"/>
      <c r="R16" s="1134"/>
      <c r="S16" s="1134"/>
      <c r="T16" s="1134"/>
      <c r="U16" s="1138"/>
      <c r="V16" s="1112"/>
      <c r="W16" s="1112"/>
      <c r="X16" s="1112"/>
      <c r="Y16" s="1112"/>
      <c r="Z16" s="1112"/>
      <c r="AA16" s="1109"/>
      <c r="AB16" s="1109"/>
      <c r="AC16" s="1112"/>
      <c r="AD16" s="1112"/>
      <c r="AE16" s="436">
        <f t="shared" si="0"/>
        <v>0</v>
      </c>
      <c r="AF16" s="436">
        <f t="shared" si="1"/>
        <v>0</v>
      </c>
      <c r="AG16" s="436">
        <f t="shared" si="2"/>
        <v>0</v>
      </c>
      <c r="AH16" s="436">
        <f t="shared" si="3"/>
        <v>0</v>
      </c>
      <c r="AI16" s="436">
        <f t="shared" si="4"/>
        <v>0</v>
      </c>
      <c r="AJ16" s="436">
        <f t="shared" si="4"/>
        <v>0</v>
      </c>
      <c r="AK16" s="437">
        <f t="shared" si="5"/>
        <v>0</v>
      </c>
      <c r="AL16" s="437">
        <f t="shared" si="6"/>
        <v>0</v>
      </c>
      <c r="AM16" s="437">
        <f t="shared" ref="AM16:AM22" si="11">W16</f>
        <v>0</v>
      </c>
      <c r="AN16" s="437">
        <f t="shared" si="7"/>
        <v>0</v>
      </c>
      <c r="AO16" s="437">
        <f t="shared" si="8"/>
        <v>0</v>
      </c>
      <c r="AP16" s="437">
        <f t="shared" si="9"/>
        <v>0</v>
      </c>
      <c r="AQ16" s="437">
        <f t="shared" si="9"/>
        <v>0</v>
      </c>
      <c r="AR16" s="436"/>
      <c r="AS16" s="437">
        <f t="shared" si="10"/>
        <v>0</v>
      </c>
    </row>
    <row r="17" spans="1:51" s="438" customFormat="1" ht="24.95" customHeight="1">
      <c r="A17" s="1134"/>
      <c r="B17" s="1134"/>
      <c r="C17" s="1139" t="s">
        <v>994</v>
      </c>
      <c r="D17" s="1134" t="s">
        <v>313</v>
      </c>
      <c r="E17" s="1134" t="s">
        <v>317</v>
      </c>
      <c r="F17" s="1134">
        <v>15</v>
      </c>
      <c r="G17" s="1112">
        <f>(G15*90%)</f>
        <v>11365.2</v>
      </c>
      <c r="H17" s="434">
        <v>0.44900000000000001</v>
      </c>
      <c r="I17" s="1134"/>
      <c r="J17" s="1134"/>
      <c r="K17" s="435">
        <v>0.15</v>
      </c>
      <c r="L17" s="1134"/>
      <c r="M17" s="1134"/>
      <c r="N17" s="1112">
        <f>G17+H18+I17+J17+K18+L17+M17+0.01</f>
        <v>14609.745700000001</v>
      </c>
      <c r="O17" s="1112">
        <v>1</v>
      </c>
      <c r="P17" s="1134"/>
      <c r="Q17" s="1134"/>
      <c r="R17" s="1134"/>
      <c r="S17" s="1134"/>
      <c r="T17" s="1134">
        <v>18</v>
      </c>
      <c r="U17" s="1138">
        <v>0.2</v>
      </c>
      <c r="V17" s="1112">
        <f>N17*U17*O17</f>
        <v>2921.9491400000006</v>
      </c>
      <c r="W17" s="1112"/>
      <c r="X17" s="1112">
        <f>(N17+V17)*O17</f>
        <v>17531.694840000004</v>
      </c>
      <c r="Y17" s="1112">
        <f>AB17</f>
        <v>2468.3051599999962</v>
      </c>
      <c r="Z17" s="1112">
        <f>X17+Y17</f>
        <v>20000</v>
      </c>
      <c r="AA17" s="1109">
        <f>20000*O17</f>
        <v>20000</v>
      </c>
      <c r="AB17" s="1109">
        <f>AA17-X17</f>
        <v>2468.3051599999962</v>
      </c>
      <c r="AC17" s="1112">
        <f>6700*O17</f>
        <v>6700</v>
      </c>
      <c r="AD17" s="1112"/>
      <c r="AE17" s="436">
        <f t="shared" si="0"/>
        <v>11365.2</v>
      </c>
      <c r="AF17" s="436">
        <f t="shared" si="1"/>
        <v>0</v>
      </c>
      <c r="AG17" s="436">
        <f t="shared" si="2"/>
        <v>14609.745700000001</v>
      </c>
      <c r="AH17" s="436">
        <f t="shared" si="3"/>
        <v>0</v>
      </c>
      <c r="AI17" s="436">
        <f t="shared" si="4"/>
        <v>3244.5457000000006</v>
      </c>
      <c r="AJ17" s="436">
        <f t="shared" si="4"/>
        <v>0</v>
      </c>
      <c r="AK17" s="437">
        <f t="shared" si="5"/>
        <v>2921.9491400000006</v>
      </c>
      <c r="AL17" s="437">
        <f t="shared" si="6"/>
        <v>0</v>
      </c>
      <c r="AM17" s="437">
        <f t="shared" si="11"/>
        <v>0</v>
      </c>
      <c r="AN17" s="437">
        <f t="shared" si="7"/>
        <v>0</v>
      </c>
      <c r="AO17" s="437">
        <f t="shared" si="8"/>
        <v>0</v>
      </c>
      <c r="AP17" s="437">
        <f t="shared" si="9"/>
        <v>14609.745700000001</v>
      </c>
      <c r="AQ17" s="437">
        <f t="shared" si="9"/>
        <v>0</v>
      </c>
      <c r="AR17" s="436"/>
      <c r="AS17" s="437">
        <f t="shared" si="10"/>
        <v>14609.745700000001</v>
      </c>
      <c r="AY17" s="440"/>
    </row>
    <row r="18" spans="1:51" s="438" customFormat="1" ht="24.95" customHeight="1">
      <c r="A18" s="1134"/>
      <c r="B18" s="1134"/>
      <c r="C18" s="1139"/>
      <c r="D18" s="1134"/>
      <c r="E18" s="1134"/>
      <c r="F18" s="1134"/>
      <c r="G18" s="1112"/>
      <c r="H18" s="439">
        <f>2982*H17</f>
        <v>1338.9180000000001</v>
      </c>
      <c r="I18" s="1134"/>
      <c r="J18" s="1134"/>
      <c r="K18" s="439">
        <f>(G17+H18)*K17</f>
        <v>1905.6177</v>
      </c>
      <c r="L18" s="1134"/>
      <c r="M18" s="1134"/>
      <c r="N18" s="1112"/>
      <c r="O18" s="1165"/>
      <c r="P18" s="1134"/>
      <c r="Q18" s="1134"/>
      <c r="R18" s="1134"/>
      <c r="S18" s="1134"/>
      <c r="T18" s="1134"/>
      <c r="U18" s="1138"/>
      <c r="V18" s="1112"/>
      <c r="W18" s="1112"/>
      <c r="X18" s="1112"/>
      <c r="Y18" s="1112"/>
      <c r="Z18" s="1112"/>
      <c r="AA18" s="1109"/>
      <c r="AB18" s="1109"/>
      <c r="AC18" s="1112"/>
      <c r="AD18" s="1112"/>
      <c r="AE18" s="436">
        <f t="shared" si="0"/>
        <v>0</v>
      </c>
      <c r="AF18" s="436">
        <f t="shared" si="1"/>
        <v>0</v>
      </c>
      <c r="AG18" s="436">
        <f t="shared" si="2"/>
        <v>0</v>
      </c>
      <c r="AH18" s="436">
        <f t="shared" si="3"/>
        <v>0</v>
      </c>
      <c r="AI18" s="436">
        <f t="shared" si="4"/>
        <v>0</v>
      </c>
      <c r="AJ18" s="436">
        <f t="shared" si="4"/>
        <v>0</v>
      </c>
      <c r="AK18" s="437">
        <f t="shared" si="5"/>
        <v>0</v>
      </c>
      <c r="AL18" s="437">
        <f t="shared" si="6"/>
        <v>0</v>
      </c>
      <c r="AM18" s="437">
        <f t="shared" si="11"/>
        <v>0</v>
      </c>
      <c r="AN18" s="437">
        <f t="shared" si="7"/>
        <v>0</v>
      </c>
      <c r="AO18" s="437">
        <f t="shared" si="8"/>
        <v>0</v>
      </c>
      <c r="AP18" s="437">
        <f t="shared" si="9"/>
        <v>0</v>
      </c>
      <c r="AQ18" s="437">
        <f t="shared" si="9"/>
        <v>0</v>
      </c>
      <c r="AR18" s="436"/>
      <c r="AS18" s="437">
        <f t="shared" si="10"/>
        <v>0</v>
      </c>
      <c r="AY18" s="440"/>
    </row>
    <row r="19" spans="1:51" s="438" customFormat="1" ht="24.95" customHeight="1">
      <c r="A19" s="1134"/>
      <c r="B19" s="1134"/>
      <c r="C19" s="1139" t="s">
        <v>995</v>
      </c>
      <c r="D19" s="1134" t="s">
        <v>327</v>
      </c>
      <c r="E19" s="1134" t="s">
        <v>328</v>
      </c>
      <c r="F19" s="1134"/>
      <c r="G19" s="1112">
        <f>(G17*85%)</f>
        <v>9660.42</v>
      </c>
      <c r="H19" s="434">
        <v>0.44900000000000001</v>
      </c>
      <c r="I19" s="1134"/>
      <c r="J19" s="1134"/>
      <c r="K19" s="435">
        <v>0.15</v>
      </c>
      <c r="L19" s="1134"/>
      <c r="M19" s="1134"/>
      <c r="N19" s="1112">
        <f>G19+H20+I19+J19+K20+L19+M19-0.01</f>
        <v>12649.2287</v>
      </c>
      <c r="O19" s="1112">
        <v>1</v>
      </c>
      <c r="P19" s="1134"/>
      <c r="Q19" s="1134"/>
      <c r="R19" s="1134"/>
      <c r="S19" s="1134"/>
      <c r="T19" s="1166">
        <v>23</v>
      </c>
      <c r="U19" s="1138">
        <v>0.3</v>
      </c>
      <c r="V19" s="1112">
        <f>N19*U19</f>
        <v>3794.7686099999996</v>
      </c>
      <c r="W19" s="1112"/>
      <c r="X19" s="1112">
        <f>(N19+V19)*O19</f>
        <v>16443.997309999999</v>
      </c>
      <c r="Y19" s="1112">
        <f>AB19</f>
        <v>3556.0026900000012</v>
      </c>
      <c r="Z19" s="1112">
        <f>X19+Y19</f>
        <v>20000</v>
      </c>
      <c r="AA19" s="1109">
        <f>20000*O19</f>
        <v>20000</v>
      </c>
      <c r="AB19" s="1109">
        <f>AA19-X19</f>
        <v>3556.0026900000012</v>
      </c>
      <c r="AC19" s="1112">
        <f>6700*O19</f>
        <v>6700</v>
      </c>
      <c r="AD19" s="1112"/>
      <c r="AE19" s="436">
        <f>G19*O19</f>
        <v>9660.42</v>
      </c>
      <c r="AF19" s="436">
        <f>G19*P19</f>
        <v>0</v>
      </c>
      <c r="AG19" s="436">
        <f>N19*O19</f>
        <v>12649.2287</v>
      </c>
      <c r="AH19" s="436">
        <f>N19*P19</f>
        <v>0</v>
      </c>
      <c r="AI19" s="436">
        <f>AG19-AE19</f>
        <v>2988.8086999999996</v>
      </c>
      <c r="AJ19" s="436">
        <f>AH19-AF19</f>
        <v>0</v>
      </c>
      <c r="AK19" s="437">
        <f>V19*O19</f>
        <v>3794.7686099999996</v>
      </c>
      <c r="AL19" s="437">
        <f>V19*P19</f>
        <v>0</v>
      </c>
      <c r="AM19" s="437">
        <f>W19</f>
        <v>0</v>
      </c>
      <c r="AN19" s="437">
        <f>S19*O19</f>
        <v>0</v>
      </c>
      <c r="AO19" s="437">
        <f>S19*P19</f>
        <v>0</v>
      </c>
      <c r="AP19" s="437">
        <f>AG19</f>
        <v>12649.2287</v>
      </c>
      <c r="AQ19" s="437">
        <f>AH19</f>
        <v>0</v>
      </c>
      <c r="AR19" s="436"/>
      <c r="AS19" s="437">
        <f>AP19+AQ19-AR19</f>
        <v>12649.2287</v>
      </c>
    </row>
    <row r="20" spans="1:51" s="438" customFormat="1" ht="24.95" customHeight="1">
      <c r="A20" s="1134"/>
      <c r="B20" s="1134"/>
      <c r="C20" s="1139"/>
      <c r="D20" s="1134"/>
      <c r="E20" s="1134"/>
      <c r="F20" s="1134"/>
      <c r="G20" s="1112"/>
      <c r="H20" s="439">
        <f>2982*H19</f>
        <v>1338.9180000000001</v>
      </c>
      <c r="I20" s="1134"/>
      <c r="J20" s="1134"/>
      <c r="K20" s="439">
        <f>(G19+H20)*K19</f>
        <v>1649.9006999999999</v>
      </c>
      <c r="L20" s="1134"/>
      <c r="M20" s="1134"/>
      <c r="N20" s="1112"/>
      <c r="O20" s="1134"/>
      <c r="P20" s="1134"/>
      <c r="Q20" s="1134"/>
      <c r="R20" s="1134"/>
      <c r="S20" s="1134"/>
      <c r="T20" s="1166"/>
      <c r="U20" s="1138"/>
      <c r="V20" s="1112"/>
      <c r="W20" s="1112"/>
      <c r="X20" s="1112"/>
      <c r="Y20" s="1112"/>
      <c r="Z20" s="1112"/>
      <c r="AA20" s="1109"/>
      <c r="AB20" s="1109"/>
      <c r="AC20" s="1112"/>
      <c r="AD20" s="1112"/>
      <c r="AE20" s="436">
        <f>G20*O20</f>
        <v>0</v>
      </c>
      <c r="AF20" s="436">
        <f>G20*P20</f>
        <v>0</v>
      </c>
      <c r="AG20" s="436">
        <f>N20*O20</f>
        <v>0</v>
      </c>
      <c r="AH20" s="436">
        <f>N20*P20</f>
        <v>0</v>
      </c>
      <c r="AI20" s="436">
        <f>AG20-AE20</f>
        <v>0</v>
      </c>
      <c r="AJ20" s="436">
        <f>AH20-AF20</f>
        <v>0</v>
      </c>
      <c r="AK20" s="437">
        <f>V20*O20</f>
        <v>0</v>
      </c>
      <c r="AL20" s="437">
        <f>V20*P20</f>
        <v>0</v>
      </c>
      <c r="AM20" s="437">
        <f>W20</f>
        <v>0</v>
      </c>
      <c r="AN20" s="437">
        <f>S20*O20</f>
        <v>0</v>
      </c>
      <c r="AO20" s="437">
        <f>S20*P20</f>
        <v>0</v>
      </c>
      <c r="AP20" s="437">
        <f>AG20</f>
        <v>0</v>
      </c>
      <c r="AQ20" s="437">
        <f>AH20</f>
        <v>0</v>
      </c>
      <c r="AR20" s="436"/>
      <c r="AS20" s="437">
        <f>AP20+AQ20-AR20</f>
        <v>0</v>
      </c>
    </row>
    <row r="21" spans="1:51" s="438" customFormat="1" ht="24.95" customHeight="1">
      <c r="A21" s="1134"/>
      <c r="B21" s="1134"/>
      <c r="C21" s="1139" t="s">
        <v>996</v>
      </c>
      <c r="D21" s="1134" t="s">
        <v>314</v>
      </c>
      <c r="E21" s="1134" t="s">
        <v>1288</v>
      </c>
      <c r="F21" s="1134"/>
      <c r="G21" s="1112">
        <f>(G15*95%)</f>
        <v>11996.599999999999</v>
      </c>
      <c r="H21" s="1134"/>
      <c r="I21" s="1134"/>
      <c r="J21" s="1134"/>
      <c r="K21" s="435">
        <v>0.15</v>
      </c>
      <c r="L21" s="1134"/>
      <c r="M21" s="1134"/>
      <c r="N21" s="1112">
        <f>G21+H22+I21+J21+K22+L21+M21</f>
        <v>13796.089999999998</v>
      </c>
      <c r="O21" s="1112">
        <v>1</v>
      </c>
      <c r="P21" s="1134"/>
      <c r="Q21" s="1134"/>
      <c r="R21" s="1134"/>
      <c r="S21" s="1134"/>
      <c r="T21" s="1134"/>
      <c r="U21" s="1134"/>
      <c r="V21" s="1134"/>
      <c r="W21" s="1112"/>
      <c r="X21" s="1112">
        <f>(N21+V21)*O21</f>
        <v>13796.089999999998</v>
      </c>
      <c r="Y21" s="1112"/>
      <c r="Z21" s="1112">
        <f>X21+Y21</f>
        <v>13796.089999999998</v>
      </c>
      <c r="AA21" s="1109">
        <f>20000*O21</f>
        <v>20000</v>
      </c>
      <c r="AB21" s="1109">
        <f>AA21-X21</f>
        <v>6203.9100000000017</v>
      </c>
      <c r="AC21" s="1112">
        <f>6700*O21</f>
        <v>6700</v>
      </c>
      <c r="AD21" s="1112"/>
      <c r="AE21" s="436">
        <f t="shared" si="0"/>
        <v>11996.599999999999</v>
      </c>
      <c r="AF21" s="436">
        <f t="shared" si="1"/>
        <v>0</v>
      </c>
      <c r="AG21" s="436">
        <f t="shared" si="2"/>
        <v>13796.089999999998</v>
      </c>
      <c r="AH21" s="436">
        <f t="shared" si="3"/>
        <v>0</v>
      </c>
      <c r="AI21" s="436">
        <f t="shared" si="4"/>
        <v>1799.4899999999998</v>
      </c>
      <c r="AJ21" s="436">
        <f t="shared" si="4"/>
        <v>0</v>
      </c>
      <c r="AK21" s="437">
        <f t="shared" si="5"/>
        <v>0</v>
      </c>
      <c r="AL21" s="437">
        <f t="shared" si="6"/>
        <v>0</v>
      </c>
      <c r="AM21" s="437">
        <f t="shared" si="11"/>
        <v>0</v>
      </c>
      <c r="AN21" s="437">
        <f t="shared" si="7"/>
        <v>0</v>
      </c>
      <c r="AO21" s="437">
        <f t="shared" si="8"/>
        <v>0</v>
      </c>
      <c r="AP21" s="437">
        <f t="shared" si="9"/>
        <v>13796.089999999998</v>
      </c>
      <c r="AQ21" s="437">
        <f t="shared" si="9"/>
        <v>0</v>
      </c>
      <c r="AR21" s="436"/>
      <c r="AS21" s="437">
        <f t="shared" si="10"/>
        <v>13796.089999999998</v>
      </c>
    </row>
    <row r="22" spans="1:51" s="438" customFormat="1" ht="24.95" customHeight="1">
      <c r="A22" s="1134"/>
      <c r="B22" s="1134"/>
      <c r="C22" s="1139"/>
      <c r="D22" s="1134"/>
      <c r="E22" s="1134"/>
      <c r="F22" s="1134"/>
      <c r="G22" s="1112"/>
      <c r="H22" s="1134"/>
      <c r="I22" s="1134"/>
      <c r="J22" s="1134"/>
      <c r="K22" s="439">
        <f>G21*K21</f>
        <v>1799.4899999999998</v>
      </c>
      <c r="L22" s="1134"/>
      <c r="M22" s="1134"/>
      <c r="N22" s="1112"/>
      <c r="O22" s="1134"/>
      <c r="P22" s="1134"/>
      <c r="Q22" s="1134"/>
      <c r="R22" s="1134"/>
      <c r="S22" s="1134"/>
      <c r="T22" s="1134"/>
      <c r="U22" s="1134"/>
      <c r="V22" s="1134"/>
      <c r="W22" s="1112"/>
      <c r="X22" s="1112"/>
      <c r="Y22" s="1112"/>
      <c r="Z22" s="1112"/>
      <c r="AA22" s="1109"/>
      <c r="AB22" s="1109"/>
      <c r="AC22" s="1112"/>
      <c r="AD22" s="1112"/>
      <c r="AE22" s="436">
        <f t="shared" si="0"/>
        <v>0</v>
      </c>
      <c r="AF22" s="436">
        <f t="shared" si="1"/>
        <v>0</v>
      </c>
      <c r="AG22" s="436">
        <f t="shared" si="2"/>
        <v>0</v>
      </c>
      <c r="AH22" s="436">
        <f t="shared" si="3"/>
        <v>0</v>
      </c>
      <c r="AI22" s="436">
        <f t="shared" si="4"/>
        <v>0</v>
      </c>
      <c r="AJ22" s="436">
        <f t="shared" si="4"/>
        <v>0</v>
      </c>
      <c r="AK22" s="437">
        <f t="shared" si="5"/>
        <v>0</v>
      </c>
      <c r="AL22" s="437">
        <f t="shared" si="6"/>
        <v>0</v>
      </c>
      <c r="AM22" s="437">
        <f t="shared" si="11"/>
        <v>0</v>
      </c>
      <c r="AN22" s="437">
        <f t="shared" si="7"/>
        <v>0</v>
      </c>
      <c r="AO22" s="437">
        <f t="shared" si="8"/>
        <v>0</v>
      </c>
      <c r="AP22" s="437">
        <f t="shared" si="9"/>
        <v>0</v>
      </c>
      <c r="AQ22" s="437">
        <f t="shared" si="9"/>
        <v>0</v>
      </c>
      <c r="AR22" s="436"/>
      <c r="AS22" s="437">
        <f t="shared" si="10"/>
        <v>0</v>
      </c>
    </row>
    <row r="23" spans="1:51" s="446" customFormat="1" ht="24.95" customHeight="1">
      <c r="A23" s="441"/>
      <c r="B23" s="441"/>
      <c r="C23" s="442" t="s">
        <v>318</v>
      </c>
      <c r="D23" s="443"/>
      <c r="E23" s="441"/>
      <c r="F23" s="441"/>
      <c r="G23" s="444">
        <f>SUM(G15:G22)</f>
        <v>45650.22</v>
      </c>
      <c r="H23" s="444">
        <f t="shared" ref="H23:X23" si="12">SUM(H15:H22)</f>
        <v>4018.1010000000006</v>
      </c>
      <c r="I23" s="445">
        <f>I14</f>
        <v>3608</v>
      </c>
      <c r="J23" s="444"/>
      <c r="K23" s="444">
        <f t="shared" si="12"/>
        <v>7450.646099999999</v>
      </c>
      <c r="L23" s="444">
        <f t="shared" si="12"/>
        <v>0</v>
      </c>
      <c r="M23" s="444">
        <f t="shared" si="12"/>
        <v>0</v>
      </c>
      <c r="N23" s="444">
        <f t="shared" si="12"/>
        <v>57117.020099999994</v>
      </c>
      <c r="O23" s="444">
        <f>SUM(O15:O22)</f>
        <v>4</v>
      </c>
      <c r="P23" s="444">
        <f t="shared" si="12"/>
        <v>0</v>
      </c>
      <c r="Q23" s="444">
        <f t="shared" si="12"/>
        <v>0</v>
      </c>
      <c r="R23" s="444">
        <f t="shared" si="12"/>
        <v>0</v>
      </c>
      <c r="S23" s="444">
        <f t="shared" si="12"/>
        <v>0</v>
      </c>
      <c r="T23" s="444"/>
      <c r="U23" s="444"/>
      <c r="V23" s="444">
        <f t="shared" si="12"/>
        <v>11535.304459999999</v>
      </c>
      <c r="W23" s="444">
        <f t="shared" si="12"/>
        <v>0</v>
      </c>
      <c r="X23" s="444">
        <f t="shared" si="12"/>
        <v>68652.324560000008</v>
      </c>
      <c r="Y23" s="444">
        <f>SUM(Y15:Y22)</f>
        <v>6024.3078499999974</v>
      </c>
      <c r="Z23" s="444">
        <f>SUM(Z15:Z22)</f>
        <v>74676.632409999991</v>
      </c>
      <c r="AA23" s="499">
        <f>SUM(AA15:AA22)</f>
        <v>80000</v>
      </c>
      <c r="AB23" s="499">
        <f>SUM(AB15:AB22)</f>
        <v>11347.675440000001</v>
      </c>
      <c r="AC23" s="444">
        <f>SUM(AC15:AC18)</f>
        <v>13400</v>
      </c>
      <c r="AD23" s="444">
        <f>SUM(AD15:AD18)</f>
        <v>0</v>
      </c>
      <c r="AE23" s="436"/>
      <c r="AF23" s="436"/>
      <c r="AG23" s="436"/>
      <c r="AH23" s="436"/>
      <c r="AI23" s="436"/>
      <c r="AJ23" s="436"/>
      <c r="AK23" s="437"/>
      <c r="AL23" s="437"/>
      <c r="AM23" s="437"/>
      <c r="AN23" s="437"/>
      <c r="AO23" s="437"/>
      <c r="AP23" s="437">
        <f t="shared" si="9"/>
        <v>0</v>
      </c>
      <c r="AQ23" s="437">
        <f t="shared" si="9"/>
        <v>0</v>
      </c>
      <c r="AR23" s="436"/>
      <c r="AS23" s="437">
        <f t="shared" si="10"/>
        <v>0</v>
      </c>
    </row>
    <row r="24" spans="1:51" s="446" customFormat="1" ht="24.95" customHeight="1">
      <c r="A24" s="441"/>
      <c r="B24" s="441"/>
      <c r="C24" s="1146" t="s">
        <v>319</v>
      </c>
      <c r="D24" s="1146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500"/>
      <c r="AB24" s="500"/>
      <c r="AC24" s="447"/>
      <c r="AD24" s="447"/>
      <c r="AE24" s="436">
        <f t="shared" ref="AE24:AE66" si="13">G24*O24</f>
        <v>0</v>
      </c>
      <c r="AF24" s="436">
        <f t="shared" ref="AF24:AF66" si="14">G24*P24</f>
        <v>0</v>
      </c>
      <c r="AG24" s="436">
        <f t="shared" ref="AG24:AG66" si="15">N24*O24</f>
        <v>0</v>
      </c>
      <c r="AH24" s="436">
        <f t="shared" ref="AH24:AH66" si="16">N24*P24</f>
        <v>0</v>
      </c>
      <c r="AI24" s="436">
        <f t="shared" ref="AI24:AJ66" si="17">AG24-AE24</f>
        <v>0</v>
      </c>
      <c r="AJ24" s="436">
        <f t="shared" si="17"/>
        <v>0</v>
      </c>
      <c r="AK24" s="437">
        <f t="shared" ref="AK24:AK66" si="18">V24*O24</f>
        <v>0</v>
      </c>
      <c r="AL24" s="437">
        <f t="shared" ref="AL24:AL66" si="19">V24*P24</f>
        <v>0</v>
      </c>
      <c r="AM24" s="437">
        <f t="shared" ref="AM24:AM66" si="20">W24</f>
        <v>0</v>
      </c>
      <c r="AN24" s="437">
        <f t="shared" ref="AN24:AN66" si="21">S24*O24</f>
        <v>0</v>
      </c>
      <c r="AO24" s="437">
        <f t="shared" ref="AO24:AO66" si="22">S24*P24</f>
        <v>0</v>
      </c>
      <c r="AP24" s="437">
        <f t="shared" si="9"/>
        <v>0</v>
      </c>
      <c r="AQ24" s="437">
        <f t="shared" si="9"/>
        <v>0</v>
      </c>
      <c r="AR24" s="436"/>
      <c r="AS24" s="437">
        <f t="shared" si="10"/>
        <v>0</v>
      </c>
    </row>
    <row r="25" spans="1:51" s="438" customFormat="1" ht="24.95" customHeight="1">
      <c r="A25" s="1134"/>
      <c r="B25" s="1134"/>
      <c r="C25" s="1139" t="s">
        <v>322</v>
      </c>
      <c r="D25" s="1134" t="s">
        <v>323</v>
      </c>
      <c r="E25" s="1134" t="s">
        <v>324</v>
      </c>
      <c r="F25" s="1134">
        <v>12</v>
      </c>
      <c r="G25" s="1112">
        <v>6322</v>
      </c>
      <c r="H25" s="1112"/>
      <c r="I25" s="435">
        <v>0.1</v>
      </c>
      <c r="J25" s="1112"/>
      <c r="K25" s="1112"/>
      <c r="L25" s="1112"/>
      <c r="M25" s="1112"/>
      <c r="N25" s="1112">
        <f>G25+I26+L26</f>
        <v>6954.2</v>
      </c>
      <c r="O25" s="1112">
        <v>0.25</v>
      </c>
      <c r="P25" s="1112"/>
      <c r="Q25" s="1112"/>
      <c r="R25" s="1112"/>
      <c r="S25" s="1112"/>
      <c r="T25" s="1145">
        <v>16</v>
      </c>
      <c r="U25" s="1138">
        <v>0.2</v>
      </c>
      <c r="V25" s="1140">
        <f>N25*U25</f>
        <v>1390.8400000000001</v>
      </c>
      <c r="W25" s="1112"/>
      <c r="X25" s="1112">
        <f>(N25+V25)*O25</f>
        <v>2086.2600000000002</v>
      </c>
      <c r="Y25" s="1112">
        <f>AB25</f>
        <v>2913.74</v>
      </c>
      <c r="Z25" s="1112">
        <f>X25+Y25</f>
        <v>5000</v>
      </c>
      <c r="AA25" s="1109">
        <f>20000*O25</f>
        <v>5000</v>
      </c>
      <c r="AB25" s="1109">
        <f>AA25-X25</f>
        <v>2913.74</v>
      </c>
      <c r="AC25" s="1112">
        <f>6700*O25</f>
        <v>1675</v>
      </c>
      <c r="AD25" s="1112">
        <f>X25-AC25</f>
        <v>411.26000000000022</v>
      </c>
      <c r="AE25" s="436">
        <f t="shared" si="13"/>
        <v>1580.5</v>
      </c>
      <c r="AF25" s="436">
        <f t="shared" si="14"/>
        <v>0</v>
      </c>
      <c r="AG25" s="436">
        <f t="shared" si="15"/>
        <v>1738.55</v>
      </c>
      <c r="AH25" s="436">
        <f t="shared" si="16"/>
        <v>0</v>
      </c>
      <c r="AI25" s="436">
        <f t="shared" si="17"/>
        <v>158.04999999999995</v>
      </c>
      <c r="AJ25" s="436">
        <f t="shared" si="17"/>
        <v>0</v>
      </c>
      <c r="AK25" s="437">
        <f t="shared" si="18"/>
        <v>347.71000000000004</v>
      </c>
      <c r="AL25" s="437">
        <f t="shared" si="19"/>
        <v>0</v>
      </c>
      <c r="AM25" s="437">
        <f t="shared" si="20"/>
        <v>0</v>
      </c>
      <c r="AN25" s="437">
        <f t="shared" si="21"/>
        <v>0</v>
      </c>
      <c r="AO25" s="437">
        <f t="shared" si="22"/>
        <v>0</v>
      </c>
      <c r="AP25" s="437">
        <f t="shared" si="9"/>
        <v>1738.55</v>
      </c>
      <c r="AQ25" s="437">
        <f t="shared" si="9"/>
        <v>0</v>
      </c>
      <c r="AR25" s="436"/>
      <c r="AS25" s="437">
        <f t="shared" si="10"/>
        <v>1738.55</v>
      </c>
    </row>
    <row r="26" spans="1:51" s="438" customFormat="1" ht="24.95" customHeight="1">
      <c r="A26" s="1134"/>
      <c r="B26" s="1134"/>
      <c r="C26" s="1139"/>
      <c r="D26" s="1134"/>
      <c r="E26" s="1134"/>
      <c r="F26" s="1134"/>
      <c r="G26" s="1112"/>
      <c r="H26" s="1112"/>
      <c r="I26" s="448">
        <f>G25*I25</f>
        <v>632.20000000000005</v>
      </c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38"/>
      <c r="V26" s="1140"/>
      <c r="W26" s="1112"/>
      <c r="X26" s="1112"/>
      <c r="Y26" s="1112"/>
      <c r="Z26" s="1112"/>
      <c r="AA26" s="1109"/>
      <c r="AB26" s="1109"/>
      <c r="AC26" s="1112"/>
      <c r="AD26" s="1112"/>
      <c r="AE26" s="436">
        <f t="shared" si="13"/>
        <v>0</v>
      </c>
      <c r="AF26" s="436">
        <f t="shared" si="14"/>
        <v>0</v>
      </c>
      <c r="AG26" s="436">
        <f t="shared" si="15"/>
        <v>0</v>
      </c>
      <c r="AH26" s="436">
        <f t="shared" si="16"/>
        <v>0</v>
      </c>
      <c r="AI26" s="436">
        <f t="shared" si="17"/>
        <v>0</v>
      </c>
      <c r="AJ26" s="436">
        <f t="shared" si="17"/>
        <v>0</v>
      </c>
      <c r="AK26" s="437">
        <f t="shared" si="18"/>
        <v>0</v>
      </c>
      <c r="AL26" s="437">
        <f t="shared" si="19"/>
        <v>0</v>
      </c>
      <c r="AM26" s="437">
        <f t="shared" si="20"/>
        <v>0</v>
      </c>
      <c r="AN26" s="437">
        <f t="shared" si="21"/>
        <v>0</v>
      </c>
      <c r="AO26" s="437">
        <f t="shared" si="22"/>
        <v>0</v>
      </c>
      <c r="AP26" s="437">
        <f t="shared" si="9"/>
        <v>0</v>
      </c>
      <c r="AQ26" s="437">
        <f t="shared" si="9"/>
        <v>0</v>
      </c>
      <c r="AR26" s="436"/>
      <c r="AS26" s="437">
        <f t="shared" si="10"/>
        <v>0</v>
      </c>
    </row>
    <row r="27" spans="1:51" s="438" customFormat="1" ht="24.95" customHeight="1">
      <c r="A27" s="1134"/>
      <c r="B27" s="1134"/>
      <c r="C27" s="1139" t="s">
        <v>322</v>
      </c>
      <c r="D27" s="1134" t="s">
        <v>323</v>
      </c>
      <c r="E27" s="1134" t="s">
        <v>324</v>
      </c>
      <c r="F27" s="1134">
        <v>12</v>
      </c>
      <c r="G27" s="1112">
        <v>6322</v>
      </c>
      <c r="H27" s="1112"/>
      <c r="I27" s="435">
        <v>0.1</v>
      </c>
      <c r="J27" s="1112"/>
      <c r="K27" s="1112"/>
      <c r="L27" s="1112"/>
      <c r="M27" s="1112"/>
      <c r="N27" s="1112">
        <f>G27+I28+L28</f>
        <v>6954.2</v>
      </c>
      <c r="O27" s="1112"/>
      <c r="P27" s="1112">
        <v>0.5</v>
      </c>
      <c r="Q27" s="1112"/>
      <c r="R27" s="1112"/>
      <c r="S27" s="1112"/>
      <c r="T27" s="1145">
        <v>16</v>
      </c>
      <c r="U27" s="1138">
        <v>0.2</v>
      </c>
      <c r="V27" s="1140">
        <f>N27*U27</f>
        <v>1390.8400000000001</v>
      </c>
      <c r="W27" s="1112"/>
      <c r="X27" s="1112">
        <f>(N27+V27)*P27</f>
        <v>4172.5200000000004</v>
      </c>
      <c r="Y27" s="1112">
        <f>AB27</f>
        <v>5827.48</v>
      </c>
      <c r="Z27" s="1112">
        <f>X27+Y27</f>
        <v>10000</v>
      </c>
      <c r="AA27" s="1109">
        <f>20000*P27</f>
        <v>10000</v>
      </c>
      <c r="AB27" s="1109">
        <f>AA27-X27</f>
        <v>5827.48</v>
      </c>
      <c r="AC27" s="1112">
        <f>6700*P27</f>
        <v>3350</v>
      </c>
      <c r="AD27" s="1112">
        <f>X27-AC27</f>
        <v>822.52000000000044</v>
      </c>
      <c r="AE27" s="436">
        <f t="shared" si="13"/>
        <v>0</v>
      </c>
      <c r="AF27" s="436">
        <f t="shared" si="14"/>
        <v>3161</v>
      </c>
      <c r="AG27" s="436">
        <f t="shared" si="15"/>
        <v>0</v>
      </c>
      <c r="AH27" s="436">
        <f t="shared" si="16"/>
        <v>3477.1</v>
      </c>
      <c r="AI27" s="436">
        <f t="shared" si="17"/>
        <v>0</v>
      </c>
      <c r="AJ27" s="436">
        <f t="shared" si="17"/>
        <v>316.09999999999991</v>
      </c>
      <c r="AK27" s="437">
        <f t="shared" si="18"/>
        <v>0</v>
      </c>
      <c r="AL27" s="437">
        <f t="shared" si="19"/>
        <v>695.42000000000007</v>
      </c>
      <c r="AM27" s="437">
        <f t="shared" si="20"/>
        <v>0</v>
      </c>
      <c r="AN27" s="437">
        <f t="shared" si="21"/>
        <v>0</v>
      </c>
      <c r="AO27" s="437">
        <f t="shared" si="22"/>
        <v>0</v>
      </c>
      <c r="AP27" s="437">
        <f t="shared" si="9"/>
        <v>0</v>
      </c>
      <c r="AQ27" s="437">
        <f t="shared" si="9"/>
        <v>3477.1</v>
      </c>
      <c r="AR27" s="436"/>
      <c r="AS27" s="437">
        <f t="shared" si="10"/>
        <v>3477.1</v>
      </c>
    </row>
    <row r="28" spans="1:51" s="438" customFormat="1" ht="24.95" customHeight="1">
      <c r="A28" s="1134"/>
      <c r="B28" s="1134"/>
      <c r="C28" s="1139"/>
      <c r="D28" s="1134"/>
      <c r="E28" s="1134"/>
      <c r="F28" s="1134"/>
      <c r="G28" s="1112"/>
      <c r="H28" s="1112"/>
      <c r="I28" s="448">
        <f>G27*I27</f>
        <v>632.20000000000005</v>
      </c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38"/>
      <c r="V28" s="1140"/>
      <c r="W28" s="1112"/>
      <c r="X28" s="1112"/>
      <c r="Y28" s="1112"/>
      <c r="Z28" s="1112"/>
      <c r="AA28" s="1109"/>
      <c r="AB28" s="1109"/>
      <c r="AC28" s="1112"/>
      <c r="AD28" s="1112"/>
      <c r="AE28" s="436">
        <f t="shared" si="13"/>
        <v>0</v>
      </c>
      <c r="AF28" s="436">
        <f t="shared" si="14"/>
        <v>0</v>
      </c>
      <c r="AG28" s="436">
        <f t="shared" si="15"/>
        <v>0</v>
      </c>
      <c r="AH28" s="436">
        <f t="shared" si="16"/>
        <v>0</v>
      </c>
      <c r="AI28" s="436">
        <f t="shared" si="17"/>
        <v>0</v>
      </c>
      <c r="AJ28" s="436">
        <f t="shared" si="17"/>
        <v>0</v>
      </c>
      <c r="AK28" s="437">
        <f t="shared" si="18"/>
        <v>0</v>
      </c>
      <c r="AL28" s="437">
        <f t="shared" si="19"/>
        <v>0</v>
      </c>
      <c r="AM28" s="437">
        <f t="shared" si="20"/>
        <v>0</v>
      </c>
      <c r="AN28" s="437">
        <f t="shared" si="21"/>
        <v>0</v>
      </c>
      <c r="AO28" s="437">
        <f t="shared" si="22"/>
        <v>0</v>
      </c>
      <c r="AP28" s="437">
        <f t="shared" si="9"/>
        <v>0</v>
      </c>
      <c r="AQ28" s="437">
        <f t="shared" si="9"/>
        <v>0</v>
      </c>
      <c r="AR28" s="436"/>
      <c r="AS28" s="437">
        <f t="shared" si="10"/>
        <v>0</v>
      </c>
    </row>
    <row r="29" spans="1:51" s="438" customFormat="1" ht="24.95" customHeight="1">
      <c r="A29" s="1134"/>
      <c r="B29" s="1134"/>
      <c r="C29" s="1139" t="s">
        <v>322</v>
      </c>
      <c r="D29" s="1134" t="s">
        <v>997</v>
      </c>
      <c r="E29" s="1134" t="s">
        <v>998</v>
      </c>
      <c r="F29" s="1134">
        <v>14</v>
      </c>
      <c r="G29" s="1112">
        <v>7216</v>
      </c>
      <c r="H29" s="1112"/>
      <c r="I29" s="435">
        <v>0.1</v>
      </c>
      <c r="J29" s="1112"/>
      <c r="K29" s="1112"/>
      <c r="L29" s="1112"/>
      <c r="M29" s="1112"/>
      <c r="N29" s="1112">
        <f>G29+I30+L30</f>
        <v>7937.6</v>
      </c>
      <c r="O29" s="1112">
        <v>1</v>
      </c>
      <c r="P29" s="1112"/>
      <c r="Q29" s="1112"/>
      <c r="R29" s="1112"/>
      <c r="S29" s="1112"/>
      <c r="T29" s="1145">
        <v>13</v>
      </c>
      <c r="U29" s="1138">
        <v>0.2</v>
      </c>
      <c r="V29" s="1112">
        <f>N29*U29</f>
        <v>1587.5200000000002</v>
      </c>
      <c r="W29" s="1112"/>
      <c r="X29" s="1112">
        <f>(N29+V29)*O29</f>
        <v>9525.1200000000008</v>
      </c>
      <c r="Y29" s="1112">
        <f>AB29</f>
        <v>10474.879999999999</v>
      </c>
      <c r="Z29" s="1112">
        <f>X29+Y29</f>
        <v>20000</v>
      </c>
      <c r="AA29" s="1109">
        <f>20000*O29</f>
        <v>20000</v>
      </c>
      <c r="AB29" s="1109">
        <f>AA29-X29</f>
        <v>10474.879999999999</v>
      </c>
      <c r="AC29" s="1112">
        <f>6700*O29</f>
        <v>6700</v>
      </c>
      <c r="AD29" s="1112">
        <f>X29-AC29</f>
        <v>2825.1200000000008</v>
      </c>
      <c r="AE29" s="436">
        <f t="shared" si="13"/>
        <v>7216</v>
      </c>
      <c r="AF29" s="436">
        <f t="shared" si="14"/>
        <v>0</v>
      </c>
      <c r="AG29" s="436">
        <f t="shared" si="15"/>
        <v>7937.6</v>
      </c>
      <c r="AH29" s="436">
        <f t="shared" si="16"/>
        <v>0</v>
      </c>
      <c r="AI29" s="436">
        <f t="shared" si="17"/>
        <v>721.60000000000036</v>
      </c>
      <c r="AJ29" s="436">
        <f t="shared" si="17"/>
        <v>0</v>
      </c>
      <c r="AK29" s="437">
        <f t="shared" si="18"/>
        <v>1587.5200000000002</v>
      </c>
      <c r="AL29" s="437">
        <f t="shared" si="19"/>
        <v>0</v>
      </c>
      <c r="AM29" s="437">
        <f t="shared" si="20"/>
        <v>0</v>
      </c>
      <c r="AN29" s="437">
        <f t="shared" si="21"/>
        <v>0</v>
      </c>
      <c r="AO29" s="437">
        <f t="shared" si="22"/>
        <v>0</v>
      </c>
      <c r="AP29" s="437">
        <f t="shared" si="9"/>
        <v>7937.6</v>
      </c>
      <c r="AQ29" s="437">
        <f t="shared" si="9"/>
        <v>0</v>
      </c>
      <c r="AR29" s="436"/>
      <c r="AS29" s="437">
        <f t="shared" si="10"/>
        <v>7937.6</v>
      </c>
    </row>
    <row r="30" spans="1:51" s="438" customFormat="1" ht="24.95" customHeight="1">
      <c r="A30" s="1134"/>
      <c r="B30" s="1134"/>
      <c r="C30" s="1139"/>
      <c r="D30" s="1134"/>
      <c r="E30" s="1134"/>
      <c r="F30" s="1134"/>
      <c r="G30" s="1112"/>
      <c r="H30" s="1112"/>
      <c r="I30" s="448">
        <f>G29*I29</f>
        <v>721.6</v>
      </c>
      <c r="J30" s="1112"/>
      <c r="K30" s="1112"/>
      <c r="L30" s="1112"/>
      <c r="M30" s="1112"/>
      <c r="N30" s="1112"/>
      <c r="O30" s="1112"/>
      <c r="P30" s="1112"/>
      <c r="Q30" s="1112"/>
      <c r="R30" s="1112"/>
      <c r="S30" s="1112"/>
      <c r="T30" s="1112"/>
      <c r="U30" s="1138"/>
      <c r="V30" s="1140"/>
      <c r="W30" s="1112"/>
      <c r="X30" s="1112"/>
      <c r="Y30" s="1112"/>
      <c r="Z30" s="1112"/>
      <c r="AA30" s="1109"/>
      <c r="AB30" s="1109"/>
      <c r="AC30" s="1112"/>
      <c r="AD30" s="1112"/>
      <c r="AE30" s="436">
        <f t="shared" si="13"/>
        <v>0</v>
      </c>
      <c r="AF30" s="436">
        <f t="shared" si="14"/>
        <v>0</v>
      </c>
      <c r="AG30" s="436">
        <f t="shared" si="15"/>
        <v>0</v>
      </c>
      <c r="AH30" s="436">
        <f t="shared" si="16"/>
        <v>0</v>
      </c>
      <c r="AI30" s="436">
        <f t="shared" si="17"/>
        <v>0</v>
      </c>
      <c r="AJ30" s="436">
        <f t="shared" si="17"/>
        <v>0</v>
      </c>
      <c r="AK30" s="437">
        <f t="shared" si="18"/>
        <v>0</v>
      </c>
      <c r="AL30" s="437">
        <f t="shared" si="19"/>
        <v>0</v>
      </c>
      <c r="AM30" s="437">
        <f t="shared" si="20"/>
        <v>0</v>
      </c>
      <c r="AN30" s="437">
        <f t="shared" si="21"/>
        <v>0</v>
      </c>
      <c r="AO30" s="437">
        <f t="shared" si="22"/>
        <v>0</v>
      </c>
      <c r="AP30" s="437">
        <f t="shared" si="9"/>
        <v>0</v>
      </c>
      <c r="AQ30" s="437">
        <f t="shared" si="9"/>
        <v>0</v>
      </c>
      <c r="AR30" s="436"/>
      <c r="AS30" s="437">
        <f t="shared" si="10"/>
        <v>0</v>
      </c>
    </row>
    <row r="31" spans="1:51" s="438" customFormat="1" ht="24.95" customHeight="1">
      <c r="A31" s="1134"/>
      <c r="B31" s="1134"/>
      <c r="C31" s="1139" t="s">
        <v>326</v>
      </c>
      <c r="D31" s="1134" t="s">
        <v>327</v>
      </c>
      <c r="E31" s="1134" t="s">
        <v>328</v>
      </c>
      <c r="F31" s="1134">
        <v>13</v>
      </c>
      <c r="G31" s="1112">
        <v>6769</v>
      </c>
      <c r="H31" s="1134"/>
      <c r="I31" s="1134"/>
      <c r="J31" s="1134"/>
      <c r="K31" s="1134"/>
      <c r="L31" s="435">
        <v>0.15</v>
      </c>
      <c r="M31" s="1138"/>
      <c r="N31" s="1112">
        <f>G31+I32+L32</f>
        <v>7784.35</v>
      </c>
      <c r="O31" s="1112"/>
      <c r="P31" s="1112">
        <v>0.25</v>
      </c>
      <c r="Q31" s="1166"/>
      <c r="R31" s="1138"/>
      <c r="S31" s="1166"/>
      <c r="T31" s="1166">
        <v>23</v>
      </c>
      <c r="U31" s="1138">
        <v>0.3</v>
      </c>
      <c r="V31" s="1112">
        <f>N31*U31</f>
        <v>2335.3049999999998</v>
      </c>
      <c r="W31" s="1112"/>
      <c r="X31" s="1112">
        <f>(N31+V31)*P31</f>
        <v>2529.9137500000002</v>
      </c>
      <c r="Y31" s="1112">
        <f>AB31</f>
        <v>2470.0862499999998</v>
      </c>
      <c r="Z31" s="1112">
        <f>X31+Y31</f>
        <v>5000</v>
      </c>
      <c r="AA31" s="1109">
        <f>20000*P31</f>
        <v>5000</v>
      </c>
      <c r="AB31" s="1109">
        <f>AA31-X31</f>
        <v>2470.0862499999998</v>
      </c>
      <c r="AC31" s="1112">
        <f>6700*P31</f>
        <v>1675</v>
      </c>
      <c r="AD31" s="1112">
        <f>X31-AC31</f>
        <v>854.91375000000016</v>
      </c>
      <c r="AE31" s="436">
        <f t="shared" si="13"/>
        <v>0</v>
      </c>
      <c r="AF31" s="436">
        <f t="shared" si="14"/>
        <v>1692.25</v>
      </c>
      <c r="AG31" s="436">
        <f t="shared" si="15"/>
        <v>0</v>
      </c>
      <c r="AH31" s="436">
        <f t="shared" si="16"/>
        <v>1946.0875000000001</v>
      </c>
      <c r="AI31" s="436">
        <f t="shared" si="17"/>
        <v>0</v>
      </c>
      <c r="AJ31" s="436">
        <f t="shared" si="17"/>
        <v>253.83750000000009</v>
      </c>
      <c r="AK31" s="437">
        <f t="shared" si="18"/>
        <v>0</v>
      </c>
      <c r="AL31" s="437">
        <f t="shared" si="19"/>
        <v>583.82624999999996</v>
      </c>
      <c r="AM31" s="437">
        <f t="shared" si="20"/>
        <v>0</v>
      </c>
      <c r="AN31" s="437">
        <f t="shared" si="21"/>
        <v>0</v>
      </c>
      <c r="AO31" s="437">
        <f t="shared" si="22"/>
        <v>0</v>
      </c>
      <c r="AP31" s="437">
        <f t="shared" si="9"/>
        <v>0</v>
      </c>
      <c r="AQ31" s="437">
        <f t="shared" si="9"/>
        <v>1946.0875000000001</v>
      </c>
      <c r="AR31" s="436"/>
      <c r="AS31" s="437">
        <f t="shared" si="10"/>
        <v>1946.0875000000001</v>
      </c>
    </row>
    <row r="32" spans="1:51" s="438" customFormat="1" ht="24.95" customHeight="1">
      <c r="A32" s="1134"/>
      <c r="B32" s="1134"/>
      <c r="C32" s="1139"/>
      <c r="D32" s="1134"/>
      <c r="E32" s="1134"/>
      <c r="F32" s="1134"/>
      <c r="G32" s="1112"/>
      <c r="H32" s="1134"/>
      <c r="I32" s="1134"/>
      <c r="J32" s="1134"/>
      <c r="K32" s="1134"/>
      <c r="L32" s="449">
        <f>G31*L31</f>
        <v>1015.3499999999999</v>
      </c>
      <c r="M32" s="1134"/>
      <c r="N32" s="1112"/>
      <c r="O32" s="1112"/>
      <c r="P32" s="1112"/>
      <c r="Q32" s="1166"/>
      <c r="R32" s="1134"/>
      <c r="S32" s="1166"/>
      <c r="T32" s="1166"/>
      <c r="U32" s="1138"/>
      <c r="V32" s="1112"/>
      <c r="W32" s="1112"/>
      <c r="X32" s="1112"/>
      <c r="Y32" s="1112"/>
      <c r="Z32" s="1112"/>
      <c r="AA32" s="1109"/>
      <c r="AB32" s="1109"/>
      <c r="AC32" s="1112"/>
      <c r="AD32" s="1112"/>
      <c r="AE32" s="436">
        <f t="shared" si="13"/>
        <v>0</v>
      </c>
      <c r="AF32" s="436">
        <f t="shared" si="14"/>
        <v>0</v>
      </c>
      <c r="AG32" s="436">
        <f t="shared" si="15"/>
        <v>0</v>
      </c>
      <c r="AH32" s="436">
        <f t="shared" si="16"/>
        <v>0</v>
      </c>
      <c r="AI32" s="436">
        <f t="shared" si="17"/>
        <v>0</v>
      </c>
      <c r="AJ32" s="436">
        <f t="shared" si="17"/>
        <v>0</v>
      </c>
      <c r="AK32" s="437">
        <f t="shared" si="18"/>
        <v>0</v>
      </c>
      <c r="AL32" s="437">
        <f t="shared" si="19"/>
        <v>0</v>
      </c>
      <c r="AM32" s="437">
        <f t="shared" si="20"/>
        <v>0</v>
      </c>
      <c r="AN32" s="437">
        <f t="shared" si="21"/>
        <v>0</v>
      </c>
      <c r="AO32" s="437">
        <f t="shared" si="22"/>
        <v>0</v>
      </c>
      <c r="AP32" s="437">
        <f t="shared" si="9"/>
        <v>0</v>
      </c>
      <c r="AQ32" s="437">
        <f t="shared" si="9"/>
        <v>0</v>
      </c>
      <c r="AR32" s="436"/>
      <c r="AS32" s="437">
        <f t="shared" si="10"/>
        <v>0</v>
      </c>
    </row>
    <row r="33" spans="1:45" s="438" customFormat="1" ht="24.95" customHeight="1">
      <c r="A33" s="1134"/>
      <c r="B33" s="1134"/>
      <c r="C33" s="1139" t="s">
        <v>999</v>
      </c>
      <c r="D33" s="1134" t="s">
        <v>1000</v>
      </c>
      <c r="E33" s="1134" t="s">
        <v>1001</v>
      </c>
      <c r="F33" s="1134">
        <v>13</v>
      </c>
      <c r="G33" s="1112">
        <v>6769</v>
      </c>
      <c r="H33" s="1134"/>
      <c r="I33" s="1134"/>
      <c r="J33" s="1134"/>
      <c r="K33" s="1134"/>
      <c r="L33" s="435">
        <v>0.15</v>
      </c>
      <c r="M33" s="1138"/>
      <c r="N33" s="1112">
        <f>G33+I34+L34</f>
        <v>7784.35</v>
      </c>
      <c r="O33" s="1112"/>
      <c r="P33" s="1112">
        <v>0.25</v>
      </c>
      <c r="Q33" s="1166"/>
      <c r="R33" s="1138"/>
      <c r="S33" s="1166"/>
      <c r="T33" s="1166">
        <v>38</v>
      </c>
      <c r="U33" s="1138">
        <v>0.3</v>
      </c>
      <c r="V33" s="1112">
        <f>N33*U33</f>
        <v>2335.3049999999998</v>
      </c>
      <c r="W33" s="1112"/>
      <c r="X33" s="1112">
        <f>(N33+V33)*P33</f>
        <v>2529.9137500000002</v>
      </c>
      <c r="Y33" s="1112">
        <f>AB33</f>
        <v>2470.0862499999998</v>
      </c>
      <c r="Z33" s="1112">
        <f>X33+Y33</f>
        <v>5000</v>
      </c>
      <c r="AA33" s="1109">
        <f>20000*P33</f>
        <v>5000</v>
      </c>
      <c r="AB33" s="1109">
        <f>AA33-X33</f>
        <v>2470.0862499999998</v>
      </c>
      <c r="AC33" s="1112">
        <f>6700*P33</f>
        <v>1675</v>
      </c>
      <c r="AD33" s="1112">
        <f>X33-AC33</f>
        <v>854.91375000000016</v>
      </c>
      <c r="AE33" s="436">
        <f t="shared" si="13"/>
        <v>0</v>
      </c>
      <c r="AF33" s="436">
        <f t="shared" si="14"/>
        <v>1692.25</v>
      </c>
      <c r="AG33" s="436">
        <f t="shared" si="15"/>
        <v>0</v>
      </c>
      <c r="AH33" s="436">
        <f t="shared" si="16"/>
        <v>1946.0875000000001</v>
      </c>
      <c r="AI33" s="436">
        <f t="shared" si="17"/>
        <v>0</v>
      </c>
      <c r="AJ33" s="436">
        <f t="shared" si="17"/>
        <v>253.83750000000009</v>
      </c>
      <c r="AK33" s="437">
        <f t="shared" si="18"/>
        <v>0</v>
      </c>
      <c r="AL33" s="437">
        <f t="shared" si="19"/>
        <v>583.82624999999996</v>
      </c>
      <c r="AM33" s="437">
        <f t="shared" si="20"/>
        <v>0</v>
      </c>
      <c r="AN33" s="437">
        <f t="shared" si="21"/>
        <v>0</v>
      </c>
      <c r="AO33" s="437">
        <f t="shared" si="22"/>
        <v>0</v>
      </c>
      <c r="AP33" s="437">
        <f t="shared" si="9"/>
        <v>0</v>
      </c>
      <c r="AQ33" s="437">
        <f t="shared" si="9"/>
        <v>1946.0875000000001</v>
      </c>
      <c r="AR33" s="436"/>
      <c r="AS33" s="437">
        <f t="shared" si="10"/>
        <v>1946.0875000000001</v>
      </c>
    </row>
    <row r="34" spans="1:45" s="438" customFormat="1" ht="24.95" customHeight="1">
      <c r="A34" s="1134"/>
      <c r="B34" s="1134"/>
      <c r="C34" s="1139"/>
      <c r="D34" s="1134"/>
      <c r="E34" s="1134"/>
      <c r="F34" s="1134"/>
      <c r="G34" s="1112"/>
      <c r="H34" s="1134"/>
      <c r="I34" s="1134"/>
      <c r="J34" s="1134"/>
      <c r="K34" s="1134"/>
      <c r="L34" s="449">
        <f>G33*L33</f>
        <v>1015.3499999999999</v>
      </c>
      <c r="M34" s="1134"/>
      <c r="N34" s="1112"/>
      <c r="O34" s="1112"/>
      <c r="P34" s="1112"/>
      <c r="Q34" s="1166"/>
      <c r="R34" s="1134"/>
      <c r="S34" s="1166"/>
      <c r="T34" s="1166"/>
      <c r="U34" s="1138"/>
      <c r="V34" s="1112"/>
      <c r="W34" s="1112"/>
      <c r="X34" s="1112"/>
      <c r="Y34" s="1112"/>
      <c r="Z34" s="1112"/>
      <c r="AA34" s="1109"/>
      <c r="AB34" s="1109"/>
      <c r="AC34" s="1112"/>
      <c r="AD34" s="1112"/>
      <c r="AE34" s="436">
        <f t="shared" si="13"/>
        <v>0</v>
      </c>
      <c r="AF34" s="436">
        <f t="shared" si="14"/>
        <v>0</v>
      </c>
      <c r="AG34" s="436">
        <f t="shared" si="15"/>
        <v>0</v>
      </c>
      <c r="AH34" s="436">
        <f t="shared" si="16"/>
        <v>0</v>
      </c>
      <c r="AI34" s="436">
        <f t="shared" si="17"/>
        <v>0</v>
      </c>
      <c r="AJ34" s="436">
        <f t="shared" si="17"/>
        <v>0</v>
      </c>
      <c r="AK34" s="437">
        <f t="shared" si="18"/>
        <v>0</v>
      </c>
      <c r="AL34" s="437">
        <f t="shared" si="19"/>
        <v>0</v>
      </c>
      <c r="AM34" s="437">
        <f t="shared" si="20"/>
        <v>0</v>
      </c>
      <c r="AN34" s="437">
        <f t="shared" si="21"/>
        <v>0</v>
      </c>
      <c r="AO34" s="437">
        <f t="shared" si="22"/>
        <v>0</v>
      </c>
      <c r="AP34" s="437">
        <f t="shared" si="9"/>
        <v>0</v>
      </c>
      <c r="AQ34" s="437">
        <f t="shared" si="9"/>
        <v>0</v>
      </c>
      <c r="AR34" s="436"/>
      <c r="AS34" s="437">
        <f t="shared" si="10"/>
        <v>0</v>
      </c>
    </row>
    <row r="35" spans="1:45" s="438" customFormat="1" ht="24.95" customHeight="1">
      <c r="A35" s="1134"/>
      <c r="B35" s="1134"/>
      <c r="C35" s="1139" t="s">
        <v>329</v>
      </c>
      <c r="D35" s="1134" t="s">
        <v>330</v>
      </c>
      <c r="E35" s="1134" t="s">
        <v>331</v>
      </c>
      <c r="F35" s="1134">
        <v>12</v>
      </c>
      <c r="G35" s="1112">
        <v>6322</v>
      </c>
      <c r="H35" s="1112"/>
      <c r="I35" s="1112"/>
      <c r="J35" s="1112"/>
      <c r="K35" s="1112"/>
      <c r="L35" s="1112"/>
      <c r="M35" s="1112"/>
      <c r="N35" s="1112">
        <f>G35+H36</f>
        <v>6322</v>
      </c>
      <c r="O35" s="1112"/>
      <c r="P35" s="1112">
        <v>0.5</v>
      </c>
      <c r="Q35" s="1112"/>
      <c r="R35" s="1112"/>
      <c r="S35" s="1112"/>
      <c r="T35" s="1140">
        <v>23</v>
      </c>
      <c r="U35" s="1138">
        <v>0.3</v>
      </c>
      <c r="V35" s="1112">
        <f>N35*U35</f>
        <v>1896.6</v>
      </c>
      <c r="W35" s="1112"/>
      <c r="X35" s="1112">
        <f>(N35+V35)*P35</f>
        <v>4109.3</v>
      </c>
      <c r="Y35" s="1112">
        <f>AB35</f>
        <v>5890.7</v>
      </c>
      <c r="Z35" s="1112">
        <f>X35+Y35</f>
        <v>10000</v>
      </c>
      <c r="AA35" s="1109">
        <f>20000*P35</f>
        <v>10000</v>
      </c>
      <c r="AB35" s="1109">
        <f>AA35-X35</f>
        <v>5890.7</v>
      </c>
      <c r="AC35" s="1112">
        <f>6700*P35</f>
        <v>3350</v>
      </c>
      <c r="AD35" s="1112">
        <f>X35-AC35</f>
        <v>759.30000000000018</v>
      </c>
      <c r="AE35" s="436">
        <f>G35*O35</f>
        <v>0</v>
      </c>
      <c r="AF35" s="436">
        <f>G35*P35</f>
        <v>3161</v>
      </c>
      <c r="AG35" s="436">
        <f>N35*O35</f>
        <v>0</v>
      </c>
      <c r="AH35" s="436">
        <f>N35*P35</f>
        <v>3161</v>
      </c>
      <c r="AI35" s="436">
        <f>AG35-AE35</f>
        <v>0</v>
      </c>
      <c r="AJ35" s="436">
        <f>AH35-AF35</f>
        <v>0</v>
      </c>
      <c r="AK35" s="437">
        <f>V35*O35</f>
        <v>0</v>
      </c>
      <c r="AL35" s="437">
        <f>V35*P35</f>
        <v>948.3</v>
      </c>
      <c r="AM35" s="437">
        <f>W35</f>
        <v>0</v>
      </c>
      <c r="AN35" s="437">
        <f>S35*O35</f>
        <v>0</v>
      </c>
      <c r="AO35" s="437">
        <f>S35*P35</f>
        <v>0</v>
      </c>
      <c r="AP35" s="437">
        <f>AG35</f>
        <v>0</v>
      </c>
      <c r="AQ35" s="437">
        <f>AH35</f>
        <v>3161</v>
      </c>
      <c r="AR35" s="436"/>
      <c r="AS35" s="437">
        <f>AP35+AQ35-AR35</f>
        <v>3161</v>
      </c>
    </row>
    <row r="36" spans="1:45" s="438" customFormat="1" ht="24.95" customHeight="1">
      <c r="A36" s="1134"/>
      <c r="B36" s="1134"/>
      <c r="C36" s="1139"/>
      <c r="D36" s="1134"/>
      <c r="E36" s="1134"/>
      <c r="F36" s="1134"/>
      <c r="G36" s="1112"/>
      <c r="H36" s="1112"/>
      <c r="I36" s="1112"/>
      <c r="J36" s="1112"/>
      <c r="K36" s="1112"/>
      <c r="L36" s="1112"/>
      <c r="M36" s="1112"/>
      <c r="N36" s="1112"/>
      <c r="O36" s="1112"/>
      <c r="P36" s="1112"/>
      <c r="Q36" s="1112"/>
      <c r="R36" s="1112"/>
      <c r="S36" s="1112"/>
      <c r="T36" s="1140"/>
      <c r="U36" s="1138"/>
      <c r="V36" s="1112"/>
      <c r="W36" s="1112"/>
      <c r="X36" s="1112"/>
      <c r="Y36" s="1112"/>
      <c r="Z36" s="1112"/>
      <c r="AA36" s="1109"/>
      <c r="AB36" s="1109"/>
      <c r="AC36" s="1112"/>
      <c r="AD36" s="1112"/>
      <c r="AE36" s="436">
        <f>G36*O36</f>
        <v>0</v>
      </c>
      <c r="AF36" s="436">
        <f>G36*P36</f>
        <v>0</v>
      </c>
      <c r="AG36" s="436">
        <f>N36*O36</f>
        <v>0</v>
      </c>
      <c r="AH36" s="436">
        <f>N36*P36</f>
        <v>0</v>
      </c>
      <c r="AI36" s="436">
        <f>AG36-AE36</f>
        <v>0</v>
      </c>
      <c r="AJ36" s="436">
        <f>AH36-AF36</f>
        <v>0</v>
      </c>
      <c r="AK36" s="437">
        <f>V36*O36</f>
        <v>0</v>
      </c>
      <c r="AL36" s="437">
        <f>V36*P36</f>
        <v>0</v>
      </c>
      <c r="AM36" s="437">
        <f>W36</f>
        <v>0</v>
      </c>
      <c r="AN36" s="437">
        <f>S36*O36</f>
        <v>0</v>
      </c>
      <c r="AO36" s="437">
        <f>S36*P36</f>
        <v>0</v>
      </c>
      <c r="AP36" s="437">
        <f>AG36</f>
        <v>0</v>
      </c>
      <c r="AQ36" s="437">
        <f>AH36</f>
        <v>0</v>
      </c>
      <c r="AR36" s="436"/>
      <c r="AS36" s="437">
        <f>AP36+AQ36-AR36</f>
        <v>0</v>
      </c>
    </row>
    <row r="37" spans="1:45" s="438" customFormat="1" ht="24.95" customHeight="1">
      <c r="A37" s="1134"/>
      <c r="B37" s="1134"/>
      <c r="C37" s="1139" t="s">
        <v>329</v>
      </c>
      <c r="D37" s="1134"/>
      <c r="E37" s="1134" t="s">
        <v>325</v>
      </c>
      <c r="F37" s="1134">
        <v>13</v>
      </c>
      <c r="G37" s="1112">
        <v>6769</v>
      </c>
      <c r="H37" s="1112"/>
      <c r="I37" s="1112"/>
      <c r="J37" s="1112"/>
      <c r="K37" s="1112"/>
      <c r="L37" s="1112"/>
      <c r="M37" s="1112"/>
      <c r="N37" s="1112">
        <f>G37+H38</f>
        <v>6769</v>
      </c>
      <c r="O37" s="1112">
        <v>0.5</v>
      </c>
      <c r="P37" s="1112"/>
      <c r="Q37" s="1112"/>
      <c r="R37" s="1112"/>
      <c r="S37" s="1112"/>
      <c r="T37" s="1140"/>
      <c r="U37" s="1138">
        <v>0</v>
      </c>
      <c r="V37" s="1112">
        <f>N37*U37</f>
        <v>0</v>
      </c>
      <c r="W37" s="1112"/>
      <c r="X37" s="1112">
        <f>(N37+V37)*O37+W37</f>
        <v>3384.5</v>
      </c>
      <c r="Y37" s="1112">
        <f>AB37</f>
        <v>6615.5</v>
      </c>
      <c r="Z37" s="1112">
        <f>X37+Y37</f>
        <v>10000</v>
      </c>
      <c r="AA37" s="1109">
        <f>20000*O37</f>
        <v>10000</v>
      </c>
      <c r="AB37" s="1109">
        <f>AA37-X37</f>
        <v>6615.5</v>
      </c>
      <c r="AC37" s="1112">
        <f>6700*O37</f>
        <v>3350</v>
      </c>
      <c r="AD37" s="1112">
        <f>X37-AC37</f>
        <v>34.5</v>
      </c>
      <c r="AE37" s="436">
        <f t="shared" si="13"/>
        <v>3384.5</v>
      </c>
      <c r="AF37" s="436">
        <f t="shared" si="14"/>
        <v>0</v>
      </c>
      <c r="AG37" s="436">
        <f t="shared" si="15"/>
        <v>3384.5</v>
      </c>
      <c r="AH37" s="436">
        <f t="shared" si="16"/>
        <v>0</v>
      </c>
      <c r="AI37" s="436">
        <f t="shared" si="17"/>
        <v>0</v>
      </c>
      <c r="AJ37" s="436">
        <f t="shared" si="17"/>
        <v>0</v>
      </c>
      <c r="AK37" s="437">
        <f t="shared" si="18"/>
        <v>0</v>
      </c>
      <c r="AL37" s="437">
        <f t="shared" si="19"/>
        <v>0</v>
      </c>
      <c r="AM37" s="437">
        <f t="shared" si="20"/>
        <v>0</v>
      </c>
      <c r="AN37" s="437">
        <f t="shared" si="21"/>
        <v>0</v>
      </c>
      <c r="AO37" s="437">
        <f t="shared" si="22"/>
        <v>0</v>
      </c>
      <c r="AP37" s="437">
        <f t="shared" si="9"/>
        <v>3384.5</v>
      </c>
      <c r="AQ37" s="437">
        <f t="shared" si="9"/>
        <v>0</v>
      </c>
      <c r="AR37" s="436"/>
      <c r="AS37" s="437">
        <f t="shared" si="10"/>
        <v>3384.5</v>
      </c>
    </row>
    <row r="38" spans="1:45" s="438" customFormat="1" ht="24.95" customHeight="1">
      <c r="A38" s="1134"/>
      <c r="B38" s="1134"/>
      <c r="C38" s="1139"/>
      <c r="D38" s="1134"/>
      <c r="E38" s="1134"/>
      <c r="F38" s="1134"/>
      <c r="G38" s="1112"/>
      <c r="H38" s="1112"/>
      <c r="I38" s="1112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40"/>
      <c r="U38" s="1138"/>
      <c r="V38" s="1112"/>
      <c r="W38" s="1112"/>
      <c r="X38" s="1112"/>
      <c r="Y38" s="1112"/>
      <c r="Z38" s="1112"/>
      <c r="AA38" s="1109"/>
      <c r="AB38" s="1109"/>
      <c r="AC38" s="1112"/>
      <c r="AD38" s="1112"/>
      <c r="AE38" s="436">
        <f t="shared" si="13"/>
        <v>0</v>
      </c>
      <c r="AF38" s="436">
        <f t="shared" si="14"/>
        <v>0</v>
      </c>
      <c r="AG38" s="436">
        <f t="shared" si="15"/>
        <v>0</v>
      </c>
      <c r="AH38" s="436">
        <f t="shared" si="16"/>
        <v>0</v>
      </c>
      <c r="AI38" s="436">
        <f t="shared" si="17"/>
        <v>0</v>
      </c>
      <c r="AJ38" s="436">
        <f t="shared" si="17"/>
        <v>0</v>
      </c>
      <c r="AK38" s="437">
        <f t="shared" si="18"/>
        <v>0</v>
      </c>
      <c r="AL38" s="437">
        <f t="shared" si="19"/>
        <v>0</v>
      </c>
      <c r="AM38" s="437">
        <f t="shared" si="20"/>
        <v>0</v>
      </c>
      <c r="AN38" s="437">
        <f t="shared" si="21"/>
        <v>0</v>
      </c>
      <c r="AO38" s="437">
        <f t="shared" si="22"/>
        <v>0</v>
      </c>
      <c r="AP38" s="437">
        <f t="shared" si="9"/>
        <v>0</v>
      </c>
      <c r="AQ38" s="437">
        <f t="shared" si="9"/>
        <v>0</v>
      </c>
      <c r="AR38" s="436"/>
      <c r="AS38" s="437">
        <f t="shared" si="10"/>
        <v>0</v>
      </c>
    </row>
    <row r="39" spans="1:45" s="438" customFormat="1" ht="24.95" customHeight="1">
      <c r="A39" s="1134"/>
      <c r="B39" s="1134"/>
      <c r="C39" s="1139" t="s">
        <v>332</v>
      </c>
      <c r="D39" s="1134" t="s">
        <v>333</v>
      </c>
      <c r="E39" s="1134" t="s">
        <v>334</v>
      </c>
      <c r="F39" s="1134">
        <v>13</v>
      </c>
      <c r="G39" s="1112">
        <v>6769</v>
      </c>
      <c r="H39" s="1112"/>
      <c r="I39" s="1112"/>
      <c r="J39" s="1112"/>
      <c r="K39" s="1112"/>
      <c r="L39" s="435">
        <v>0.15</v>
      </c>
      <c r="M39" s="1138"/>
      <c r="N39" s="1112">
        <f>G39+I40+L40</f>
        <v>7784.35</v>
      </c>
      <c r="O39" s="1112">
        <v>1</v>
      </c>
      <c r="P39" s="1112"/>
      <c r="Q39" s="1112"/>
      <c r="R39" s="1138"/>
      <c r="S39" s="1112"/>
      <c r="T39" s="1145">
        <v>23</v>
      </c>
      <c r="U39" s="1138">
        <v>0.3</v>
      </c>
      <c r="V39" s="1112">
        <f>N39*U39</f>
        <v>2335.3049999999998</v>
      </c>
      <c r="W39" s="1112"/>
      <c r="X39" s="1112">
        <f>(N39+V39)*O39</f>
        <v>10119.655000000001</v>
      </c>
      <c r="Y39" s="1112">
        <f>AB39</f>
        <v>9880.3449999999993</v>
      </c>
      <c r="Z39" s="1112">
        <f>X39+Y39</f>
        <v>20000</v>
      </c>
      <c r="AA39" s="1109">
        <f>20000*O39</f>
        <v>20000</v>
      </c>
      <c r="AB39" s="1109">
        <f>AA39-X39</f>
        <v>9880.3449999999993</v>
      </c>
      <c r="AC39" s="1112">
        <f>6700*O39</f>
        <v>6700</v>
      </c>
      <c r="AD39" s="1112">
        <f>X39-AC39</f>
        <v>3419.6550000000007</v>
      </c>
      <c r="AE39" s="436">
        <f t="shared" si="13"/>
        <v>6769</v>
      </c>
      <c r="AF39" s="436">
        <f t="shared" si="14"/>
        <v>0</v>
      </c>
      <c r="AG39" s="436">
        <f t="shared" si="15"/>
        <v>7784.35</v>
      </c>
      <c r="AH39" s="436">
        <f t="shared" si="16"/>
        <v>0</v>
      </c>
      <c r="AI39" s="436">
        <f t="shared" si="17"/>
        <v>1015.3500000000004</v>
      </c>
      <c r="AJ39" s="436">
        <f t="shared" si="17"/>
        <v>0</v>
      </c>
      <c r="AK39" s="437">
        <f t="shared" si="18"/>
        <v>2335.3049999999998</v>
      </c>
      <c r="AL39" s="437">
        <f t="shared" si="19"/>
        <v>0</v>
      </c>
      <c r="AM39" s="437">
        <f t="shared" si="20"/>
        <v>0</v>
      </c>
      <c r="AN39" s="437">
        <f t="shared" si="21"/>
        <v>0</v>
      </c>
      <c r="AO39" s="437">
        <f t="shared" si="22"/>
        <v>0</v>
      </c>
      <c r="AP39" s="437">
        <f t="shared" si="9"/>
        <v>7784.35</v>
      </c>
      <c r="AQ39" s="437">
        <f t="shared" si="9"/>
        <v>0</v>
      </c>
      <c r="AR39" s="436"/>
      <c r="AS39" s="437">
        <f t="shared" si="10"/>
        <v>7784.35</v>
      </c>
    </row>
    <row r="40" spans="1:45" s="438" customFormat="1" ht="24.95" customHeight="1">
      <c r="A40" s="1134"/>
      <c r="B40" s="1134"/>
      <c r="C40" s="1139"/>
      <c r="D40" s="1134"/>
      <c r="E40" s="1134"/>
      <c r="F40" s="1134"/>
      <c r="G40" s="1112"/>
      <c r="H40" s="1112"/>
      <c r="I40" s="1112"/>
      <c r="J40" s="1112"/>
      <c r="K40" s="1112"/>
      <c r="L40" s="448">
        <f>G39*L39</f>
        <v>1015.3499999999999</v>
      </c>
      <c r="M40" s="1134"/>
      <c r="N40" s="1112"/>
      <c r="O40" s="1112"/>
      <c r="P40" s="1112"/>
      <c r="Q40" s="1112"/>
      <c r="R40" s="1134"/>
      <c r="S40" s="1112"/>
      <c r="T40" s="1112"/>
      <c r="U40" s="1138"/>
      <c r="V40" s="1112"/>
      <c r="W40" s="1112"/>
      <c r="X40" s="1112"/>
      <c r="Y40" s="1112"/>
      <c r="Z40" s="1112"/>
      <c r="AA40" s="1109"/>
      <c r="AB40" s="1109"/>
      <c r="AC40" s="1112"/>
      <c r="AD40" s="1112"/>
      <c r="AE40" s="436">
        <f t="shared" si="13"/>
        <v>0</v>
      </c>
      <c r="AF40" s="436">
        <f t="shared" si="14"/>
        <v>0</v>
      </c>
      <c r="AG40" s="436">
        <f t="shared" si="15"/>
        <v>0</v>
      </c>
      <c r="AH40" s="436">
        <f t="shared" si="16"/>
        <v>0</v>
      </c>
      <c r="AI40" s="436">
        <f t="shared" si="17"/>
        <v>0</v>
      </c>
      <c r="AJ40" s="436">
        <f t="shared" si="17"/>
        <v>0</v>
      </c>
      <c r="AK40" s="437">
        <f t="shared" si="18"/>
        <v>0</v>
      </c>
      <c r="AL40" s="437">
        <f t="shared" si="19"/>
        <v>0</v>
      </c>
      <c r="AM40" s="437">
        <f t="shared" si="20"/>
        <v>0</v>
      </c>
      <c r="AN40" s="437">
        <f t="shared" si="21"/>
        <v>0</v>
      </c>
      <c r="AO40" s="437">
        <f t="shared" si="22"/>
        <v>0</v>
      </c>
      <c r="AP40" s="437">
        <f t="shared" si="9"/>
        <v>0</v>
      </c>
      <c r="AQ40" s="437">
        <f t="shared" si="9"/>
        <v>0</v>
      </c>
      <c r="AR40" s="436"/>
      <c r="AS40" s="437">
        <f t="shared" si="10"/>
        <v>0</v>
      </c>
    </row>
    <row r="41" spans="1:45" s="438" customFormat="1" ht="24.95" customHeight="1">
      <c r="A41" s="1134"/>
      <c r="B41" s="1134"/>
      <c r="C41" s="1167" t="s">
        <v>335</v>
      </c>
      <c r="D41" s="1134"/>
      <c r="E41" s="1134" t="s">
        <v>325</v>
      </c>
      <c r="F41" s="1134">
        <v>11</v>
      </c>
      <c r="G41" s="1112">
        <v>5875</v>
      </c>
      <c r="H41" s="1112"/>
      <c r="I41" s="1140"/>
      <c r="J41" s="1140"/>
      <c r="K41" s="1140"/>
      <c r="L41" s="435">
        <v>0.15</v>
      </c>
      <c r="M41" s="435">
        <v>0.6</v>
      </c>
      <c r="N41" s="1112">
        <f>G41+I42+L42+M42</f>
        <v>10281.25</v>
      </c>
      <c r="O41" s="1112"/>
      <c r="P41" s="1112">
        <v>0.5</v>
      </c>
      <c r="Q41" s="1140"/>
      <c r="R41" s="1140"/>
      <c r="S41" s="1140"/>
      <c r="T41" s="1140"/>
      <c r="U41" s="1138">
        <v>0</v>
      </c>
      <c r="V41" s="1112">
        <f>N41*U41</f>
        <v>0</v>
      </c>
      <c r="W41" s="1112"/>
      <c r="X41" s="1112">
        <f>(N41+V41)*P41+W41</f>
        <v>5140.625</v>
      </c>
      <c r="Y41" s="1112">
        <f>AB41</f>
        <v>4859.375</v>
      </c>
      <c r="Z41" s="1112">
        <f>X41+Y41</f>
        <v>10000</v>
      </c>
      <c r="AA41" s="1109">
        <f>20000*P41</f>
        <v>10000</v>
      </c>
      <c r="AB41" s="1109">
        <f>AA41-X41</f>
        <v>4859.375</v>
      </c>
      <c r="AC41" s="1112">
        <f>6700*P41</f>
        <v>3350</v>
      </c>
      <c r="AD41" s="1112">
        <f>X41-AC41</f>
        <v>1790.625</v>
      </c>
      <c r="AE41" s="436">
        <f t="shared" si="13"/>
        <v>0</v>
      </c>
      <c r="AF41" s="436">
        <f t="shared" si="14"/>
        <v>2937.5</v>
      </c>
      <c r="AG41" s="436">
        <f t="shared" si="15"/>
        <v>0</v>
      </c>
      <c r="AH41" s="436">
        <f t="shared" si="16"/>
        <v>5140.625</v>
      </c>
      <c r="AI41" s="436">
        <f t="shared" si="17"/>
        <v>0</v>
      </c>
      <c r="AJ41" s="436">
        <f t="shared" si="17"/>
        <v>2203.125</v>
      </c>
      <c r="AK41" s="437">
        <f t="shared" si="18"/>
        <v>0</v>
      </c>
      <c r="AL41" s="437">
        <f t="shared" si="19"/>
        <v>0</v>
      </c>
      <c r="AM41" s="437">
        <f t="shared" si="20"/>
        <v>0</v>
      </c>
      <c r="AN41" s="437">
        <f t="shared" si="21"/>
        <v>0</v>
      </c>
      <c r="AO41" s="437">
        <f t="shared" si="22"/>
        <v>0</v>
      </c>
      <c r="AP41" s="437">
        <f t="shared" si="9"/>
        <v>0</v>
      </c>
      <c r="AQ41" s="437">
        <f t="shared" si="9"/>
        <v>5140.625</v>
      </c>
      <c r="AR41" s="436"/>
      <c r="AS41" s="437">
        <f t="shared" si="10"/>
        <v>5140.625</v>
      </c>
    </row>
    <row r="42" spans="1:45" s="438" customFormat="1" ht="24.95" customHeight="1">
      <c r="A42" s="1134"/>
      <c r="B42" s="1134"/>
      <c r="C42" s="1167"/>
      <c r="D42" s="1134"/>
      <c r="E42" s="1134"/>
      <c r="F42" s="1134"/>
      <c r="G42" s="1112"/>
      <c r="H42" s="1112"/>
      <c r="I42" s="1140"/>
      <c r="J42" s="1140"/>
      <c r="K42" s="1140"/>
      <c r="L42" s="449">
        <f>G41*L41</f>
        <v>881.25</v>
      </c>
      <c r="M42" s="449">
        <f>G41*M41</f>
        <v>3525</v>
      </c>
      <c r="N42" s="1112"/>
      <c r="O42" s="1165"/>
      <c r="P42" s="1112"/>
      <c r="Q42" s="1140"/>
      <c r="R42" s="1140"/>
      <c r="S42" s="1140"/>
      <c r="T42" s="1140"/>
      <c r="U42" s="1138"/>
      <c r="V42" s="1112"/>
      <c r="W42" s="1112"/>
      <c r="X42" s="1112"/>
      <c r="Y42" s="1112"/>
      <c r="Z42" s="1112"/>
      <c r="AA42" s="1109"/>
      <c r="AB42" s="1109"/>
      <c r="AC42" s="1112"/>
      <c r="AD42" s="1112"/>
      <c r="AE42" s="436">
        <f t="shared" si="13"/>
        <v>0</v>
      </c>
      <c r="AF42" s="436">
        <f t="shared" si="14"/>
        <v>0</v>
      </c>
      <c r="AG42" s="436">
        <f t="shared" si="15"/>
        <v>0</v>
      </c>
      <c r="AH42" s="436">
        <f t="shared" si="16"/>
        <v>0</v>
      </c>
      <c r="AI42" s="436">
        <f t="shared" si="17"/>
        <v>0</v>
      </c>
      <c r="AJ42" s="436">
        <f t="shared" si="17"/>
        <v>0</v>
      </c>
      <c r="AK42" s="437">
        <f t="shared" si="18"/>
        <v>0</v>
      </c>
      <c r="AL42" s="437">
        <f t="shared" si="19"/>
        <v>0</v>
      </c>
      <c r="AM42" s="437">
        <f t="shared" si="20"/>
        <v>0</v>
      </c>
      <c r="AN42" s="437">
        <f t="shared" si="21"/>
        <v>0</v>
      </c>
      <c r="AO42" s="437">
        <f t="shared" si="22"/>
        <v>0</v>
      </c>
      <c r="AP42" s="437">
        <f t="shared" si="9"/>
        <v>0</v>
      </c>
      <c r="AQ42" s="437">
        <f t="shared" si="9"/>
        <v>0</v>
      </c>
      <c r="AR42" s="436"/>
      <c r="AS42" s="437">
        <f t="shared" si="10"/>
        <v>0</v>
      </c>
    </row>
    <row r="43" spans="1:45" s="438" customFormat="1" ht="24.95" customHeight="1">
      <c r="A43" s="1134"/>
      <c r="B43" s="1134"/>
      <c r="C43" s="1139" t="s">
        <v>336</v>
      </c>
      <c r="D43" s="1168" t="s">
        <v>337</v>
      </c>
      <c r="E43" s="1134" t="s">
        <v>338</v>
      </c>
      <c r="F43" s="1134">
        <v>10</v>
      </c>
      <c r="G43" s="1112">
        <v>5427</v>
      </c>
      <c r="H43" s="1134"/>
      <c r="I43" s="1134"/>
      <c r="J43" s="1134"/>
      <c r="K43" s="1134"/>
      <c r="L43" s="435">
        <v>0.25</v>
      </c>
      <c r="M43" s="1138"/>
      <c r="N43" s="1112">
        <f>G43+I44+L44</f>
        <v>6783.75</v>
      </c>
      <c r="O43" s="1112"/>
      <c r="P43" s="1112">
        <f>0.5-0.25</f>
        <v>0.25</v>
      </c>
      <c r="Q43" s="1166"/>
      <c r="R43" s="1138"/>
      <c r="S43" s="1166"/>
      <c r="T43" s="1166">
        <v>27</v>
      </c>
      <c r="U43" s="1138">
        <v>0.3</v>
      </c>
      <c r="V43" s="1112">
        <f>N43*U43</f>
        <v>2035.125</v>
      </c>
      <c r="W43" s="1112"/>
      <c r="X43" s="1112">
        <f>(N43+V43)*P43</f>
        <v>2204.71875</v>
      </c>
      <c r="Y43" s="1112">
        <f>AB43</f>
        <v>2795.28125</v>
      </c>
      <c r="Z43" s="1112">
        <f>X43+Y43</f>
        <v>5000</v>
      </c>
      <c r="AA43" s="1109">
        <f>20000*P43</f>
        <v>5000</v>
      </c>
      <c r="AB43" s="1109">
        <f>AA43-X43</f>
        <v>2795.28125</v>
      </c>
      <c r="AC43" s="1112">
        <f>6700*P43</f>
        <v>1675</v>
      </c>
      <c r="AD43" s="1112">
        <f>X43-AC43</f>
        <v>529.71875</v>
      </c>
      <c r="AE43" s="436">
        <f t="shared" si="13"/>
        <v>0</v>
      </c>
      <c r="AF43" s="436">
        <f t="shared" si="14"/>
        <v>1356.75</v>
      </c>
      <c r="AG43" s="436">
        <f t="shared" si="15"/>
        <v>0</v>
      </c>
      <c r="AH43" s="436">
        <f t="shared" si="16"/>
        <v>1695.9375</v>
      </c>
      <c r="AI43" s="436">
        <f t="shared" si="17"/>
        <v>0</v>
      </c>
      <c r="AJ43" s="436">
        <f t="shared" si="17"/>
        <v>339.1875</v>
      </c>
      <c r="AK43" s="437">
        <f t="shared" si="18"/>
        <v>0</v>
      </c>
      <c r="AL43" s="437">
        <f t="shared" si="19"/>
        <v>508.78125</v>
      </c>
      <c r="AM43" s="437">
        <f t="shared" si="20"/>
        <v>0</v>
      </c>
      <c r="AN43" s="437">
        <f t="shared" si="21"/>
        <v>0</v>
      </c>
      <c r="AO43" s="437">
        <f t="shared" si="22"/>
        <v>0</v>
      </c>
      <c r="AP43" s="437">
        <f t="shared" si="9"/>
        <v>0</v>
      </c>
      <c r="AQ43" s="437">
        <f t="shared" si="9"/>
        <v>1695.9375</v>
      </c>
      <c r="AR43" s="436"/>
      <c r="AS43" s="437">
        <f t="shared" si="10"/>
        <v>1695.9375</v>
      </c>
    </row>
    <row r="44" spans="1:45" s="438" customFormat="1" ht="24.95" customHeight="1">
      <c r="A44" s="1134"/>
      <c r="B44" s="1134"/>
      <c r="C44" s="1139"/>
      <c r="D44" s="1168"/>
      <c r="E44" s="1134"/>
      <c r="F44" s="1134"/>
      <c r="G44" s="1112"/>
      <c r="H44" s="1134"/>
      <c r="I44" s="1134"/>
      <c r="J44" s="1134"/>
      <c r="K44" s="1134"/>
      <c r="L44" s="439">
        <f>G43*L43</f>
        <v>1356.75</v>
      </c>
      <c r="M44" s="1134"/>
      <c r="N44" s="1112"/>
      <c r="O44" s="1112"/>
      <c r="P44" s="1112"/>
      <c r="Q44" s="1166"/>
      <c r="R44" s="1134"/>
      <c r="S44" s="1166"/>
      <c r="T44" s="1166"/>
      <c r="U44" s="1138"/>
      <c r="V44" s="1112"/>
      <c r="W44" s="1112"/>
      <c r="X44" s="1112"/>
      <c r="Y44" s="1112"/>
      <c r="Z44" s="1112"/>
      <c r="AA44" s="1109"/>
      <c r="AB44" s="1109"/>
      <c r="AC44" s="1112"/>
      <c r="AD44" s="1112"/>
      <c r="AE44" s="436">
        <f t="shared" si="13"/>
        <v>0</v>
      </c>
      <c r="AF44" s="436">
        <f t="shared" si="14"/>
        <v>0</v>
      </c>
      <c r="AG44" s="436">
        <f t="shared" si="15"/>
        <v>0</v>
      </c>
      <c r="AH44" s="436">
        <f t="shared" si="16"/>
        <v>0</v>
      </c>
      <c r="AI44" s="436">
        <f t="shared" si="17"/>
        <v>0</v>
      </c>
      <c r="AJ44" s="436">
        <f t="shared" si="17"/>
        <v>0</v>
      </c>
      <c r="AK44" s="437">
        <f t="shared" si="18"/>
        <v>0</v>
      </c>
      <c r="AL44" s="437">
        <f t="shared" si="19"/>
        <v>0</v>
      </c>
      <c r="AM44" s="437">
        <f t="shared" si="20"/>
        <v>0</v>
      </c>
      <c r="AN44" s="437">
        <f t="shared" si="21"/>
        <v>0</v>
      </c>
      <c r="AO44" s="437">
        <f t="shared" si="22"/>
        <v>0</v>
      </c>
      <c r="AP44" s="437">
        <f t="shared" si="9"/>
        <v>0</v>
      </c>
      <c r="AQ44" s="437">
        <f t="shared" si="9"/>
        <v>0</v>
      </c>
      <c r="AR44" s="436"/>
      <c r="AS44" s="437">
        <f t="shared" si="10"/>
        <v>0</v>
      </c>
    </row>
    <row r="45" spans="1:45" s="438" customFormat="1" ht="24.95" customHeight="1">
      <c r="A45" s="1134"/>
      <c r="B45" s="1134"/>
      <c r="C45" s="1139" t="s">
        <v>472</v>
      </c>
      <c r="D45" s="1134" t="s">
        <v>1002</v>
      </c>
      <c r="E45" s="1134" t="s">
        <v>473</v>
      </c>
      <c r="F45" s="1134">
        <v>13</v>
      </c>
      <c r="G45" s="1112">
        <v>6769</v>
      </c>
      <c r="H45" s="1112"/>
      <c r="I45" s="435">
        <v>0.15</v>
      </c>
      <c r="J45" s="1112"/>
      <c r="K45" s="1112"/>
      <c r="L45" s="1112"/>
      <c r="M45" s="1112"/>
      <c r="N45" s="1112">
        <f>G45+I46+L46</f>
        <v>7784.35</v>
      </c>
      <c r="O45" s="1112">
        <v>1</v>
      </c>
      <c r="P45" s="1112"/>
      <c r="Q45" s="1112"/>
      <c r="R45" s="1112"/>
      <c r="S45" s="1112"/>
      <c r="T45" s="1145">
        <v>20</v>
      </c>
      <c r="U45" s="1138">
        <v>0.3</v>
      </c>
      <c r="V45" s="1112">
        <f>N45*U45</f>
        <v>2335.3049999999998</v>
      </c>
      <c r="W45" s="1112"/>
      <c r="X45" s="1112">
        <f>(N45+V45)*O45</f>
        <v>10119.655000000001</v>
      </c>
      <c r="Y45" s="1112">
        <f>AB45</f>
        <v>9880.3449999999993</v>
      </c>
      <c r="Z45" s="1112">
        <f>X45+Y45</f>
        <v>20000</v>
      </c>
      <c r="AA45" s="1109">
        <f>20000*O45</f>
        <v>20000</v>
      </c>
      <c r="AB45" s="1109">
        <f>AA45-X45</f>
        <v>9880.3449999999993</v>
      </c>
      <c r="AC45" s="1112">
        <f>6700*O45</f>
        <v>6700</v>
      </c>
      <c r="AD45" s="1112">
        <f>X45-AC45</f>
        <v>3419.6550000000007</v>
      </c>
      <c r="AE45" s="436">
        <f t="shared" si="13"/>
        <v>6769</v>
      </c>
      <c r="AF45" s="436">
        <f t="shared" si="14"/>
        <v>0</v>
      </c>
      <c r="AG45" s="436">
        <f t="shared" si="15"/>
        <v>7784.35</v>
      </c>
      <c r="AH45" s="436">
        <f t="shared" si="16"/>
        <v>0</v>
      </c>
      <c r="AI45" s="436">
        <f t="shared" si="17"/>
        <v>1015.3500000000004</v>
      </c>
      <c r="AJ45" s="436">
        <f t="shared" si="17"/>
        <v>0</v>
      </c>
      <c r="AK45" s="437">
        <f t="shared" si="18"/>
        <v>2335.3049999999998</v>
      </c>
      <c r="AL45" s="437">
        <f t="shared" si="19"/>
        <v>0</v>
      </c>
      <c r="AM45" s="437">
        <f t="shared" si="20"/>
        <v>0</v>
      </c>
      <c r="AN45" s="437">
        <f t="shared" si="21"/>
        <v>0</v>
      </c>
      <c r="AO45" s="437">
        <f t="shared" si="22"/>
        <v>0</v>
      </c>
      <c r="AP45" s="437">
        <f t="shared" ref="AP45:AQ68" si="23">AG45</f>
        <v>7784.35</v>
      </c>
      <c r="AQ45" s="437">
        <f t="shared" si="23"/>
        <v>0</v>
      </c>
      <c r="AR45" s="436"/>
      <c r="AS45" s="437">
        <f t="shared" si="10"/>
        <v>7784.35</v>
      </c>
    </row>
    <row r="46" spans="1:45" s="438" customFormat="1" ht="24.95" customHeight="1">
      <c r="A46" s="1134"/>
      <c r="B46" s="1134"/>
      <c r="C46" s="1139"/>
      <c r="D46" s="1134"/>
      <c r="E46" s="1134"/>
      <c r="F46" s="1134"/>
      <c r="G46" s="1112"/>
      <c r="H46" s="1112"/>
      <c r="I46" s="448">
        <f>G45*I45</f>
        <v>1015.3499999999999</v>
      </c>
      <c r="J46" s="1112"/>
      <c r="K46" s="1112"/>
      <c r="L46" s="1112"/>
      <c r="M46" s="1112"/>
      <c r="N46" s="1112"/>
      <c r="O46" s="1112"/>
      <c r="P46" s="1112"/>
      <c r="Q46" s="1112"/>
      <c r="R46" s="1112"/>
      <c r="S46" s="1112"/>
      <c r="T46" s="1145"/>
      <c r="U46" s="1138"/>
      <c r="V46" s="1112"/>
      <c r="W46" s="1112"/>
      <c r="X46" s="1112"/>
      <c r="Y46" s="1112"/>
      <c r="Z46" s="1112"/>
      <c r="AA46" s="1109"/>
      <c r="AB46" s="1109"/>
      <c r="AC46" s="1112"/>
      <c r="AD46" s="1112"/>
      <c r="AE46" s="436">
        <f t="shared" si="13"/>
        <v>0</v>
      </c>
      <c r="AF46" s="436">
        <f t="shared" si="14"/>
        <v>0</v>
      </c>
      <c r="AG46" s="436">
        <f t="shared" si="15"/>
        <v>0</v>
      </c>
      <c r="AH46" s="436">
        <f t="shared" si="16"/>
        <v>0</v>
      </c>
      <c r="AI46" s="436">
        <f t="shared" si="17"/>
        <v>0</v>
      </c>
      <c r="AJ46" s="436">
        <f t="shared" si="17"/>
        <v>0</v>
      </c>
      <c r="AK46" s="437">
        <f t="shared" si="18"/>
        <v>0</v>
      </c>
      <c r="AL46" s="437">
        <f t="shared" si="19"/>
        <v>0</v>
      </c>
      <c r="AM46" s="437">
        <f t="shared" si="20"/>
        <v>0</v>
      </c>
      <c r="AN46" s="437">
        <f t="shared" si="21"/>
        <v>0</v>
      </c>
      <c r="AO46" s="437">
        <f t="shared" si="22"/>
        <v>0</v>
      </c>
      <c r="AP46" s="437">
        <f t="shared" si="23"/>
        <v>0</v>
      </c>
      <c r="AQ46" s="437">
        <f t="shared" si="23"/>
        <v>0</v>
      </c>
      <c r="AR46" s="436"/>
      <c r="AS46" s="437">
        <f t="shared" si="10"/>
        <v>0</v>
      </c>
    </row>
    <row r="47" spans="1:45" s="438" customFormat="1" ht="24.95" customHeight="1">
      <c r="A47" s="1134"/>
      <c r="B47" s="1134"/>
      <c r="C47" s="1139" t="s">
        <v>474</v>
      </c>
      <c r="D47" s="1134" t="s">
        <v>475</v>
      </c>
      <c r="E47" s="1134" t="s">
        <v>476</v>
      </c>
      <c r="F47" s="1134">
        <v>13</v>
      </c>
      <c r="G47" s="1112">
        <v>6769</v>
      </c>
      <c r="H47" s="1134"/>
      <c r="I47" s="435">
        <v>0.15</v>
      </c>
      <c r="J47" s="1134"/>
      <c r="K47" s="1134"/>
      <c r="L47" s="1134"/>
      <c r="M47" s="1134"/>
      <c r="N47" s="1112">
        <f>G47+I48+L48</f>
        <v>7784.35</v>
      </c>
      <c r="O47" s="1112">
        <v>1</v>
      </c>
      <c r="P47" s="1112"/>
      <c r="Q47" s="1134"/>
      <c r="R47" s="1134"/>
      <c r="S47" s="1134"/>
      <c r="T47" s="1134">
        <v>24</v>
      </c>
      <c r="U47" s="1138">
        <v>0.3</v>
      </c>
      <c r="V47" s="1112">
        <f>N47*U47</f>
        <v>2335.3049999999998</v>
      </c>
      <c r="W47" s="1112"/>
      <c r="X47" s="1112">
        <f>(N47+V47)*O47</f>
        <v>10119.655000000001</v>
      </c>
      <c r="Y47" s="1112">
        <f>AB47</f>
        <v>9880.3449999999993</v>
      </c>
      <c r="Z47" s="1112">
        <f>X47+Y47</f>
        <v>20000</v>
      </c>
      <c r="AA47" s="1109">
        <f>20000*O47</f>
        <v>20000</v>
      </c>
      <c r="AB47" s="1109">
        <f>AA47-X47</f>
        <v>9880.3449999999993</v>
      </c>
      <c r="AC47" s="1112">
        <f>6700*O47</f>
        <v>6700</v>
      </c>
      <c r="AD47" s="1112">
        <f>X47-AC47</f>
        <v>3419.6550000000007</v>
      </c>
      <c r="AE47" s="436">
        <f t="shared" si="13"/>
        <v>6769</v>
      </c>
      <c r="AF47" s="436">
        <f t="shared" si="14"/>
        <v>0</v>
      </c>
      <c r="AG47" s="436">
        <f t="shared" si="15"/>
        <v>7784.35</v>
      </c>
      <c r="AH47" s="436">
        <f t="shared" si="16"/>
        <v>0</v>
      </c>
      <c r="AI47" s="436">
        <f t="shared" si="17"/>
        <v>1015.3500000000004</v>
      </c>
      <c r="AJ47" s="436">
        <f t="shared" si="17"/>
        <v>0</v>
      </c>
      <c r="AK47" s="437">
        <f t="shared" si="18"/>
        <v>2335.3049999999998</v>
      </c>
      <c r="AL47" s="437">
        <f t="shared" si="19"/>
        <v>0</v>
      </c>
      <c r="AM47" s="437">
        <f t="shared" si="20"/>
        <v>0</v>
      </c>
      <c r="AN47" s="437">
        <f t="shared" si="21"/>
        <v>0</v>
      </c>
      <c r="AO47" s="437">
        <f t="shared" si="22"/>
        <v>0</v>
      </c>
      <c r="AP47" s="437">
        <f t="shared" si="23"/>
        <v>7784.35</v>
      </c>
      <c r="AQ47" s="437">
        <f t="shared" si="23"/>
        <v>0</v>
      </c>
      <c r="AR47" s="436"/>
      <c r="AS47" s="437">
        <f t="shared" si="10"/>
        <v>7784.35</v>
      </c>
    </row>
    <row r="48" spans="1:45" s="438" customFormat="1" ht="24.95" customHeight="1">
      <c r="A48" s="1134"/>
      <c r="B48" s="1134"/>
      <c r="C48" s="1139"/>
      <c r="D48" s="1134"/>
      <c r="E48" s="1134"/>
      <c r="F48" s="1134"/>
      <c r="G48" s="1112"/>
      <c r="H48" s="1134"/>
      <c r="I48" s="448">
        <f>G47*I47</f>
        <v>1015.3499999999999</v>
      </c>
      <c r="J48" s="1134"/>
      <c r="K48" s="1134"/>
      <c r="L48" s="1134"/>
      <c r="M48" s="1134"/>
      <c r="N48" s="1112"/>
      <c r="O48" s="1112"/>
      <c r="P48" s="1112"/>
      <c r="Q48" s="1134"/>
      <c r="R48" s="1134"/>
      <c r="S48" s="1134"/>
      <c r="T48" s="1134"/>
      <c r="U48" s="1138"/>
      <c r="V48" s="1112"/>
      <c r="W48" s="1112"/>
      <c r="X48" s="1112"/>
      <c r="Y48" s="1112"/>
      <c r="Z48" s="1112"/>
      <c r="AA48" s="1109"/>
      <c r="AB48" s="1109"/>
      <c r="AC48" s="1112"/>
      <c r="AD48" s="1112"/>
      <c r="AE48" s="436">
        <f t="shared" si="13"/>
        <v>0</v>
      </c>
      <c r="AF48" s="436">
        <f t="shared" si="14"/>
        <v>0</v>
      </c>
      <c r="AG48" s="436">
        <f t="shared" si="15"/>
        <v>0</v>
      </c>
      <c r="AH48" s="436">
        <f t="shared" si="16"/>
        <v>0</v>
      </c>
      <c r="AI48" s="436">
        <f t="shared" si="17"/>
        <v>0</v>
      </c>
      <c r="AJ48" s="436">
        <f t="shared" si="17"/>
        <v>0</v>
      </c>
      <c r="AK48" s="437">
        <f t="shared" si="18"/>
        <v>0</v>
      </c>
      <c r="AL48" s="437">
        <f t="shared" si="19"/>
        <v>0</v>
      </c>
      <c r="AM48" s="437">
        <f t="shared" si="20"/>
        <v>0</v>
      </c>
      <c r="AN48" s="437">
        <f t="shared" si="21"/>
        <v>0</v>
      </c>
      <c r="AO48" s="437">
        <f t="shared" si="22"/>
        <v>0</v>
      </c>
      <c r="AP48" s="437">
        <f t="shared" si="23"/>
        <v>0</v>
      </c>
      <c r="AQ48" s="437">
        <f t="shared" si="23"/>
        <v>0</v>
      </c>
      <c r="AR48" s="436"/>
      <c r="AS48" s="437">
        <f t="shared" si="10"/>
        <v>0</v>
      </c>
    </row>
    <row r="49" spans="1:45" s="438" customFormat="1" ht="24.95" customHeight="1">
      <c r="A49" s="1134"/>
      <c r="B49" s="1134"/>
      <c r="C49" s="1139" t="s">
        <v>477</v>
      </c>
      <c r="D49" s="1134" t="s">
        <v>478</v>
      </c>
      <c r="E49" s="1134" t="s">
        <v>479</v>
      </c>
      <c r="F49" s="1134">
        <v>14</v>
      </c>
      <c r="G49" s="1112">
        <v>7216</v>
      </c>
      <c r="H49" s="1112"/>
      <c r="I49" s="1112"/>
      <c r="J49" s="1112"/>
      <c r="K49" s="1112"/>
      <c r="L49" s="1112"/>
      <c r="M49" s="1112"/>
      <c r="N49" s="1112">
        <f>G49+I50+L50</f>
        <v>7216</v>
      </c>
      <c r="O49" s="1112"/>
      <c r="P49" s="1112">
        <v>0.5</v>
      </c>
      <c r="Q49" s="1112"/>
      <c r="R49" s="1112"/>
      <c r="S49" s="1112"/>
      <c r="T49" s="1134">
        <v>23</v>
      </c>
      <c r="U49" s="1138">
        <v>0.3</v>
      </c>
      <c r="V49" s="1112">
        <f>N49*U49</f>
        <v>2164.7999999999997</v>
      </c>
      <c r="W49" s="1112"/>
      <c r="X49" s="1112">
        <f>(N49+V49)*P49</f>
        <v>4690.3999999999996</v>
      </c>
      <c r="Y49" s="1112">
        <f>AB49</f>
        <v>5309.6</v>
      </c>
      <c r="Z49" s="1112">
        <f>X49+Y49</f>
        <v>10000</v>
      </c>
      <c r="AA49" s="1109">
        <f>20000*P49</f>
        <v>10000</v>
      </c>
      <c r="AB49" s="1109">
        <f>AA49-X49</f>
        <v>5309.6</v>
      </c>
      <c r="AC49" s="1112">
        <f>6700*P49</f>
        <v>3350</v>
      </c>
      <c r="AD49" s="1112">
        <f>X49-AC49</f>
        <v>1340.3999999999996</v>
      </c>
      <c r="AE49" s="436">
        <f t="shared" si="13"/>
        <v>0</v>
      </c>
      <c r="AF49" s="436">
        <f t="shared" si="14"/>
        <v>3608</v>
      </c>
      <c r="AG49" s="436">
        <f t="shared" si="15"/>
        <v>0</v>
      </c>
      <c r="AH49" s="436">
        <f t="shared" si="16"/>
        <v>3608</v>
      </c>
      <c r="AI49" s="436">
        <f t="shared" si="17"/>
        <v>0</v>
      </c>
      <c r="AJ49" s="436">
        <f t="shared" si="17"/>
        <v>0</v>
      </c>
      <c r="AK49" s="437">
        <f t="shared" si="18"/>
        <v>0</v>
      </c>
      <c r="AL49" s="437">
        <f t="shared" si="19"/>
        <v>1082.3999999999999</v>
      </c>
      <c r="AM49" s="437">
        <f t="shared" si="20"/>
        <v>0</v>
      </c>
      <c r="AN49" s="437">
        <f t="shared" si="21"/>
        <v>0</v>
      </c>
      <c r="AO49" s="437">
        <f t="shared" si="22"/>
        <v>0</v>
      </c>
      <c r="AP49" s="437">
        <f t="shared" si="23"/>
        <v>0</v>
      </c>
      <c r="AQ49" s="437">
        <f t="shared" si="23"/>
        <v>3608</v>
      </c>
      <c r="AR49" s="436"/>
      <c r="AS49" s="437">
        <f t="shared" si="10"/>
        <v>3608</v>
      </c>
    </row>
    <row r="50" spans="1:45" s="438" customFormat="1" ht="24.95" customHeight="1">
      <c r="A50" s="1134"/>
      <c r="B50" s="1134"/>
      <c r="C50" s="1139"/>
      <c r="D50" s="1134"/>
      <c r="E50" s="1134"/>
      <c r="F50" s="1134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34"/>
      <c r="U50" s="1138"/>
      <c r="V50" s="1112"/>
      <c r="W50" s="1112"/>
      <c r="X50" s="1112"/>
      <c r="Y50" s="1112"/>
      <c r="Z50" s="1112"/>
      <c r="AA50" s="1109"/>
      <c r="AB50" s="1109"/>
      <c r="AC50" s="1112"/>
      <c r="AD50" s="1112"/>
      <c r="AE50" s="436">
        <f t="shared" si="13"/>
        <v>0</v>
      </c>
      <c r="AF50" s="436">
        <f t="shared" si="14"/>
        <v>0</v>
      </c>
      <c r="AG50" s="436">
        <f t="shared" si="15"/>
        <v>0</v>
      </c>
      <c r="AH50" s="436">
        <f t="shared" si="16"/>
        <v>0</v>
      </c>
      <c r="AI50" s="436">
        <f t="shared" si="17"/>
        <v>0</v>
      </c>
      <c r="AJ50" s="436">
        <f t="shared" si="17"/>
        <v>0</v>
      </c>
      <c r="AK50" s="437">
        <f t="shared" si="18"/>
        <v>0</v>
      </c>
      <c r="AL50" s="437">
        <f t="shared" si="19"/>
        <v>0</v>
      </c>
      <c r="AM50" s="437">
        <f t="shared" si="20"/>
        <v>0</v>
      </c>
      <c r="AN50" s="437">
        <f t="shared" si="21"/>
        <v>0</v>
      </c>
      <c r="AO50" s="437">
        <f t="shared" si="22"/>
        <v>0</v>
      </c>
      <c r="AP50" s="437">
        <f t="shared" si="23"/>
        <v>0</v>
      </c>
      <c r="AQ50" s="437">
        <f t="shared" si="23"/>
        <v>0</v>
      </c>
      <c r="AR50" s="436"/>
      <c r="AS50" s="437">
        <f t="shared" si="10"/>
        <v>0</v>
      </c>
    </row>
    <row r="51" spans="1:45" s="438" customFormat="1" ht="24.95" customHeight="1">
      <c r="A51" s="1134"/>
      <c r="B51" s="1134"/>
      <c r="C51" s="1139" t="s">
        <v>477</v>
      </c>
      <c r="D51" s="1134"/>
      <c r="E51" s="1134" t="s">
        <v>325</v>
      </c>
      <c r="F51" s="1134">
        <v>13</v>
      </c>
      <c r="G51" s="1112">
        <v>6769</v>
      </c>
      <c r="H51" s="1112"/>
      <c r="I51" s="1112"/>
      <c r="J51" s="1112"/>
      <c r="K51" s="1112"/>
      <c r="L51" s="1112"/>
      <c r="M51" s="1112"/>
      <c r="N51" s="1112">
        <f>G51+I52+L52</f>
        <v>6769</v>
      </c>
      <c r="O51" s="1112">
        <f>1-0.5</f>
        <v>0.5</v>
      </c>
      <c r="P51" s="1112"/>
      <c r="Q51" s="1112"/>
      <c r="R51" s="1112"/>
      <c r="S51" s="1112"/>
      <c r="T51" s="1134"/>
      <c r="U51" s="1138">
        <v>0</v>
      </c>
      <c r="V51" s="1112">
        <f>N51*U51</f>
        <v>0</v>
      </c>
      <c r="W51" s="1112"/>
      <c r="X51" s="1112">
        <f>(N51+V51)*O51+W51</f>
        <v>3384.5</v>
      </c>
      <c r="Y51" s="1112">
        <f>AB51</f>
        <v>6615.5</v>
      </c>
      <c r="Z51" s="1112">
        <f>X51+Y51</f>
        <v>10000</v>
      </c>
      <c r="AA51" s="1109">
        <f>20000*O51</f>
        <v>10000</v>
      </c>
      <c r="AB51" s="1109">
        <f>AA51-X51</f>
        <v>6615.5</v>
      </c>
      <c r="AC51" s="1112">
        <f>6700*O51</f>
        <v>3350</v>
      </c>
      <c r="AD51" s="1112">
        <f>X51-AC51</f>
        <v>34.5</v>
      </c>
      <c r="AE51" s="436">
        <f t="shared" si="13"/>
        <v>3384.5</v>
      </c>
      <c r="AF51" s="436">
        <f t="shared" si="14"/>
        <v>0</v>
      </c>
      <c r="AG51" s="436">
        <f t="shared" si="15"/>
        <v>3384.5</v>
      </c>
      <c r="AH51" s="436">
        <f t="shared" si="16"/>
        <v>0</v>
      </c>
      <c r="AI51" s="436">
        <f t="shared" si="17"/>
        <v>0</v>
      </c>
      <c r="AJ51" s="436">
        <f t="shared" si="17"/>
        <v>0</v>
      </c>
      <c r="AK51" s="437">
        <f t="shared" si="18"/>
        <v>0</v>
      </c>
      <c r="AL51" s="437">
        <f t="shared" si="19"/>
        <v>0</v>
      </c>
      <c r="AM51" s="437">
        <f t="shared" si="20"/>
        <v>0</v>
      </c>
      <c r="AN51" s="437">
        <f t="shared" si="21"/>
        <v>0</v>
      </c>
      <c r="AO51" s="437">
        <f t="shared" si="22"/>
        <v>0</v>
      </c>
      <c r="AP51" s="437">
        <f t="shared" si="23"/>
        <v>3384.5</v>
      </c>
      <c r="AQ51" s="437">
        <f t="shared" si="23"/>
        <v>0</v>
      </c>
      <c r="AR51" s="436"/>
      <c r="AS51" s="437">
        <f t="shared" si="10"/>
        <v>3384.5</v>
      </c>
    </row>
    <row r="52" spans="1:45" s="438" customFormat="1" ht="24.95" customHeight="1">
      <c r="A52" s="1134"/>
      <c r="B52" s="1134"/>
      <c r="C52" s="1139"/>
      <c r="D52" s="1134"/>
      <c r="E52" s="1134"/>
      <c r="F52" s="1134"/>
      <c r="G52" s="1112"/>
      <c r="H52" s="1112"/>
      <c r="I52" s="1112"/>
      <c r="J52" s="1112"/>
      <c r="K52" s="1112"/>
      <c r="L52" s="1112"/>
      <c r="M52" s="1112"/>
      <c r="N52" s="1112"/>
      <c r="O52" s="1112"/>
      <c r="P52" s="1112"/>
      <c r="Q52" s="1112"/>
      <c r="R52" s="1112"/>
      <c r="S52" s="1112"/>
      <c r="T52" s="1134"/>
      <c r="U52" s="1138"/>
      <c r="V52" s="1112"/>
      <c r="W52" s="1112"/>
      <c r="X52" s="1112"/>
      <c r="Y52" s="1112"/>
      <c r="Z52" s="1112"/>
      <c r="AA52" s="1109"/>
      <c r="AB52" s="1109"/>
      <c r="AC52" s="1112"/>
      <c r="AD52" s="1112"/>
      <c r="AE52" s="436">
        <f t="shared" si="13"/>
        <v>0</v>
      </c>
      <c r="AF52" s="436">
        <f t="shared" si="14"/>
        <v>0</v>
      </c>
      <c r="AG52" s="436">
        <f t="shared" si="15"/>
        <v>0</v>
      </c>
      <c r="AH52" s="436">
        <f t="shared" si="16"/>
        <v>0</v>
      </c>
      <c r="AI52" s="436">
        <f t="shared" si="17"/>
        <v>0</v>
      </c>
      <c r="AJ52" s="436">
        <f t="shared" si="17"/>
        <v>0</v>
      </c>
      <c r="AK52" s="437">
        <f t="shared" si="18"/>
        <v>0</v>
      </c>
      <c r="AL52" s="437">
        <f t="shared" si="19"/>
        <v>0</v>
      </c>
      <c r="AM52" s="437">
        <f t="shared" si="20"/>
        <v>0</v>
      </c>
      <c r="AN52" s="437">
        <f t="shared" si="21"/>
        <v>0</v>
      </c>
      <c r="AO52" s="437">
        <f t="shared" si="22"/>
        <v>0</v>
      </c>
      <c r="AP52" s="437">
        <f t="shared" si="23"/>
        <v>0</v>
      </c>
      <c r="AQ52" s="437">
        <f t="shared" si="23"/>
        <v>0</v>
      </c>
      <c r="AR52" s="436"/>
      <c r="AS52" s="437">
        <f t="shared" si="10"/>
        <v>0</v>
      </c>
    </row>
    <row r="53" spans="1:45" s="438" customFormat="1" ht="24.95" customHeight="1">
      <c r="A53" s="1134"/>
      <c r="B53" s="1134"/>
      <c r="C53" s="1139" t="s">
        <v>480</v>
      </c>
      <c r="D53" s="1134" t="s">
        <v>481</v>
      </c>
      <c r="E53" s="1134" t="s">
        <v>482</v>
      </c>
      <c r="F53" s="1134">
        <v>13</v>
      </c>
      <c r="G53" s="1112">
        <v>6769</v>
      </c>
      <c r="H53" s="1134"/>
      <c r="I53" s="1134"/>
      <c r="J53" s="1134"/>
      <c r="K53" s="1134"/>
      <c r="L53" s="435">
        <v>0.25</v>
      </c>
      <c r="M53" s="1138"/>
      <c r="N53" s="1112">
        <f>G53+I54+L54</f>
        <v>8461.25</v>
      </c>
      <c r="O53" s="1112">
        <v>1</v>
      </c>
      <c r="P53" s="1112"/>
      <c r="Q53" s="1166"/>
      <c r="R53" s="1138"/>
      <c r="S53" s="1166"/>
      <c r="T53" s="1166">
        <v>31</v>
      </c>
      <c r="U53" s="1138">
        <v>0.3</v>
      </c>
      <c r="V53" s="1112">
        <f>N53*U53</f>
        <v>2538.375</v>
      </c>
      <c r="W53" s="1112"/>
      <c r="X53" s="1112">
        <f>(N53+V53)*O53</f>
        <v>10999.625</v>
      </c>
      <c r="Y53" s="1112">
        <f>AB53</f>
        <v>9000.375</v>
      </c>
      <c r="Z53" s="1112">
        <f>X53+Y53</f>
        <v>20000</v>
      </c>
      <c r="AA53" s="1109">
        <f>20000*O53</f>
        <v>20000</v>
      </c>
      <c r="AB53" s="1109">
        <f>AA53-X53</f>
        <v>9000.375</v>
      </c>
      <c r="AC53" s="1112">
        <f>6700*O53</f>
        <v>6700</v>
      </c>
      <c r="AD53" s="1112">
        <f>X53-AC53</f>
        <v>4299.625</v>
      </c>
      <c r="AE53" s="436">
        <f t="shared" si="13"/>
        <v>6769</v>
      </c>
      <c r="AF53" s="436">
        <f t="shared" si="14"/>
        <v>0</v>
      </c>
      <c r="AG53" s="436">
        <f t="shared" si="15"/>
        <v>8461.25</v>
      </c>
      <c r="AH53" s="436">
        <f t="shared" si="16"/>
        <v>0</v>
      </c>
      <c r="AI53" s="436">
        <f t="shared" si="17"/>
        <v>1692.25</v>
      </c>
      <c r="AJ53" s="436">
        <f t="shared" si="17"/>
        <v>0</v>
      </c>
      <c r="AK53" s="437">
        <f t="shared" si="18"/>
        <v>2538.375</v>
      </c>
      <c r="AL53" s="437">
        <f t="shared" si="19"/>
        <v>0</v>
      </c>
      <c r="AM53" s="437">
        <f t="shared" si="20"/>
        <v>0</v>
      </c>
      <c r="AN53" s="437">
        <f t="shared" si="21"/>
        <v>0</v>
      </c>
      <c r="AO53" s="437">
        <f t="shared" si="22"/>
        <v>0</v>
      </c>
      <c r="AP53" s="437">
        <f t="shared" si="23"/>
        <v>8461.25</v>
      </c>
      <c r="AQ53" s="437">
        <f t="shared" si="23"/>
        <v>0</v>
      </c>
      <c r="AR53" s="436"/>
      <c r="AS53" s="437">
        <f t="shared" si="10"/>
        <v>8461.25</v>
      </c>
    </row>
    <row r="54" spans="1:45" s="438" customFormat="1" ht="24.95" customHeight="1">
      <c r="A54" s="1134"/>
      <c r="B54" s="1134"/>
      <c r="C54" s="1139"/>
      <c r="D54" s="1134"/>
      <c r="E54" s="1134"/>
      <c r="F54" s="1134"/>
      <c r="G54" s="1112"/>
      <c r="H54" s="1134"/>
      <c r="I54" s="1134"/>
      <c r="J54" s="1134"/>
      <c r="K54" s="1134"/>
      <c r="L54" s="449">
        <f>G53*L53</f>
        <v>1692.25</v>
      </c>
      <c r="M54" s="1134"/>
      <c r="N54" s="1112"/>
      <c r="O54" s="1112"/>
      <c r="P54" s="1112"/>
      <c r="Q54" s="1166"/>
      <c r="R54" s="1134"/>
      <c r="S54" s="1166"/>
      <c r="T54" s="1166"/>
      <c r="U54" s="1138"/>
      <c r="V54" s="1112"/>
      <c r="W54" s="1112"/>
      <c r="X54" s="1112"/>
      <c r="Y54" s="1112"/>
      <c r="Z54" s="1112"/>
      <c r="AA54" s="1109"/>
      <c r="AB54" s="1109"/>
      <c r="AC54" s="1112"/>
      <c r="AD54" s="1112"/>
      <c r="AE54" s="436">
        <f t="shared" si="13"/>
        <v>0</v>
      </c>
      <c r="AF54" s="436">
        <f t="shared" si="14"/>
        <v>0</v>
      </c>
      <c r="AG54" s="436">
        <f t="shared" si="15"/>
        <v>0</v>
      </c>
      <c r="AH54" s="436">
        <f t="shared" si="16"/>
        <v>0</v>
      </c>
      <c r="AI54" s="436">
        <f t="shared" si="17"/>
        <v>0</v>
      </c>
      <c r="AJ54" s="436">
        <f t="shared" si="17"/>
        <v>0</v>
      </c>
      <c r="AK54" s="437">
        <f t="shared" si="18"/>
        <v>0</v>
      </c>
      <c r="AL54" s="437">
        <f t="shared" si="19"/>
        <v>0</v>
      </c>
      <c r="AM54" s="437">
        <f t="shared" si="20"/>
        <v>0</v>
      </c>
      <c r="AN54" s="437">
        <f t="shared" si="21"/>
        <v>0</v>
      </c>
      <c r="AO54" s="437">
        <f t="shared" si="22"/>
        <v>0</v>
      </c>
      <c r="AP54" s="437">
        <f t="shared" si="23"/>
        <v>0</v>
      </c>
      <c r="AQ54" s="437">
        <f t="shared" si="23"/>
        <v>0</v>
      </c>
      <c r="AR54" s="436"/>
      <c r="AS54" s="437">
        <f t="shared" si="10"/>
        <v>0</v>
      </c>
    </row>
    <row r="55" spans="1:45" s="438" customFormat="1" ht="24.95" customHeight="1">
      <c r="A55" s="1134"/>
      <c r="B55" s="1134"/>
      <c r="C55" s="1139" t="s">
        <v>483</v>
      </c>
      <c r="D55" s="1134" t="s">
        <v>1003</v>
      </c>
      <c r="E55" s="1169" t="s">
        <v>1004</v>
      </c>
      <c r="F55" s="1134">
        <v>10</v>
      </c>
      <c r="G55" s="1112">
        <v>5427</v>
      </c>
      <c r="H55" s="1112"/>
      <c r="I55" s="1112"/>
      <c r="J55" s="1112"/>
      <c r="K55" s="1112"/>
      <c r="L55" s="1112"/>
      <c r="M55" s="1112"/>
      <c r="N55" s="1112">
        <f>G55+H56+I56+L56</f>
        <v>5427</v>
      </c>
      <c r="O55" s="1112">
        <v>1</v>
      </c>
      <c r="P55" s="1112"/>
      <c r="Q55" s="1112"/>
      <c r="R55" s="1112"/>
      <c r="S55" s="1112"/>
      <c r="T55" s="1134"/>
      <c r="U55" s="1138">
        <v>0</v>
      </c>
      <c r="V55" s="1112">
        <f>N55*U55</f>
        <v>0</v>
      </c>
      <c r="W55" s="1165">
        <v>1273</v>
      </c>
      <c r="X55" s="1112">
        <f>(N55+V55)*O55+W55</f>
        <v>6700</v>
      </c>
      <c r="Y55" s="1112">
        <f>AB55</f>
        <v>13300</v>
      </c>
      <c r="Z55" s="1112">
        <f>X55+Y55</f>
        <v>20000</v>
      </c>
      <c r="AA55" s="1109">
        <f>20000*O55</f>
        <v>20000</v>
      </c>
      <c r="AB55" s="1109">
        <f>AA55-X55</f>
        <v>13300</v>
      </c>
      <c r="AC55" s="1112">
        <f>6700*O55</f>
        <v>6700</v>
      </c>
      <c r="AD55" s="1112">
        <f>X55-AC55</f>
        <v>0</v>
      </c>
      <c r="AE55" s="436">
        <f t="shared" si="13"/>
        <v>5427</v>
      </c>
      <c r="AF55" s="436">
        <f t="shared" si="14"/>
        <v>0</v>
      </c>
      <c r="AG55" s="436">
        <f t="shared" si="15"/>
        <v>5427</v>
      </c>
      <c r="AH55" s="436">
        <f t="shared" si="16"/>
        <v>0</v>
      </c>
      <c r="AI55" s="436">
        <f t="shared" si="17"/>
        <v>0</v>
      </c>
      <c r="AJ55" s="436">
        <f t="shared" si="17"/>
        <v>0</v>
      </c>
      <c r="AK55" s="437">
        <f t="shared" si="18"/>
        <v>0</v>
      </c>
      <c r="AL55" s="437">
        <f t="shared" si="19"/>
        <v>0</v>
      </c>
      <c r="AM55" s="437">
        <f t="shared" si="20"/>
        <v>1273</v>
      </c>
      <c r="AN55" s="437">
        <f t="shared" si="21"/>
        <v>0</v>
      </c>
      <c r="AO55" s="437">
        <f t="shared" si="22"/>
        <v>0</v>
      </c>
      <c r="AP55" s="437">
        <f t="shared" si="23"/>
        <v>5427</v>
      </c>
      <c r="AQ55" s="437">
        <f t="shared" si="23"/>
        <v>0</v>
      </c>
      <c r="AR55" s="436"/>
      <c r="AS55" s="437">
        <f t="shared" si="10"/>
        <v>5427</v>
      </c>
    </row>
    <row r="56" spans="1:45" s="438" customFormat="1" ht="24.75" customHeight="1">
      <c r="A56" s="1134"/>
      <c r="B56" s="1134"/>
      <c r="C56" s="1139"/>
      <c r="D56" s="1134"/>
      <c r="E56" s="1169"/>
      <c r="F56" s="1134"/>
      <c r="G56" s="1112"/>
      <c r="H56" s="1112"/>
      <c r="I56" s="1112"/>
      <c r="J56" s="1112"/>
      <c r="K56" s="1112"/>
      <c r="L56" s="1112"/>
      <c r="M56" s="1112"/>
      <c r="N56" s="1112"/>
      <c r="O56" s="1112"/>
      <c r="P56" s="1112"/>
      <c r="Q56" s="1112"/>
      <c r="R56" s="1112"/>
      <c r="S56" s="1112"/>
      <c r="T56" s="1134"/>
      <c r="U56" s="1138"/>
      <c r="V56" s="1112"/>
      <c r="W56" s="1165"/>
      <c r="X56" s="1112"/>
      <c r="Y56" s="1112"/>
      <c r="Z56" s="1112"/>
      <c r="AA56" s="1109"/>
      <c r="AB56" s="1109"/>
      <c r="AC56" s="1112"/>
      <c r="AD56" s="1112"/>
      <c r="AE56" s="436">
        <f t="shared" si="13"/>
        <v>0</v>
      </c>
      <c r="AF56" s="436">
        <f t="shared" si="14"/>
        <v>0</v>
      </c>
      <c r="AG56" s="436">
        <f t="shared" si="15"/>
        <v>0</v>
      </c>
      <c r="AH56" s="436">
        <f t="shared" si="16"/>
        <v>0</v>
      </c>
      <c r="AI56" s="436">
        <f t="shared" si="17"/>
        <v>0</v>
      </c>
      <c r="AJ56" s="436">
        <f t="shared" si="17"/>
        <v>0</v>
      </c>
      <c r="AK56" s="437">
        <f t="shared" si="18"/>
        <v>0</v>
      </c>
      <c r="AL56" s="437">
        <f t="shared" si="19"/>
        <v>0</v>
      </c>
      <c r="AM56" s="437">
        <f t="shared" si="20"/>
        <v>0</v>
      </c>
      <c r="AN56" s="437">
        <f t="shared" si="21"/>
        <v>0</v>
      </c>
      <c r="AO56" s="437">
        <f t="shared" si="22"/>
        <v>0</v>
      </c>
      <c r="AP56" s="437">
        <f t="shared" si="23"/>
        <v>0</v>
      </c>
      <c r="AQ56" s="437">
        <f t="shared" si="23"/>
        <v>0</v>
      </c>
      <c r="AR56" s="436"/>
      <c r="AS56" s="437">
        <f t="shared" si="10"/>
        <v>0</v>
      </c>
    </row>
    <row r="57" spans="1:45" s="438" customFormat="1" ht="24.95" customHeight="1">
      <c r="A57" s="1134"/>
      <c r="B57" s="1134"/>
      <c r="C57" s="1139" t="s">
        <v>484</v>
      </c>
      <c r="D57" s="1134" t="s">
        <v>320</v>
      </c>
      <c r="E57" s="1134" t="s">
        <v>321</v>
      </c>
      <c r="F57" s="1134">
        <v>13</v>
      </c>
      <c r="G57" s="1112">
        <v>6769</v>
      </c>
      <c r="H57" s="1134"/>
      <c r="I57" s="1112"/>
      <c r="J57" s="1134"/>
      <c r="K57" s="1134"/>
      <c r="L57" s="1134"/>
      <c r="M57" s="1134"/>
      <c r="N57" s="1112">
        <f>G57+I58+L58</f>
        <v>6769</v>
      </c>
      <c r="O57" s="1112">
        <v>1</v>
      </c>
      <c r="P57" s="1112"/>
      <c r="Q57" s="1134"/>
      <c r="R57" s="1134"/>
      <c r="S57" s="1134"/>
      <c r="T57" s="1134">
        <v>36</v>
      </c>
      <c r="U57" s="1138">
        <v>0.3</v>
      </c>
      <c r="V57" s="1112">
        <f>N57*U57</f>
        <v>2030.6999999999998</v>
      </c>
      <c r="W57" s="1112"/>
      <c r="X57" s="1112">
        <f>(N57+V57)*O57+W57</f>
        <v>8799.7000000000007</v>
      </c>
      <c r="Y57" s="1112">
        <f>AB57</f>
        <v>11200.3</v>
      </c>
      <c r="Z57" s="1112">
        <f>X57+Y57</f>
        <v>20000</v>
      </c>
      <c r="AA57" s="1109">
        <f>20000*O57</f>
        <v>20000</v>
      </c>
      <c r="AB57" s="1109">
        <f>AA57-X57</f>
        <v>11200.3</v>
      </c>
      <c r="AC57" s="1112">
        <f>6700*O57</f>
        <v>6700</v>
      </c>
      <c r="AD57" s="1112">
        <f>X57-AC57</f>
        <v>2099.7000000000007</v>
      </c>
      <c r="AE57" s="436">
        <f t="shared" si="13"/>
        <v>6769</v>
      </c>
      <c r="AF57" s="436">
        <f t="shared" si="14"/>
        <v>0</v>
      </c>
      <c r="AG57" s="436">
        <f t="shared" si="15"/>
        <v>6769</v>
      </c>
      <c r="AH57" s="436">
        <f t="shared" si="16"/>
        <v>0</v>
      </c>
      <c r="AI57" s="436">
        <f t="shared" si="17"/>
        <v>0</v>
      </c>
      <c r="AJ57" s="436">
        <f t="shared" si="17"/>
        <v>0</v>
      </c>
      <c r="AK57" s="437">
        <f t="shared" si="18"/>
        <v>2030.6999999999998</v>
      </c>
      <c r="AL57" s="437">
        <f t="shared" si="19"/>
        <v>0</v>
      </c>
      <c r="AM57" s="437">
        <f t="shared" si="20"/>
        <v>0</v>
      </c>
      <c r="AN57" s="437">
        <f t="shared" si="21"/>
        <v>0</v>
      </c>
      <c r="AO57" s="437">
        <f t="shared" si="22"/>
        <v>0</v>
      </c>
      <c r="AP57" s="437">
        <f t="shared" si="23"/>
        <v>6769</v>
      </c>
      <c r="AQ57" s="437">
        <f t="shared" si="23"/>
        <v>0</v>
      </c>
      <c r="AR57" s="436"/>
      <c r="AS57" s="437">
        <f t="shared" si="10"/>
        <v>6769</v>
      </c>
    </row>
    <row r="58" spans="1:45" s="438" customFormat="1" ht="24.95" customHeight="1">
      <c r="A58" s="1134"/>
      <c r="B58" s="1134"/>
      <c r="C58" s="1139"/>
      <c r="D58" s="1134"/>
      <c r="E58" s="1134"/>
      <c r="F58" s="1134"/>
      <c r="G58" s="1112"/>
      <c r="H58" s="1134"/>
      <c r="I58" s="1112"/>
      <c r="J58" s="1134"/>
      <c r="K58" s="1134"/>
      <c r="L58" s="1134"/>
      <c r="M58" s="1134"/>
      <c r="N58" s="1112"/>
      <c r="O58" s="1112"/>
      <c r="P58" s="1112"/>
      <c r="Q58" s="1134"/>
      <c r="R58" s="1134"/>
      <c r="S58" s="1134"/>
      <c r="T58" s="1134"/>
      <c r="U58" s="1138"/>
      <c r="V58" s="1112"/>
      <c r="W58" s="1112"/>
      <c r="X58" s="1112"/>
      <c r="Y58" s="1112"/>
      <c r="Z58" s="1112"/>
      <c r="AA58" s="1109"/>
      <c r="AB58" s="1109"/>
      <c r="AC58" s="1112"/>
      <c r="AD58" s="1112"/>
      <c r="AE58" s="436">
        <f t="shared" si="13"/>
        <v>0</v>
      </c>
      <c r="AF58" s="436">
        <f t="shared" si="14"/>
        <v>0</v>
      </c>
      <c r="AG58" s="436">
        <f t="shared" si="15"/>
        <v>0</v>
      </c>
      <c r="AH58" s="436">
        <f t="shared" si="16"/>
        <v>0</v>
      </c>
      <c r="AI58" s="436">
        <f t="shared" si="17"/>
        <v>0</v>
      </c>
      <c r="AJ58" s="436">
        <f t="shared" si="17"/>
        <v>0</v>
      </c>
      <c r="AK58" s="437">
        <f t="shared" si="18"/>
        <v>0</v>
      </c>
      <c r="AL58" s="437">
        <f t="shared" si="19"/>
        <v>0</v>
      </c>
      <c r="AM58" s="437">
        <f t="shared" si="20"/>
        <v>0</v>
      </c>
      <c r="AN58" s="437">
        <f t="shared" si="21"/>
        <v>0</v>
      </c>
      <c r="AO58" s="437">
        <f t="shared" si="22"/>
        <v>0</v>
      </c>
      <c r="AP58" s="437">
        <f t="shared" si="23"/>
        <v>0</v>
      </c>
      <c r="AQ58" s="437">
        <f t="shared" si="23"/>
        <v>0</v>
      </c>
      <c r="AR58" s="436"/>
      <c r="AS58" s="437">
        <f t="shared" si="10"/>
        <v>0</v>
      </c>
    </row>
    <row r="59" spans="1:45" s="438" customFormat="1" ht="24.95" customHeight="1">
      <c r="A59" s="1134"/>
      <c r="B59" s="1134"/>
      <c r="C59" s="1139" t="s">
        <v>485</v>
      </c>
      <c r="D59" s="1134" t="s">
        <v>486</v>
      </c>
      <c r="E59" s="1134" t="s">
        <v>317</v>
      </c>
      <c r="F59" s="1134">
        <v>13</v>
      </c>
      <c r="G59" s="1112">
        <v>6769</v>
      </c>
      <c r="H59" s="1112"/>
      <c r="I59" s="1112"/>
      <c r="J59" s="1112"/>
      <c r="K59" s="1112"/>
      <c r="L59" s="1112"/>
      <c r="M59" s="1112"/>
      <c r="N59" s="1112">
        <f>G59+I60</f>
        <v>6769</v>
      </c>
      <c r="O59" s="1112"/>
      <c r="P59" s="1112">
        <f>0.5-0.25</f>
        <v>0.25</v>
      </c>
      <c r="Q59" s="1112"/>
      <c r="R59" s="1112"/>
      <c r="S59" s="1112"/>
      <c r="T59" s="1140">
        <v>18</v>
      </c>
      <c r="U59" s="1138">
        <v>0.2</v>
      </c>
      <c r="V59" s="1112">
        <f>N59*U59</f>
        <v>1353.8000000000002</v>
      </c>
      <c r="W59" s="1112"/>
      <c r="X59" s="1112">
        <f>(N59+V59)*P59</f>
        <v>2030.7</v>
      </c>
      <c r="Y59" s="1112">
        <f>AB59</f>
        <v>2969.3</v>
      </c>
      <c r="Z59" s="1112">
        <f>X59+Y59</f>
        <v>5000</v>
      </c>
      <c r="AA59" s="1109">
        <f>20000*P59</f>
        <v>5000</v>
      </c>
      <c r="AB59" s="1109">
        <f>AA59-X59</f>
        <v>2969.3</v>
      </c>
      <c r="AC59" s="1112">
        <f>6700*P59</f>
        <v>1675</v>
      </c>
      <c r="AD59" s="1112">
        <f>X59-AC59</f>
        <v>355.70000000000005</v>
      </c>
      <c r="AE59" s="436">
        <f t="shared" si="13"/>
        <v>0</v>
      </c>
      <c r="AF59" s="436">
        <f t="shared" si="14"/>
        <v>1692.25</v>
      </c>
      <c r="AG59" s="436">
        <f t="shared" si="15"/>
        <v>0</v>
      </c>
      <c r="AH59" s="436">
        <f t="shared" si="16"/>
        <v>1692.25</v>
      </c>
      <c r="AI59" s="436">
        <f t="shared" si="17"/>
        <v>0</v>
      </c>
      <c r="AJ59" s="436">
        <f t="shared" si="17"/>
        <v>0</v>
      </c>
      <c r="AK59" s="437">
        <f t="shared" si="18"/>
        <v>0</v>
      </c>
      <c r="AL59" s="437">
        <f t="shared" si="19"/>
        <v>338.45000000000005</v>
      </c>
      <c r="AM59" s="437">
        <f t="shared" si="20"/>
        <v>0</v>
      </c>
      <c r="AN59" s="437">
        <f t="shared" si="21"/>
        <v>0</v>
      </c>
      <c r="AO59" s="437">
        <f t="shared" si="22"/>
        <v>0</v>
      </c>
      <c r="AP59" s="437">
        <f t="shared" si="23"/>
        <v>0</v>
      </c>
      <c r="AQ59" s="437">
        <f t="shared" si="23"/>
        <v>1692.25</v>
      </c>
      <c r="AR59" s="436"/>
      <c r="AS59" s="437">
        <f t="shared" si="10"/>
        <v>1692.25</v>
      </c>
    </row>
    <row r="60" spans="1:45" s="438" customFormat="1" ht="24.95" customHeight="1">
      <c r="A60" s="1134"/>
      <c r="B60" s="1134"/>
      <c r="C60" s="1139"/>
      <c r="D60" s="1134"/>
      <c r="E60" s="1134"/>
      <c r="F60" s="1134"/>
      <c r="G60" s="1112"/>
      <c r="H60" s="1112"/>
      <c r="I60" s="1112"/>
      <c r="J60" s="1112"/>
      <c r="K60" s="1112"/>
      <c r="L60" s="1112"/>
      <c r="M60" s="1112"/>
      <c r="N60" s="1112"/>
      <c r="O60" s="1112"/>
      <c r="P60" s="1112"/>
      <c r="Q60" s="1112"/>
      <c r="R60" s="1112"/>
      <c r="S60" s="1112"/>
      <c r="T60" s="1140"/>
      <c r="U60" s="1138"/>
      <c r="V60" s="1112"/>
      <c r="W60" s="1112"/>
      <c r="X60" s="1112"/>
      <c r="Y60" s="1112"/>
      <c r="Z60" s="1112"/>
      <c r="AA60" s="1109"/>
      <c r="AB60" s="1109"/>
      <c r="AC60" s="1112"/>
      <c r="AD60" s="1112"/>
      <c r="AE60" s="436">
        <f t="shared" si="13"/>
        <v>0</v>
      </c>
      <c r="AF60" s="436">
        <f t="shared" si="14"/>
        <v>0</v>
      </c>
      <c r="AG60" s="436">
        <f t="shared" si="15"/>
        <v>0</v>
      </c>
      <c r="AH60" s="436">
        <f t="shared" si="16"/>
        <v>0</v>
      </c>
      <c r="AI60" s="436">
        <f t="shared" si="17"/>
        <v>0</v>
      </c>
      <c r="AJ60" s="436">
        <f t="shared" si="17"/>
        <v>0</v>
      </c>
      <c r="AK60" s="437">
        <f t="shared" si="18"/>
        <v>0</v>
      </c>
      <c r="AL60" s="437">
        <f t="shared" si="19"/>
        <v>0</v>
      </c>
      <c r="AM60" s="437">
        <f t="shared" si="20"/>
        <v>0</v>
      </c>
      <c r="AN60" s="437">
        <f t="shared" si="21"/>
        <v>0</v>
      </c>
      <c r="AO60" s="437">
        <f t="shared" si="22"/>
        <v>0</v>
      </c>
      <c r="AP60" s="437">
        <f t="shared" si="23"/>
        <v>0</v>
      </c>
      <c r="AQ60" s="437">
        <f t="shared" si="23"/>
        <v>0</v>
      </c>
      <c r="AR60" s="436"/>
      <c r="AS60" s="437">
        <f t="shared" si="10"/>
        <v>0</v>
      </c>
    </row>
    <row r="61" spans="1:45" s="438" customFormat="1" ht="24.95" customHeight="1">
      <c r="A61" s="1134"/>
      <c r="B61" s="1134"/>
      <c r="C61" s="1139" t="s">
        <v>487</v>
      </c>
      <c r="D61" s="1134" t="s">
        <v>488</v>
      </c>
      <c r="E61" s="1134" t="s">
        <v>489</v>
      </c>
      <c r="F61" s="1134">
        <v>11</v>
      </c>
      <c r="G61" s="1112">
        <v>5875</v>
      </c>
      <c r="H61" s="1112"/>
      <c r="I61" s="435">
        <v>0.15</v>
      </c>
      <c r="J61" s="1112"/>
      <c r="K61" s="1112"/>
      <c r="L61" s="1140"/>
      <c r="M61" s="1140"/>
      <c r="N61" s="1112">
        <f>G61+I62</f>
        <v>6756.25</v>
      </c>
      <c r="O61" s="1112">
        <v>1</v>
      </c>
      <c r="P61" s="1112"/>
      <c r="Q61" s="1140"/>
      <c r="R61" s="1140"/>
      <c r="S61" s="1140"/>
      <c r="T61" s="1140">
        <v>1</v>
      </c>
      <c r="U61" s="1138">
        <v>0</v>
      </c>
      <c r="V61" s="1112">
        <f>N61*U61</f>
        <v>0</v>
      </c>
      <c r="W61" s="1112"/>
      <c r="X61" s="1112">
        <f>(N61+V61)*O61</f>
        <v>6756.25</v>
      </c>
      <c r="Y61" s="1112">
        <f>AB61</f>
        <v>13243.75</v>
      </c>
      <c r="Z61" s="1112">
        <f>X61+Y61</f>
        <v>20000</v>
      </c>
      <c r="AA61" s="1109">
        <f>20000*O61</f>
        <v>20000</v>
      </c>
      <c r="AB61" s="1109">
        <f>AA61-X61</f>
        <v>13243.75</v>
      </c>
      <c r="AC61" s="1112">
        <f>6700*O61</f>
        <v>6700</v>
      </c>
      <c r="AD61" s="1112">
        <f>X61-AC61</f>
        <v>56.25</v>
      </c>
      <c r="AE61" s="436">
        <f t="shared" si="13"/>
        <v>5875</v>
      </c>
      <c r="AF61" s="436">
        <f t="shared" si="14"/>
        <v>0</v>
      </c>
      <c r="AG61" s="436">
        <f t="shared" si="15"/>
        <v>6756.25</v>
      </c>
      <c r="AH61" s="436">
        <f t="shared" si="16"/>
        <v>0</v>
      </c>
      <c r="AI61" s="436">
        <f t="shared" si="17"/>
        <v>881.25</v>
      </c>
      <c r="AJ61" s="436">
        <f t="shared" si="17"/>
        <v>0</v>
      </c>
      <c r="AK61" s="437">
        <f t="shared" si="18"/>
        <v>0</v>
      </c>
      <c r="AL61" s="437">
        <f t="shared" si="19"/>
        <v>0</v>
      </c>
      <c r="AM61" s="437">
        <f t="shared" si="20"/>
        <v>0</v>
      </c>
      <c r="AN61" s="437">
        <f t="shared" si="21"/>
        <v>0</v>
      </c>
      <c r="AO61" s="437">
        <f t="shared" si="22"/>
        <v>0</v>
      </c>
      <c r="AP61" s="437">
        <f t="shared" si="23"/>
        <v>6756.25</v>
      </c>
      <c r="AQ61" s="437">
        <f t="shared" si="23"/>
        <v>0</v>
      </c>
      <c r="AR61" s="436"/>
      <c r="AS61" s="437">
        <f t="shared" si="10"/>
        <v>6756.25</v>
      </c>
    </row>
    <row r="62" spans="1:45" s="438" customFormat="1" ht="24.95" customHeight="1">
      <c r="A62" s="1134"/>
      <c r="B62" s="1134"/>
      <c r="C62" s="1139"/>
      <c r="D62" s="1134"/>
      <c r="E62" s="1134"/>
      <c r="F62" s="1134"/>
      <c r="G62" s="1112"/>
      <c r="H62" s="1112"/>
      <c r="I62" s="450">
        <f>G61*I61</f>
        <v>881.25</v>
      </c>
      <c r="J62" s="1112"/>
      <c r="K62" s="1112"/>
      <c r="L62" s="1140"/>
      <c r="M62" s="1140"/>
      <c r="N62" s="1112"/>
      <c r="O62" s="1112"/>
      <c r="P62" s="1112"/>
      <c r="Q62" s="1140"/>
      <c r="R62" s="1140"/>
      <c r="S62" s="1140"/>
      <c r="T62" s="1140"/>
      <c r="U62" s="1138"/>
      <c r="V62" s="1112"/>
      <c r="W62" s="1112"/>
      <c r="X62" s="1112"/>
      <c r="Y62" s="1112"/>
      <c r="Z62" s="1112"/>
      <c r="AA62" s="1109"/>
      <c r="AB62" s="1109"/>
      <c r="AC62" s="1112"/>
      <c r="AD62" s="1112"/>
      <c r="AE62" s="436">
        <f t="shared" si="13"/>
        <v>0</v>
      </c>
      <c r="AF62" s="436">
        <f t="shared" si="14"/>
        <v>0</v>
      </c>
      <c r="AG62" s="436">
        <f t="shared" si="15"/>
        <v>0</v>
      </c>
      <c r="AH62" s="436">
        <f t="shared" si="16"/>
        <v>0</v>
      </c>
      <c r="AI62" s="436">
        <f t="shared" si="17"/>
        <v>0</v>
      </c>
      <c r="AJ62" s="436">
        <f t="shared" si="17"/>
        <v>0</v>
      </c>
      <c r="AK62" s="437">
        <f t="shared" si="18"/>
        <v>0</v>
      </c>
      <c r="AL62" s="437">
        <f t="shared" si="19"/>
        <v>0</v>
      </c>
      <c r="AM62" s="437">
        <f t="shared" si="20"/>
        <v>0</v>
      </c>
      <c r="AN62" s="437">
        <f t="shared" si="21"/>
        <v>0</v>
      </c>
      <c r="AO62" s="437">
        <f t="shared" si="22"/>
        <v>0</v>
      </c>
      <c r="AP62" s="437">
        <f t="shared" si="23"/>
        <v>0</v>
      </c>
      <c r="AQ62" s="437">
        <f t="shared" si="23"/>
        <v>0</v>
      </c>
      <c r="AR62" s="436"/>
      <c r="AS62" s="437">
        <f t="shared" si="10"/>
        <v>0</v>
      </c>
    </row>
    <row r="63" spans="1:45" s="438" customFormat="1" ht="24.95" customHeight="1">
      <c r="A63" s="1134"/>
      <c r="B63" s="1134"/>
      <c r="C63" s="1139" t="s">
        <v>490</v>
      </c>
      <c r="D63" s="1134" t="s">
        <v>1005</v>
      </c>
      <c r="E63" s="1134" t="s">
        <v>491</v>
      </c>
      <c r="F63" s="1134">
        <v>10</v>
      </c>
      <c r="G63" s="1112">
        <v>5427</v>
      </c>
      <c r="H63" s="1134"/>
      <c r="I63" s="1134"/>
      <c r="J63" s="1134"/>
      <c r="K63" s="1134"/>
      <c r="L63" s="435">
        <v>0.15</v>
      </c>
      <c r="M63" s="1138"/>
      <c r="N63" s="1112">
        <f>G63+I64+L64</f>
        <v>6241.05</v>
      </c>
      <c r="O63" s="1112">
        <v>1</v>
      </c>
      <c r="P63" s="1112"/>
      <c r="Q63" s="1166"/>
      <c r="R63" s="1138"/>
      <c r="S63" s="1166"/>
      <c r="T63" s="1166">
        <v>8</v>
      </c>
      <c r="U63" s="1138">
        <v>0.1</v>
      </c>
      <c r="V63" s="1112">
        <f>N63*U63</f>
        <v>624.10500000000002</v>
      </c>
      <c r="W63" s="1112"/>
      <c r="X63" s="1112">
        <f>(N63+V63)*O63</f>
        <v>6865.1550000000007</v>
      </c>
      <c r="Y63" s="1112">
        <f>AB63</f>
        <v>13134.844999999999</v>
      </c>
      <c r="Z63" s="1112">
        <f>X63+Y63</f>
        <v>20000</v>
      </c>
      <c r="AA63" s="1109">
        <f>20000*O63</f>
        <v>20000</v>
      </c>
      <c r="AB63" s="1109">
        <f>AA63-X63</f>
        <v>13134.844999999999</v>
      </c>
      <c r="AC63" s="1112">
        <f>6700*O63</f>
        <v>6700</v>
      </c>
      <c r="AD63" s="1112">
        <f>X63-AC63</f>
        <v>165.15500000000065</v>
      </c>
      <c r="AE63" s="436">
        <f>G63*O63</f>
        <v>5427</v>
      </c>
      <c r="AF63" s="436">
        <f>G63*P63</f>
        <v>0</v>
      </c>
      <c r="AG63" s="436">
        <f>N63*O63</f>
        <v>6241.05</v>
      </c>
      <c r="AH63" s="436">
        <f>N63*P63</f>
        <v>0</v>
      </c>
      <c r="AI63" s="436">
        <f>AG63-AE63</f>
        <v>814.05000000000018</v>
      </c>
      <c r="AJ63" s="436">
        <f>AH63-AF63</f>
        <v>0</v>
      </c>
      <c r="AK63" s="437">
        <f>V63*O63</f>
        <v>624.10500000000002</v>
      </c>
      <c r="AL63" s="437">
        <f>V63*P63</f>
        <v>0</v>
      </c>
      <c r="AM63" s="437">
        <f>W63</f>
        <v>0</v>
      </c>
      <c r="AN63" s="437">
        <f>S63*O63</f>
        <v>0</v>
      </c>
      <c r="AO63" s="437">
        <f>S63*P63</f>
        <v>0</v>
      </c>
      <c r="AP63" s="437">
        <f>AG63</f>
        <v>6241.05</v>
      </c>
      <c r="AQ63" s="437">
        <f>AH63</f>
        <v>0</v>
      </c>
      <c r="AR63" s="436"/>
      <c r="AS63" s="437">
        <f>AP63+AQ63-AR63</f>
        <v>6241.05</v>
      </c>
    </row>
    <row r="64" spans="1:45" s="438" customFormat="1" ht="24.95" customHeight="1">
      <c r="A64" s="1134"/>
      <c r="B64" s="1134"/>
      <c r="C64" s="1139"/>
      <c r="D64" s="1134"/>
      <c r="E64" s="1134"/>
      <c r="F64" s="1134"/>
      <c r="G64" s="1134"/>
      <c r="H64" s="1134"/>
      <c r="I64" s="1134"/>
      <c r="J64" s="1134"/>
      <c r="K64" s="1134"/>
      <c r="L64" s="449">
        <f>G63*L63</f>
        <v>814.05</v>
      </c>
      <c r="M64" s="1134"/>
      <c r="N64" s="1112"/>
      <c r="O64" s="1112"/>
      <c r="P64" s="1112"/>
      <c r="Q64" s="1166"/>
      <c r="R64" s="1134"/>
      <c r="S64" s="1166"/>
      <c r="T64" s="1166"/>
      <c r="U64" s="1138"/>
      <c r="V64" s="1112"/>
      <c r="W64" s="1112"/>
      <c r="X64" s="1112"/>
      <c r="Y64" s="1112"/>
      <c r="Z64" s="1112"/>
      <c r="AA64" s="1109"/>
      <c r="AB64" s="1109"/>
      <c r="AC64" s="1112"/>
      <c r="AD64" s="1112"/>
      <c r="AE64" s="436">
        <f>G64*O64</f>
        <v>0</v>
      </c>
      <c r="AF64" s="436">
        <f>G64*P64</f>
        <v>0</v>
      </c>
      <c r="AG64" s="436">
        <f>N64*O64</f>
        <v>0</v>
      </c>
      <c r="AH64" s="436">
        <f>N64*P64</f>
        <v>0</v>
      </c>
      <c r="AI64" s="436">
        <f>AG64-AE64</f>
        <v>0</v>
      </c>
      <c r="AJ64" s="436">
        <f>AH64-AF64</f>
        <v>0</v>
      </c>
      <c r="AK64" s="437">
        <f>V64*O64</f>
        <v>0</v>
      </c>
      <c r="AL64" s="437">
        <f>V64*P64</f>
        <v>0</v>
      </c>
      <c r="AM64" s="437">
        <f>W64</f>
        <v>0</v>
      </c>
      <c r="AN64" s="437">
        <f>S64*O64</f>
        <v>0</v>
      </c>
      <c r="AO64" s="437">
        <f>S64*P64</f>
        <v>0</v>
      </c>
      <c r="AP64" s="437">
        <f>AG64</f>
        <v>0</v>
      </c>
      <c r="AQ64" s="437">
        <f>AH64</f>
        <v>0</v>
      </c>
      <c r="AR64" s="436"/>
      <c r="AS64" s="437">
        <f>AP64+AQ64-AR64</f>
        <v>0</v>
      </c>
    </row>
    <row r="65" spans="1:45" s="438" customFormat="1" ht="24.95" customHeight="1">
      <c r="A65" s="1134"/>
      <c r="B65" s="1134"/>
      <c r="C65" s="1139" t="s">
        <v>490</v>
      </c>
      <c r="D65" s="1134" t="s">
        <v>492</v>
      </c>
      <c r="E65" s="1134" t="s">
        <v>493</v>
      </c>
      <c r="F65" s="1134">
        <v>12</v>
      </c>
      <c r="G65" s="1112">
        <v>6322</v>
      </c>
      <c r="H65" s="1134"/>
      <c r="I65" s="1134"/>
      <c r="J65" s="1134"/>
      <c r="K65" s="1134"/>
      <c r="L65" s="435">
        <v>0.15</v>
      </c>
      <c r="M65" s="1138"/>
      <c r="N65" s="1112">
        <f>G65+I66+L66</f>
        <v>7270.3</v>
      </c>
      <c r="O65" s="1112"/>
      <c r="P65" s="1112">
        <v>0.5</v>
      </c>
      <c r="Q65" s="1166"/>
      <c r="R65" s="1138"/>
      <c r="S65" s="1166"/>
      <c r="T65" s="1166">
        <v>14</v>
      </c>
      <c r="U65" s="1138">
        <v>0.2</v>
      </c>
      <c r="V65" s="1112">
        <f>N65*U65</f>
        <v>1454.0600000000002</v>
      </c>
      <c r="W65" s="1112"/>
      <c r="X65" s="1112">
        <f>(N65+V65)*P65</f>
        <v>4362.18</v>
      </c>
      <c r="Y65" s="1113">
        <f>AB65</f>
        <v>5637.82</v>
      </c>
      <c r="Z65" s="1113">
        <f>X65+Y65</f>
        <v>10000</v>
      </c>
      <c r="AA65" s="1110">
        <f>20000*P65</f>
        <v>10000</v>
      </c>
      <c r="AB65" s="1110">
        <f>AA65-X65</f>
        <v>5637.82</v>
      </c>
      <c r="AC65" s="1112">
        <f>6700*P65</f>
        <v>3350</v>
      </c>
      <c r="AD65" s="1112">
        <f>X65-AC65</f>
        <v>1012.1800000000003</v>
      </c>
      <c r="AE65" s="436">
        <f t="shared" si="13"/>
        <v>0</v>
      </c>
      <c r="AF65" s="436">
        <f t="shared" si="14"/>
        <v>3161</v>
      </c>
      <c r="AG65" s="436">
        <f t="shared" si="15"/>
        <v>0</v>
      </c>
      <c r="AH65" s="436">
        <f t="shared" si="16"/>
        <v>3635.15</v>
      </c>
      <c r="AI65" s="436">
        <f t="shared" si="17"/>
        <v>0</v>
      </c>
      <c r="AJ65" s="436">
        <f t="shared" si="17"/>
        <v>474.15000000000009</v>
      </c>
      <c r="AK65" s="437">
        <f t="shared" si="18"/>
        <v>0</v>
      </c>
      <c r="AL65" s="437">
        <f t="shared" si="19"/>
        <v>727.03000000000009</v>
      </c>
      <c r="AM65" s="437">
        <f t="shared" si="20"/>
        <v>0</v>
      </c>
      <c r="AN65" s="437">
        <f t="shared" si="21"/>
        <v>0</v>
      </c>
      <c r="AO65" s="437">
        <f t="shared" si="22"/>
        <v>0</v>
      </c>
      <c r="AP65" s="437">
        <f t="shared" si="23"/>
        <v>0</v>
      </c>
      <c r="AQ65" s="437">
        <f t="shared" si="23"/>
        <v>3635.15</v>
      </c>
      <c r="AR65" s="436"/>
      <c r="AS65" s="437">
        <f t="shared" si="10"/>
        <v>3635.15</v>
      </c>
    </row>
    <row r="66" spans="1:45" s="438" customFormat="1" ht="24.95" customHeight="1">
      <c r="A66" s="1134"/>
      <c r="B66" s="1134"/>
      <c r="C66" s="1139"/>
      <c r="D66" s="1134"/>
      <c r="E66" s="1134"/>
      <c r="F66" s="1134"/>
      <c r="G66" s="1134"/>
      <c r="H66" s="1134"/>
      <c r="I66" s="1134"/>
      <c r="J66" s="1134"/>
      <c r="K66" s="1134"/>
      <c r="L66" s="449">
        <f>G65*L65</f>
        <v>948.3</v>
      </c>
      <c r="M66" s="1134"/>
      <c r="N66" s="1112"/>
      <c r="O66" s="1112"/>
      <c r="P66" s="1112"/>
      <c r="Q66" s="1166"/>
      <c r="R66" s="1134"/>
      <c r="S66" s="1166"/>
      <c r="T66" s="1166"/>
      <c r="U66" s="1138"/>
      <c r="V66" s="1112"/>
      <c r="W66" s="1112"/>
      <c r="X66" s="1112"/>
      <c r="Y66" s="1114"/>
      <c r="Z66" s="1114"/>
      <c r="AA66" s="1111"/>
      <c r="AB66" s="1111"/>
      <c r="AC66" s="1112"/>
      <c r="AD66" s="1112"/>
      <c r="AE66" s="436">
        <f t="shared" si="13"/>
        <v>0</v>
      </c>
      <c r="AF66" s="436">
        <f t="shared" si="14"/>
        <v>0</v>
      </c>
      <c r="AG66" s="436">
        <f t="shared" si="15"/>
        <v>0</v>
      </c>
      <c r="AH66" s="436">
        <f t="shared" si="16"/>
        <v>0</v>
      </c>
      <c r="AI66" s="436">
        <f t="shared" si="17"/>
        <v>0</v>
      </c>
      <c r="AJ66" s="436">
        <f t="shared" si="17"/>
        <v>0</v>
      </c>
      <c r="AK66" s="437">
        <f t="shared" si="18"/>
        <v>0</v>
      </c>
      <c r="AL66" s="437">
        <f t="shared" si="19"/>
        <v>0</v>
      </c>
      <c r="AM66" s="437">
        <f t="shared" si="20"/>
        <v>0</v>
      </c>
      <c r="AN66" s="437">
        <f t="shared" si="21"/>
        <v>0</v>
      </c>
      <c r="AO66" s="437">
        <f t="shared" si="22"/>
        <v>0</v>
      </c>
      <c r="AP66" s="437">
        <f t="shared" si="23"/>
        <v>0</v>
      </c>
      <c r="AQ66" s="437">
        <f t="shared" si="23"/>
        <v>0</v>
      </c>
      <c r="AR66" s="436"/>
      <c r="AS66" s="437">
        <f t="shared" si="10"/>
        <v>0</v>
      </c>
    </row>
    <row r="67" spans="1:45" s="446" customFormat="1" ht="24.95" customHeight="1">
      <c r="A67" s="441"/>
      <c r="B67" s="441"/>
      <c r="C67" s="442" t="s">
        <v>318</v>
      </c>
      <c r="D67" s="443"/>
      <c r="E67" s="443"/>
      <c r="F67" s="441"/>
      <c r="G67" s="445">
        <f>SUM(G25:G66)</f>
        <v>135441</v>
      </c>
      <c r="H67" s="445"/>
      <c r="I67" s="445"/>
      <c r="J67" s="445"/>
      <c r="K67" s="445"/>
      <c r="L67" s="445"/>
      <c r="M67" s="445"/>
      <c r="N67" s="445">
        <f>SUM(N25:N66)</f>
        <v>152602.59999999998</v>
      </c>
      <c r="O67" s="444">
        <f>SUM(O25:O66)</f>
        <v>10.25</v>
      </c>
      <c r="P67" s="444">
        <f>SUM(P25:P66)</f>
        <v>3.5</v>
      </c>
      <c r="Q67" s="445"/>
      <c r="R67" s="445"/>
      <c r="S67" s="445"/>
      <c r="T67" s="445"/>
      <c r="U67" s="445"/>
      <c r="V67" s="445">
        <f t="shared" ref="V67:AB67" si="24">SUM(V25:V66)</f>
        <v>30143.29</v>
      </c>
      <c r="W67" s="451">
        <f t="shared" si="24"/>
        <v>1273</v>
      </c>
      <c r="X67" s="445">
        <f t="shared" si="24"/>
        <v>120630.34625</v>
      </c>
      <c r="Y67" s="451">
        <f t="shared" si="24"/>
        <v>154369.65375000003</v>
      </c>
      <c r="Z67" s="445">
        <f t="shared" si="24"/>
        <v>275000</v>
      </c>
      <c r="AA67" s="501">
        <f t="shared" si="24"/>
        <v>275000</v>
      </c>
      <c r="AB67" s="502">
        <f t="shared" si="24"/>
        <v>154369.65375000003</v>
      </c>
      <c r="AC67" s="444">
        <f>SUM(AC41)</f>
        <v>3350</v>
      </c>
      <c r="AD67" s="444">
        <f>SUM(AD41)</f>
        <v>1790.625</v>
      </c>
      <c r="AE67" s="436"/>
      <c r="AF67" s="436"/>
      <c r="AG67" s="436"/>
      <c r="AH67" s="436"/>
      <c r="AI67" s="436"/>
      <c r="AJ67" s="436"/>
      <c r="AK67" s="437"/>
      <c r="AL67" s="437"/>
      <c r="AM67" s="437"/>
      <c r="AN67" s="437"/>
      <c r="AO67" s="437"/>
      <c r="AP67" s="437">
        <f>SUM(AP25:AP66)</f>
        <v>73452.75</v>
      </c>
      <c r="AQ67" s="437">
        <f>SUM(AQ25:AQ66)</f>
        <v>26302.237500000003</v>
      </c>
      <c r="AR67" s="437">
        <f>SUM(AR25:AR66)</f>
        <v>0</v>
      </c>
      <c r="AS67" s="437">
        <f>SUM(AS25:AS66)</f>
        <v>99754.987500000003</v>
      </c>
    </row>
    <row r="68" spans="1:45" s="446" customFormat="1" ht="54.75" customHeight="1">
      <c r="A68" s="441"/>
      <c r="B68" s="441"/>
      <c r="C68" s="1136" t="s">
        <v>1006</v>
      </c>
      <c r="D68" s="1136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4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503"/>
      <c r="AB68" s="503"/>
      <c r="AC68" s="441"/>
      <c r="AD68" s="441"/>
      <c r="AE68" s="436">
        <f t="shared" ref="AE68:AE141" si="25">G68*O68</f>
        <v>0</v>
      </c>
      <c r="AF68" s="436">
        <f t="shared" ref="AF68:AF141" si="26">G68*P68</f>
        <v>0</v>
      </c>
      <c r="AG68" s="436">
        <f t="shared" ref="AG68:AG141" si="27">N68*O68</f>
        <v>0</v>
      </c>
      <c r="AH68" s="436">
        <f t="shared" ref="AH68:AH141" si="28">N68*P68</f>
        <v>0</v>
      </c>
      <c r="AI68" s="436">
        <f t="shared" ref="AI68:AJ141" si="29">AG68-AE68</f>
        <v>0</v>
      </c>
      <c r="AJ68" s="436">
        <f t="shared" si="29"/>
        <v>0</v>
      </c>
      <c r="AK68" s="437">
        <f t="shared" ref="AK68:AK141" si="30">V68*O68</f>
        <v>0</v>
      </c>
      <c r="AL68" s="437">
        <f t="shared" ref="AL68:AL141" si="31">V68*P68</f>
        <v>0</v>
      </c>
      <c r="AM68" s="437">
        <f t="shared" ref="AM68:AM141" si="32">W68</f>
        <v>0</v>
      </c>
      <c r="AN68" s="437">
        <f t="shared" ref="AN68:AN94" si="33">S68*O68</f>
        <v>0</v>
      </c>
      <c r="AO68" s="437">
        <f t="shared" ref="AO68:AO94" si="34">S68*P68</f>
        <v>0</v>
      </c>
      <c r="AP68" s="437">
        <f t="shared" si="23"/>
        <v>0</v>
      </c>
      <c r="AQ68" s="437">
        <f t="shared" si="23"/>
        <v>0</v>
      </c>
      <c r="AR68" s="436"/>
      <c r="AS68" s="437">
        <f t="shared" si="10"/>
        <v>0</v>
      </c>
    </row>
    <row r="69" spans="1:45" s="438" customFormat="1" ht="24.95" customHeight="1">
      <c r="A69" s="1134"/>
      <c r="B69" s="1134"/>
      <c r="C69" s="1139" t="s">
        <v>494</v>
      </c>
      <c r="D69" s="1134" t="s">
        <v>495</v>
      </c>
      <c r="E69" s="1134" t="s">
        <v>496</v>
      </c>
      <c r="F69" s="1134">
        <v>14</v>
      </c>
      <c r="G69" s="1112">
        <v>7216</v>
      </c>
      <c r="H69" s="435">
        <v>0.25</v>
      </c>
      <c r="I69" s="435">
        <v>0.4</v>
      </c>
      <c r="J69" s="1138"/>
      <c r="K69" s="1134"/>
      <c r="L69" s="1134"/>
      <c r="M69" s="1134"/>
      <c r="N69" s="1112">
        <f>G69+H70+I70</f>
        <v>12628</v>
      </c>
      <c r="O69" s="1112">
        <v>1</v>
      </c>
      <c r="P69" s="1140"/>
      <c r="Q69" s="1134"/>
      <c r="R69" s="1134"/>
      <c r="S69" s="1134"/>
      <c r="T69" s="1134">
        <v>28</v>
      </c>
      <c r="U69" s="1138">
        <v>0.3</v>
      </c>
      <c r="V69" s="1112">
        <f>N69*U69</f>
        <v>3788.3999999999996</v>
      </c>
      <c r="W69" s="1112"/>
      <c r="X69" s="1112">
        <f>(N69+V69)*O69</f>
        <v>16416.400000000001</v>
      </c>
      <c r="Y69" s="1112">
        <f>AB69</f>
        <v>3583.5999999999985</v>
      </c>
      <c r="Z69" s="1112">
        <f>X69+Y69</f>
        <v>20000</v>
      </c>
      <c r="AA69" s="1109">
        <f>20000*O69</f>
        <v>20000</v>
      </c>
      <c r="AB69" s="1109">
        <f>AA69-X69</f>
        <v>3583.5999999999985</v>
      </c>
      <c r="AC69" s="1112">
        <f>6700*O69</f>
        <v>6700</v>
      </c>
      <c r="AD69" s="1112">
        <f>X69-AC69</f>
        <v>9716.4000000000015</v>
      </c>
      <c r="AE69" s="436">
        <f t="shared" si="25"/>
        <v>7216</v>
      </c>
      <c r="AF69" s="436">
        <f t="shared" si="26"/>
        <v>0</v>
      </c>
      <c r="AG69" s="436">
        <f t="shared" si="27"/>
        <v>12628</v>
      </c>
      <c r="AH69" s="436">
        <f t="shared" si="28"/>
        <v>0</v>
      </c>
      <c r="AI69" s="436">
        <f t="shared" si="29"/>
        <v>5412</v>
      </c>
      <c r="AJ69" s="436">
        <f t="shared" si="29"/>
        <v>0</v>
      </c>
      <c r="AK69" s="437">
        <f t="shared" si="30"/>
        <v>3788.3999999999996</v>
      </c>
      <c r="AL69" s="437">
        <f t="shared" si="31"/>
        <v>0</v>
      </c>
      <c r="AM69" s="437">
        <f t="shared" si="32"/>
        <v>0</v>
      </c>
      <c r="AN69" s="437">
        <f t="shared" si="33"/>
        <v>0</v>
      </c>
      <c r="AO69" s="437">
        <f t="shared" si="34"/>
        <v>0</v>
      </c>
      <c r="AP69" s="437">
        <f t="shared" ref="AP69:AQ146" si="35">AG69</f>
        <v>12628</v>
      </c>
      <c r="AQ69" s="437">
        <f t="shared" si="35"/>
        <v>0</v>
      </c>
      <c r="AR69" s="436"/>
      <c r="AS69" s="437">
        <f t="shared" si="10"/>
        <v>12628</v>
      </c>
    </row>
    <row r="70" spans="1:45" s="438" customFormat="1" ht="24.95" customHeight="1">
      <c r="A70" s="1134"/>
      <c r="B70" s="1134"/>
      <c r="C70" s="1139"/>
      <c r="D70" s="1134"/>
      <c r="E70" s="1134"/>
      <c r="F70" s="1134"/>
      <c r="G70" s="1112"/>
      <c r="H70" s="439">
        <f>G69*H69</f>
        <v>1804</v>
      </c>
      <c r="I70" s="448">
        <f>(G69+H70)*I69</f>
        <v>3608</v>
      </c>
      <c r="J70" s="1170"/>
      <c r="K70" s="1134"/>
      <c r="L70" s="1134"/>
      <c r="M70" s="1134"/>
      <c r="N70" s="1112"/>
      <c r="O70" s="1112"/>
      <c r="P70" s="1140"/>
      <c r="Q70" s="1134"/>
      <c r="R70" s="1134"/>
      <c r="S70" s="1134"/>
      <c r="T70" s="1134"/>
      <c r="U70" s="1138"/>
      <c r="V70" s="1112"/>
      <c r="W70" s="1112"/>
      <c r="X70" s="1112"/>
      <c r="Y70" s="1112"/>
      <c r="Z70" s="1112"/>
      <c r="AA70" s="1109"/>
      <c r="AB70" s="1109"/>
      <c r="AC70" s="1112"/>
      <c r="AD70" s="1112"/>
      <c r="AE70" s="436">
        <f t="shared" si="25"/>
        <v>0</v>
      </c>
      <c r="AF70" s="436">
        <f t="shared" si="26"/>
        <v>0</v>
      </c>
      <c r="AG70" s="436">
        <f t="shared" si="27"/>
        <v>0</v>
      </c>
      <c r="AH70" s="436">
        <f t="shared" si="28"/>
        <v>0</v>
      </c>
      <c r="AI70" s="436">
        <f t="shared" si="29"/>
        <v>0</v>
      </c>
      <c r="AJ70" s="436">
        <f t="shared" si="29"/>
        <v>0</v>
      </c>
      <c r="AK70" s="437">
        <f t="shared" si="30"/>
        <v>0</v>
      </c>
      <c r="AL70" s="437">
        <f t="shared" si="31"/>
        <v>0</v>
      </c>
      <c r="AM70" s="437">
        <f t="shared" si="32"/>
        <v>0</v>
      </c>
      <c r="AN70" s="437">
        <f t="shared" si="33"/>
        <v>0</v>
      </c>
      <c r="AO70" s="437">
        <f t="shared" si="34"/>
        <v>0</v>
      </c>
      <c r="AP70" s="437">
        <f t="shared" si="35"/>
        <v>0</v>
      </c>
      <c r="AQ70" s="437">
        <f t="shared" si="35"/>
        <v>0</v>
      </c>
      <c r="AR70" s="436"/>
      <c r="AS70" s="437">
        <f t="shared" si="10"/>
        <v>0</v>
      </c>
    </row>
    <row r="71" spans="1:45" s="438" customFormat="1" ht="23.25" customHeight="1">
      <c r="A71" s="1134"/>
      <c r="B71" s="1134"/>
      <c r="C71" s="1139" t="s">
        <v>322</v>
      </c>
      <c r="D71" s="1134" t="s">
        <v>497</v>
      </c>
      <c r="E71" s="1134" t="s">
        <v>498</v>
      </c>
      <c r="F71" s="1134">
        <v>14</v>
      </c>
      <c r="G71" s="1112">
        <v>7216</v>
      </c>
      <c r="H71" s="1134"/>
      <c r="I71" s="435">
        <v>0.2</v>
      </c>
      <c r="J71" s="1138"/>
      <c r="K71" s="1134"/>
      <c r="L71" s="1134"/>
      <c r="M71" s="1134"/>
      <c r="N71" s="1112">
        <f>G71+H72+I72</f>
        <v>8659.2000000000007</v>
      </c>
      <c r="O71" s="1112">
        <v>1</v>
      </c>
      <c r="P71" s="1140"/>
      <c r="Q71" s="1134"/>
      <c r="R71" s="1134"/>
      <c r="S71" s="1134"/>
      <c r="T71" s="1134">
        <v>32</v>
      </c>
      <c r="U71" s="1138">
        <v>0.3</v>
      </c>
      <c r="V71" s="1112">
        <f>N71*U71</f>
        <v>2597.7600000000002</v>
      </c>
      <c r="W71" s="1112"/>
      <c r="X71" s="1112">
        <f>(N71+V71)*O71</f>
        <v>11256.960000000001</v>
      </c>
      <c r="Y71" s="1112">
        <f>AB71</f>
        <v>8743.0399999999991</v>
      </c>
      <c r="Z71" s="1112">
        <f>X71+Y71</f>
        <v>20000</v>
      </c>
      <c r="AA71" s="1109">
        <f>20000*O71</f>
        <v>20000</v>
      </c>
      <c r="AB71" s="1109">
        <f>AA71-X71</f>
        <v>8743.0399999999991</v>
      </c>
      <c r="AC71" s="1112">
        <f>6700*O71</f>
        <v>6700</v>
      </c>
      <c r="AD71" s="1112">
        <f>X71-AC71</f>
        <v>4556.9600000000009</v>
      </c>
      <c r="AE71" s="436">
        <f>G71*O71</f>
        <v>7216</v>
      </c>
      <c r="AF71" s="436">
        <f>G71*P71</f>
        <v>0</v>
      </c>
      <c r="AG71" s="436">
        <f>N71*O71</f>
        <v>8659.2000000000007</v>
      </c>
      <c r="AH71" s="436">
        <f>N71*P71</f>
        <v>0</v>
      </c>
      <c r="AI71" s="436">
        <f>AG71-AE71</f>
        <v>1443.2000000000007</v>
      </c>
      <c r="AJ71" s="436">
        <f>AH71-AF71</f>
        <v>0</v>
      </c>
      <c r="AK71" s="437">
        <f>V71*O71</f>
        <v>2597.7600000000002</v>
      </c>
      <c r="AL71" s="437">
        <f>V71*P71</f>
        <v>0</v>
      </c>
      <c r="AM71" s="437">
        <f>W71</f>
        <v>0</v>
      </c>
      <c r="AN71" s="437">
        <f t="shared" si="33"/>
        <v>0</v>
      </c>
      <c r="AO71" s="437">
        <f t="shared" si="34"/>
        <v>0</v>
      </c>
      <c r="AP71" s="437">
        <f>AG71</f>
        <v>8659.2000000000007</v>
      </c>
      <c r="AQ71" s="437">
        <f>AH71</f>
        <v>0</v>
      </c>
      <c r="AR71" s="436"/>
      <c r="AS71" s="437">
        <f>AP71+AQ71-AR71</f>
        <v>8659.2000000000007</v>
      </c>
    </row>
    <row r="72" spans="1:45" s="438" customFormat="1">
      <c r="A72" s="1134"/>
      <c r="B72" s="1134"/>
      <c r="C72" s="1139"/>
      <c r="D72" s="1134"/>
      <c r="E72" s="1134"/>
      <c r="F72" s="1134"/>
      <c r="G72" s="1112"/>
      <c r="H72" s="1134"/>
      <c r="I72" s="448">
        <f>G71*I71</f>
        <v>1443.2</v>
      </c>
      <c r="J72" s="1170"/>
      <c r="K72" s="1134"/>
      <c r="L72" s="1134"/>
      <c r="M72" s="1134"/>
      <c r="N72" s="1112"/>
      <c r="O72" s="1112"/>
      <c r="P72" s="1140"/>
      <c r="Q72" s="1134"/>
      <c r="R72" s="1134"/>
      <c r="S72" s="1134"/>
      <c r="T72" s="1134"/>
      <c r="U72" s="1138"/>
      <c r="V72" s="1112"/>
      <c r="W72" s="1112"/>
      <c r="X72" s="1112"/>
      <c r="Y72" s="1112"/>
      <c r="Z72" s="1112"/>
      <c r="AA72" s="1109"/>
      <c r="AB72" s="1109"/>
      <c r="AC72" s="1112"/>
      <c r="AD72" s="1112"/>
      <c r="AE72" s="436">
        <f>G72*O72</f>
        <v>0</v>
      </c>
      <c r="AF72" s="436">
        <f>G72*P72</f>
        <v>0</v>
      </c>
      <c r="AG72" s="436">
        <f>N72*O72</f>
        <v>0</v>
      </c>
      <c r="AH72" s="436">
        <f>N72*P72</f>
        <v>0</v>
      </c>
      <c r="AI72" s="436">
        <f>AG72-AE72</f>
        <v>0</v>
      </c>
      <c r="AJ72" s="436">
        <f>AH72-AF72</f>
        <v>0</v>
      </c>
      <c r="AK72" s="437">
        <f>V72*O72</f>
        <v>0</v>
      </c>
      <c r="AL72" s="437">
        <f>V72*P72</f>
        <v>0</v>
      </c>
      <c r="AM72" s="437">
        <f>W72</f>
        <v>0</v>
      </c>
      <c r="AN72" s="437">
        <f t="shared" si="33"/>
        <v>0</v>
      </c>
      <c r="AO72" s="437">
        <f t="shared" si="34"/>
        <v>0</v>
      </c>
      <c r="AP72" s="437">
        <f>AG72</f>
        <v>0</v>
      </c>
      <c r="AQ72" s="437">
        <f>AH72</f>
        <v>0</v>
      </c>
      <c r="AR72" s="436"/>
      <c r="AS72" s="437">
        <f>AP72+AQ72-AR72</f>
        <v>0</v>
      </c>
    </row>
    <row r="73" spans="1:45" s="438" customFormat="1" ht="23.25" customHeight="1">
      <c r="A73" s="1134"/>
      <c r="B73" s="1134"/>
      <c r="C73" s="1139" t="s">
        <v>499</v>
      </c>
      <c r="D73" s="1134" t="s">
        <v>323</v>
      </c>
      <c r="E73" s="1134" t="s">
        <v>324</v>
      </c>
      <c r="F73" s="1134">
        <v>12</v>
      </c>
      <c r="G73" s="1112">
        <v>6322</v>
      </c>
      <c r="H73" s="1134"/>
      <c r="I73" s="435">
        <v>0.2</v>
      </c>
      <c r="J73" s="1138"/>
      <c r="K73" s="1134"/>
      <c r="L73" s="1134"/>
      <c r="M73" s="1134"/>
      <c r="N73" s="1112">
        <f>G73+H74+I74</f>
        <v>7586.4</v>
      </c>
      <c r="O73" s="1112">
        <v>0.75</v>
      </c>
      <c r="P73" s="1112"/>
      <c r="Q73" s="1134"/>
      <c r="R73" s="1134"/>
      <c r="S73" s="1134"/>
      <c r="T73" s="1134">
        <v>16</v>
      </c>
      <c r="U73" s="1138">
        <v>0.2</v>
      </c>
      <c r="V73" s="1112">
        <f>N73*U73</f>
        <v>1517.28</v>
      </c>
      <c r="W73" s="1112"/>
      <c r="X73" s="1112">
        <f>(N73+V73)*O73</f>
        <v>6827.76</v>
      </c>
      <c r="Y73" s="1112">
        <f>AB73</f>
        <v>8172.24</v>
      </c>
      <c r="Z73" s="1112">
        <f>X73+Y73</f>
        <v>15000</v>
      </c>
      <c r="AA73" s="1109">
        <f>20000*O73</f>
        <v>15000</v>
      </c>
      <c r="AB73" s="1109">
        <f>AA73-X73</f>
        <v>8172.24</v>
      </c>
      <c r="AC73" s="1112">
        <f>6700*O73</f>
        <v>5025</v>
      </c>
      <c r="AD73" s="1112">
        <f>X73-AC73</f>
        <v>1802.7600000000002</v>
      </c>
      <c r="AE73" s="436">
        <f t="shared" si="25"/>
        <v>4741.5</v>
      </c>
      <c r="AF73" s="436">
        <f t="shared" si="26"/>
        <v>0</v>
      </c>
      <c r="AG73" s="436">
        <f t="shared" si="27"/>
        <v>5689.7999999999993</v>
      </c>
      <c r="AH73" s="436">
        <f t="shared" si="28"/>
        <v>0</v>
      </c>
      <c r="AI73" s="436">
        <f t="shared" si="29"/>
        <v>948.29999999999927</v>
      </c>
      <c r="AJ73" s="436">
        <f t="shared" si="29"/>
        <v>0</v>
      </c>
      <c r="AK73" s="437">
        <f t="shared" si="30"/>
        <v>1137.96</v>
      </c>
      <c r="AL73" s="437">
        <f t="shared" si="31"/>
        <v>0</v>
      </c>
      <c r="AM73" s="437">
        <f t="shared" si="32"/>
        <v>0</v>
      </c>
      <c r="AN73" s="437">
        <f t="shared" si="33"/>
        <v>0</v>
      </c>
      <c r="AO73" s="437">
        <f t="shared" si="34"/>
        <v>0</v>
      </c>
      <c r="AP73" s="437">
        <f t="shared" si="35"/>
        <v>5689.7999999999993</v>
      </c>
      <c r="AQ73" s="437">
        <f t="shared" si="35"/>
        <v>0</v>
      </c>
      <c r="AR73" s="436"/>
      <c r="AS73" s="437">
        <f t="shared" si="10"/>
        <v>5689.7999999999993</v>
      </c>
    </row>
    <row r="74" spans="1:45" s="438" customFormat="1">
      <c r="A74" s="1134"/>
      <c r="B74" s="1134"/>
      <c r="C74" s="1139"/>
      <c r="D74" s="1134"/>
      <c r="E74" s="1134"/>
      <c r="F74" s="1134"/>
      <c r="G74" s="1112"/>
      <c r="H74" s="1134"/>
      <c r="I74" s="448">
        <f>G73*I73</f>
        <v>1264.4000000000001</v>
      </c>
      <c r="J74" s="1170"/>
      <c r="K74" s="1134"/>
      <c r="L74" s="1134"/>
      <c r="M74" s="1134"/>
      <c r="N74" s="1112"/>
      <c r="O74" s="1112"/>
      <c r="P74" s="1112"/>
      <c r="Q74" s="1134"/>
      <c r="R74" s="1134"/>
      <c r="S74" s="1134"/>
      <c r="T74" s="1134"/>
      <c r="U74" s="1138"/>
      <c r="V74" s="1112"/>
      <c r="W74" s="1112"/>
      <c r="X74" s="1112"/>
      <c r="Y74" s="1112"/>
      <c r="Z74" s="1112"/>
      <c r="AA74" s="1109"/>
      <c r="AB74" s="1109"/>
      <c r="AC74" s="1112"/>
      <c r="AD74" s="1112"/>
      <c r="AE74" s="436">
        <f t="shared" si="25"/>
        <v>0</v>
      </c>
      <c r="AF74" s="436">
        <f t="shared" si="26"/>
        <v>0</v>
      </c>
      <c r="AG74" s="436">
        <f t="shared" si="27"/>
        <v>0</v>
      </c>
      <c r="AH74" s="436">
        <f t="shared" si="28"/>
        <v>0</v>
      </c>
      <c r="AI74" s="436">
        <f t="shared" si="29"/>
        <v>0</v>
      </c>
      <c r="AJ74" s="436">
        <f t="shared" si="29"/>
        <v>0</v>
      </c>
      <c r="AK74" s="437">
        <f t="shared" si="30"/>
        <v>0</v>
      </c>
      <c r="AL74" s="437">
        <f t="shared" si="31"/>
        <v>0</v>
      </c>
      <c r="AM74" s="437">
        <f t="shared" si="32"/>
        <v>0</v>
      </c>
      <c r="AN74" s="437">
        <f t="shared" si="33"/>
        <v>0</v>
      </c>
      <c r="AO74" s="437">
        <f t="shared" si="34"/>
        <v>0</v>
      </c>
      <c r="AP74" s="437">
        <f t="shared" si="35"/>
        <v>0</v>
      </c>
      <c r="AQ74" s="437">
        <f t="shared" si="35"/>
        <v>0</v>
      </c>
      <c r="AR74" s="436"/>
      <c r="AS74" s="437">
        <f t="shared" si="10"/>
        <v>0</v>
      </c>
    </row>
    <row r="75" spans="1:45" s="438" customFormat="1" ht="23.25" customHeight="1">
      <c r="A75" s="1134"/>
      <c r="B75" s="1134"/>
      <c r="C75" s="1139" t="s">
        <v>499</v>
      </c>
      <c r="D75" s="1134" t="s">
        <v>500</v>
      </c>
      <c r="E75" s="1134" t="s">
        <v>501</v>
      </c>
      <c r="F75" s="1134">
        <v>13</v>
      </c>
      <c r="G75" s="1112">
        <v>6769</v>
      </c>
      <c r="H75" s="1134"/>
      <c r="I75" s="435">
        <v>0.2</v>
      </c>
      <c r="J75" s="1138"/>
      <c r="K75" s="1134"/>
      <c r="L75" s="1134"/>
      <c r="M75" s="1134"/>
      <c r="N75" s="1112">
        <f>G75+H76+I76</f>
        <v>8122.8</v>
      </c>
      <c r="O75" s="1112"/>
      <c r="P75" s="1140">
        <v>0.25</v>
      </c>
      <c r="Q75" s="1134"/>
      <c r="R75" s="1134"/>
      <c r="S75" s="1134"/>
      <c r="T75" s="1134">
        <v>20</v>
      </c>
      <c r="U75" s="1138">
        <v>0.3</v>
      </c>
      <c r="V75" s="1112">
        <f>N75*U75</f>
        <v>2436.84</v>
      </c>
      <c r="W75" s="1112"/>
      <c r="X75" s="1112">
        <f>(N75+V75)*P75</f>
        <v>2639.91</v>
      </c>
      <c r="Y75" s="1113">
        <f>AB75</f>
        <v>2360.09</v>
      </c>
      <c r="Z75" s="1113">
        <f>X75+Y75</f>
        <v>5000</v>
      </c>
      <c r="AA75" s="1110">
        <f>20000*P75</f>
        <v>5000</v>
      </c>
      <c r="AB75" s="1110">
        <f>AA75-X75</f>
        <v>2360.09</v>
      </c>
      <c r="AC75" s="1112">
        <f>6700*P75</f>
        <v>1675</v>
      </c>
      <c r="AD75" s="1112">
        <f>X75-AC75</f>
        <v>964.90999999999985</v>
      </c>
      <c r="AE75" s="436">
        <f t="shared" si="25"/>
        <v>0</v>
      </c>
      <c r="AF75" s="436">
        <f t="shared" si="26"/>
        <v>1692.25</v>
      </c>
      <c r="AG75" s="436">
        <f t="shared" si="27"/>
        <v>0</v>
      </c>
      <c r="AH75" s="436">
        <f t="shared" si="28"/>
        <v>2030.7</v>
      </c>
      <c r="AI75" s="436">
        <f t="shared" si="29"/>
        <v>0</v>
      </c>
      <c r="AJ75" s="436">
        <f t="shared" si="29"/>
        <v>338.45000000000005</v>
      </c>
      <c r="AK75" s="437">
        <f t="shared" si="30"/>
        <v>0</v>
      </c>
      <c r="AL75" s="437">
        <f t="shared" si="31"/>
        <v>609.21</v>
      </c>
      <c r="AM75" s="437">
        <f t="shared" si="32"/>
        <v>0</v>
      </c>
      <c r="AN75" s="437">
        <f t="shared" si="33"/>
        <v>0</v>
      </c>
      <c r="AO75" s="437">
        <f t="shared" si="34"/>
        <v>0</v>
      </c>
      <c r="AP75" s="437">
        <f t="shared" si="35"/>
        <v>0</v>
      </c>
      <c r="AQ75" s="437">
        <f t="shared" si="35"/>
        <v>2030.7</v>
      </c>
      <c r="AR75" s="436"/>
      <c r="AS75" s="437">
        <f t="shared" si="10"/>
        <v>2030.7</v>
      </c>
    </row>
    <row r="76" spans="1:45" s="438" customFormat="1">
      <c r="A76" s="1134"/>
      <c r="B76" s="1134"/>
      <c r="C76" s="1139"/>
      <c r="D76" s="1134"/>
      <c r="E76" s="1134"/>
      <c r="F76" s="1134"/>
      <c r="G76" s="1112"/>
      <c r="H76" s="1134"/>
      <c r="I76" s="448">
        <f>G75*I75</f>
        <v>1353.8000000000002</v>
      </c>
      <c r="J76" s="1170"/>
      <c r="K76" s="1134"/>
      <c r="L76" s="1134"/>
      <c r="M76" s="1134"/>
      <c r="N76" s="1112"/>
      <c r="O76" s="1112"/>
      <c r="P76" s="1140"/>
      <c r="Q76" s="1134"/>
      <c r="R76" s="1134"/>
      <c r="S76" s="1134"/>
      <c r="T76" s="1134"/>
      <c r="U76" s="1138"/>
      <c r="V76" s="1112"/>
      <c r="W76" s="1112"/>
      <c r="X76" s="1112"/>
      <c r="Y76" s="1114"/>
      <c r="Z76" s="1114"/>
      <c r="AA76" s="1111"/>
      <c r="AB76" s="1111"/>
      <c r="AC76" s="1112"/>
      <c r="AD76" s="1112"/>
      <c r="AE76" s="436">
        <f t="shared" si="25"/>
        <v>0</v>
      </c>
      <c r="AF76" s="436">
        <f t="shared" si="26"/>
        <v>0</v>
      </c>
      <c r="AG76" s="436">
        <f t="shared" si="27"/>
        <v>0</v>
      </c>
      <c r="AH76" s="436">
        <f t="shared" si="28"/>
        <v>0</v>
      </c>
      <c r="AI76" s="436">
        <f t="shared" si="29"/>
        <v>0</v>
      </c>
      <c r="AJ76" s="436">
        <f t="shared" si="29"/>
        <v>0</v>
      </c>
      <c r="AK76" s="437">
        <f t="shared" si="30"/>
        <v>0</v>
      </c>
      <c r="AL76" s="437">
        <f t="shared" si="31"/>
        <v>0</v>
      </c>
      <c r="AM76" s="437">
        <f t="shared" si="32"/>
        <v>0</v>
      </c>
      <c r="AN76" s="437">
        <f t="shared" si="33"/>
        <v>0</v>
      </c>
      <c r="AO76" s="437">
        <f t="shared" si="34"/>
        <v>0</v>
      </c>
      <c r="AP76" s="437">
        <f t="shared" si="35"/>
        <v>0</v>
      </c>
      <c r="AQ76" s="437">
        <f t="shared" si="35"/>
        <v>0</v>
      </c>
      <c r="AR76" s="436"/>
      <c r="AS76" s="437">
        <f t="shared" si="10"/>
        <v>0</v>
      </c>
    </row>
    <row r="77" spans="1:45" s="438" customFormat="1" ht="23.25" customHeight="1">
      <c r="A77" s="1134"/>
      <c r="B77" s="1134"/>
      <c r="C77" s="1139" t="s">
        <v>499</v>
      </c>
      <c r="D77" s="1134" t="s">
        <v>1007</v>
      </c>
      <c r="E77" s="1134" t="s">
        <v>1008</v>
      </c>
      <c r="F77" s="1134">
        <v>13</v>
      </c>
      <c r="G77" s="1112">
        <v>6769</v>
      </c>
      <c r="H77" s="1134"/>
      <c r="I77" s="435">
        <v>0.2</v>
      </c>
      <c r="J77" s="1138"/>
      <c r="K77" s="1134"/>
      <c r="L77" s="1134"/>
      <c r="M77" s="1134"/>
      <c r="N77" s="1112">
        <f>G77+H78+I78</f>
        <v>8122.8</v>
      </c>
      <c r="O77" s="1112"/>
      <c r="P77" s="1112">
        <v>0.25</v>
      </c>
      <c r="Q77" s="1134"/>
      <c r="R77" s="1134"/>
      <c r="S77" s="1134"/>
      <c r="T77" s="1134">
        <v>10</v>
      </c>
      <c r="U77" s="1138">
        <v>0.2</v>
      </c>
      <c r="V77" s="1112">
        <f>N77*U77</f>
        <v>1624.5600000000002</v>
      </c>
      <c r="W77" s="1112"/>
      <c r="X77" s="1112">
        <f>(N77+V77)*P77</f>
        <v>2436.84</v>
      </c>
      <c r="Y77" s="1113">
        <f>AB77</f>
        <v>2563.16</v>
      </c>
      <c r="Z77" s="1113">
        <f>X77+Y77</f>
        <v>5000</v>
      </c>
      <c r="AA77" s="1110">
        <f>20000*P77</f>
        <v>5000</v>
      </c>
      <c r="AB77" s="1110">
        <f>AA77-X77</f>
        <v>2563.16</v>
      </c>
      <c r="AC77" s="1112">
        <f>6700*P77</f>
        <v>1675</v>
      </c>
      <c r="AD77" s="1112">
        <f>X77-AC77</f>
        <v>761.84000000000015</v>
      </c>
      <c r="AE77" s="436">
        <f t="shared" si="25"/>
        <v>0</v>
      </c>
      <c r="AF77" s="436">
        <f t="shared" si="26"/>
        <v>1692.25</v>
      </c>
      <c r="AG77" s="436">
        <f t="shared" si="27"/>
        <v>0</v>
      </c>
      <c r="AH77" s="436">
        <f t="shared" si="28"/>
        <v>2030.7</v>
      </c>
      <c r="AI77" s="436">
        <f t="shared" si="29"/>
        <v>0</v>
      </c>
      <c r="AJ77" s="436">
        <f t="shared" si="29"/>
        <v>338.45000000000005</v>
      </c>
      <c r="AK77" s="437">
        <f t="shared" si="30"/>
        <v>0</v>
      </c>
      <c r="AL77" s="437">
        <f t="shared" si="31"/>
        <v>406.14000000000004</v>
      </c>
      <c r="AM77" s="437">
        <f t="shared" si="32"/>
        <v>0</v>
      </c>
      <c r="AN77" s="437">
        <f t="shared" si="33"/>
        <v>0</v>
      </c>
      <c r="AO77" s="437">
        <f t="shared" si="34"/>
        <v>0</v>
      </c>
      <c r="AP77" s="437">
        <f t="shared" si="35"/>
        <v>0</v>
      </c>
      <c r="AQ77" s="437">
        <f t="shared" si="35"/>
        <v>2030.7</v>
      </c>
      <c r="AR77" s="436"/>
      <c r="AS77" s="437">
        <f t="shared" si="10"/>
        <v>2030.7</v>
      </c>
    </row>
    <row r="78" spans="1:45" s="438" customFormat="1">
      <c r="A78" s="1134"/>
      <c r="B78" s="1134"/>
      <c r="C78" s="1139"/>
      <c r="D78" s="1134"/>
      <c r="E78" s="1134"/>
      <c r="F78" s="1134"/>
      <c r="G78" s="1112"/>
      <c r="H78" s="1134"/>
      <c r="I78" s="448">
        <f>G77*I77</f>
        <v>1353.8000000000002</v>
      </c>
      <c r="J78" s="1170"/>
      <c r="K78" s="1134"/>
      <c r="L78" s="1134"/>
      <c r="M78" s="1134"/>
      <c r="N78" s="1112"/>
      <c r="O78" s="1112"/>
      <c r="P78" s="1112"/>
      <c r="Q78" s="1134"/>
      <c r="R78" s="1134"/>
      <c r="S78" s="1134"/>
      <c r="T78" s="1134"/>
      <c r="U78" s="1138"/>
      <c r="V78" s="1112"/>
      <c r="W78" s="1112"/>
      <c r="X78" s="1112"/>
      <c r="Y78" s="1114"/>
      <c r="Z78" s="1114"/>
      <c r="AA78" s="1111"/>
      <c r="AB78" s="1111"/>
      <c r="AC78" s="1112"/>
      <c r="AD78" s="1112"/>
      <c r="AE78" s="436">
        <f t="shared" si="25"/>
        <v>0</v>
      </c>
      <c r="AF78" s="436">
        <f t="shared" si="26"/>
        <v>0</v>
      </c>
      <c r="AG78" s="436">
        <f t="shared" si="27"/>
        <v>0</v>
      </c>
      <c r="AH78" s="436">
        <f t="shared" si="28"/>
        <v>0</v>
      </c>
      <c r="AI78" s="436">
        <f t="shared" si="29"/>
        <v>0</v>
      </c>
      <c r="AJ78" s="436">
        <f t="shared" si="29"/>
        <v>0</v>
      </c>
      <c r="AK78" s="437">
        <f t="shared" si="30"/>
        <v>0</v>
      </c>
      <c r="AL78" s="437">
        <f t="shared" si="31"/>
        <v>0</v>
      </c>
      <c r="AM78" s="437">
        <f t="shared" si="32"/>
        <v>0</v>
      </c>
      <c r="AN78" s="437">
        <f t="shared" si="33"/>
        <v>0</v>
      </c>
      <c r="AO78" s="437">
        <f t="shared" si="34"/>
        <v>0</v>
      </c>
      <c r="AP78" s="437">
        <f t="shared" si="35"/>
        <v>0</v>
      </c>
      <c r="AQ78" s="437">
        <f t="shared" si="35"/>
        <v>0</v>
      </c>
      <c r="AR78" s="436"/>
      <c r="AS78" s="437">
        <f t="shared" si="10"/>
        <v>0</v>
      </c>
    </row>
    <row r="79" spans="1:45" s="438" customFormat="1" ht="23.25" customHeight="1">
      <c r="A79" s="1134"/>
      <c r="B79" s="1134"/>
      <c r="C79" s="1139" t="s">
        <v>499</v>
      </c>
      <c r="D79" s="1134" t="s">
        <v>1009</v>
      </c>
      <c r="E79" s="1134" t="s">
        <v>555</v>
      </c>
      <c r="F79" s="1134">
        <v>11</v>
      </c>
      <c r="G79" s="1112">
        <v>5875</v>
      </c>
      <c r="H79" s="1134"/>
      <c r="I79" s="435">
        <v>0.2</v>
      </c>
      <c r="J79" s="1138"/>
      <c r="K79" s="1134"/>
      <c r="L79" s="1134"/>
      <c r="M79" s="1134"/>
      <c r="N79" s="1112">
        <f>G79+H80+I80</f>
        <v>7050</v>
      </c>
      <c r="O79" s="1112">
        <v>1</v>
      </c>
      <c r="P79" s="1112"/>
      <c r="Q79" s="1134"/>
      <c r="R79" s="1134"/>
      <c r="S79" s="1134"/>
      <c r="T79" s="1134">
        <v>3</v>
      </c>
      <c r="U79" s="1138">
        <v>0.1</v>
      </c>
      <c r="V79" s="1112">
        <f>N79*U79</f>
        <v>705</v>
      </c>
      <c r="W79" s="1112"/>
      <c r="X79" s="1112">
        <f>(N79+V79)*O79</f>
        <v>7755</v>
      </c>
      <c r="Y79" s="1112">
        <f>AB79</f>
        <v>12245</v>
      </c>
      <c r="Z79" s="1112">
        <f>X79+Y79</f>
        <v>20000</v>
      </c>
      <c r="AA79" s="1109">
        <f>20000*O79</f>
        <v>20000</v>
      </c>
      <c r="AB79" s="1109">
        <f>AA79-X79</f>
        <v>12245</v>
      </c>
      <c r="AC79" s="1112">
        <f>6700*O79</f>
        <v>6700</v>
      </c>
      <c r="AD79" s="1112">
        <f>X79-AC79</f>
        <v>1055</v>
      </c>
      <c r="AE79" s="436">
        <f>G79*O79</f>
        <v>5875</v>
      </c>
      <c r="AF79" s="436">
        <f>G79*P79</f>
        <v>0</v>
      </c>
      <c r="AG79" s="436">
        <f>N79*O79</f>
        <v>7050</v>
      </c>
      <c r="AH79" s="436">
        <f>N79*P79</f>
        <v>0</v>
      </c>
      <c r="AI79" s="436">
        <f>AG79-AE79</f>
        <v>1175</v>
      </c>
      <c r="AJ79" s="436">
        <f>AH79-AF79</f>
        <v>0</v>
      </c>
      <c r="AK79" s="437">
        <f>V79*O79</f>
        <v>705</v>
      </c>
      <c r="AL79" s="437">
        <f>V79*P79</f>
        <v>0</v>
      </c>
      <c r="AM79" s="437">
        <f>W79</f>
        <v>0</v>
      </c>
      <c r="AN79" s="437">
        <f t="shared" si="33"/>
        <v>0</v>
      </c>
      <c r="AO79" s="437">
        <f t="shared" si="34"/>
        <v>0</v>
      </c>
      <c r="AP79" s="437">
        <f>AG79</f>
        <v>7050</v>
      </c>
      <c r="AQ79" s="437">
        <f>AH79</f>
        <v>0</v>
      </c>
      <c r="AR79" s="436"/>
      <c r="AS79" s="437">
        <f>AP79+AQ79-AR79</f>
        <v>7050</v>
      </c>
    </row>
    <row r="80" spans="1:45" s="438" customFormat="1">
      <c r="A80" s="1134"/>
      <c r="B80" s="1134"/>
      <c r="C80" s="1139"/>
      <c r="D80" s="1134"/>
      <c r="E80" s="1134"/>
      <c r="F80" s="1134"/>
      <c r="G80" s="1112"/>
      <c r="H80" s="1134"/>
      <c r="I80" s="448">
        <f>G79*I79</f>
        <v>1175</v>
      </c>
      <c r="J80" s="1170"/>
      <c r="K80" s="1134"/>
      <c r="L80" s="1134"/>
      <c r="M80" s="1134"/>
      <c r="N80" s="1112"/>
      <c r="O80" s="1112"/>
      <c r="P80" s="1112"/>
      <c r="Q80" s="1134"/>
      <c r="R80" s="1134"/>
      <c r="S80" s="1134"/>
      <c r="T80" s="1134"/>
      <c r="U80" s="1138"/>
      <c r="V80" s="1112"/>
      <c r="W80" s="1112"/>
      <c r="X80" s="1112"/>
      <c r="Y80" s="1112"/>
      <c r="Z80" s="1112"/>
      <c r="AA80" s="1109"/>
      <c r="AB80" s="1109"/>
      <c r="AC80" s="1112"/>
      <c r="AD80" s="1112"/>
      <c r="AE80" s="436">
        <f>G80*O80</f>
        <v>0</v>
      </c>
      <c r="AF80" s="436">
        <f>G80*P80</f>
        <v>0</v>
      </c>
      <c r="AG80" s="436">
        <f>N80*O80</f>
        <v>0</v>
      </c>
      <c r="AH80" s="436">
        <f>N80*P80</f>
        <v>0</v>
      </c>
      <c r="AI80" s="436">
        <f>AG80-AE80</f>
        <v>0</v>
      </c>
      <c r="AJ80" s="436">
        <f>AH80-AF80</f>
        <v>0</v>
      </c>
      <c r="AK80" s="437">
        <f>V80*O80</f>
        <v>0</v>
      </c>
      <c r="AL80" s="437">
        <f>V80*P80</f>
        <v>0</v>
      </c>
      <c r="AM80" s="437">
        <f>W80</f>
        <v>0</v>
      </c>
      <c r="AN80" s="437">
        <f t="shared" si="33"/>
        <v>0</v>
      </c>
      <c r="AO80" s="437">
        <f t="shared" si="34"/>
        <v>0</v>
      </c>
      <c r="AP80" s="437">
        <f>AG80</f>
        <v>0</v>
      </c>
      <c r="AQ80" s="437">
        <f>AH80</f>
        <v>0</v>
      </c>
      <c r="AR80" s="436"/>
      <c r="AS80" s="437">
        <f>AP80+AQ80-AR80</f>
        <v>0</v>
      </c>
    </row>
    <row r="81" spans="1:45" s="438" customFormat="1" ht="23.25" customHeight="1">
      <c r="A81" s="1134"/>
      <c r="B81" s="1134"/>
      <c r="C81" s="1139" t="s">
        <v>499</v>
      </c>
      <c r="D81" s="1134" t="s">
        <v>1010</v>
      </c>
      <c r="E81" s="1134" t="s">
        <v>555</v>
      </c>
      <c r="F81" s="1134">
        <v>11</v>
      </c>
      <c r="G81" s="1112">
        <v>5875</v>
      </c>
      <c r="H81" s="1134"/>
      <c r="I81" s="435">
        <v>0.2</v>
      </c>
      <c r="J81" s="1138"/>
      <c r="K81" s="1134"/>
      <c r="L81" s="1134"/>
      <c r="M81" s="1134"/>
      <c r="N81" s="1112">
        <f>G81+H82+I82</f>
        <v>7050</v>
      </c>
      <c r="O81" s="1112"/>
      <c r="P81" s="1112">
        <v>0.25</v>
      </c>
      <c r="Q81" s="1134"/>
      <c r="R81" s="1134"/>
      <c r="S81" s="1134"/>
      <c r="T81" s="1134">
        <v>3</v>
      </c>
      <c r="U81" s="1138">
        <v>0.1</v>
      </c>
      <c r="V81" s="1112">
        <f>N81*U81</f>
        <v>705</v>
      </c>
      <c r="W81" s="1112"/>
      <c r="X81" s="1112">
        <f>(N81+V81)*P81</f>
        <v>1938.75</v>
      </c>
      <c r="Y81" s="1113">
        <f>AB81</f>
        <v>3061.25</v>
      </c>
      <c r="Z81" s="1113">
        <f>X81+Y81</f>
        <v>5000</v>
      </c>
      <c r="AA81" s="1110">
        <f>20000*P81</f>
        <v>5000</v>
      </c>
      <c r="AB81" s="1110">
        <f>AA81-X81</f>
        <v>3061.25</v>
      </c>
      <c r="AC81" s="1112">
        <f>6700*P81</f>
        <v>1675</v>
      </c>
      <c r="AD81" s="1112">
        <f>X81-AC81</f>
        <v>263.75</v>
      </c>
      <c r="AE81" s="436">
        <f t="shared" si="25"/>
        <v>0</v>
      </c>
      <c r="AF81" s="436">
        <f t="shared" si="26"/>
        <v>1468.75</v>
      </c>
      <c r="AG81" s="436">
        <f t="shared" si="27"/>
        <v>0</v>
      </c>
      <c r="AH81" s="436">
        <f t="shared" si="28"/>
        <v>1762.5</v>
      </c>
      <c r="AI81" s="436">
        <f t="shared" si="29"/>
        <v>0</v>
      </c>
      <c r="AJ81" s="436">
        <f t="shared" si="29"/>
        <v>293.75</v>
      </c>
      <c r="AK81" s="437">
        <f t="shared" si="30"/>
        <v>0</v>
      </c>
      <c r="AL81" s="437">
        <f t="shared" si="31"/>
        <v>176.25</v>
      </c>
      <c r="AM81" s="437">
        <f t="shared" si="32"/>
        <v>0</v>
      </c>
      <c r="AN81" s="437">
        <f t="shared" si="33"/>
        <v>0</v>
      </c>
      <c r="AO81" s="437">
        <f t="shared" si="34"/>
        <v>0</v>
      </c>
      <c r="AP81" s="437">
        <f t="shared" si="35"/>
        <v>0</v>
      </c>
      <c r="AQ81" s="437">
        <f t="shared" si="35"/>
        <v>1762.5</v>
      </c>
      <c r="AR81" s="436"/>
      <c r="AS81" s="437">
        <f t="shared" ref="AS81:AS157" si="36">AP81+AQ81-AR81</f>
        <v>1762.5</v>
      </c>
    </row>
    <row r="82" spans="1:45" s="438" customFormat="1">
      <c r="A82" s="1134"/>
      <c r="B82" s="1134"/>
      <c r="C82" s="1139"/>
      <c r="D82" s="1134"/>
      <c r="E82" s="1134"/>
      <c r="F82" s="1134"/>
      <c r="G82" s="1112"/>
      <c r="H82" s="1134"/>
      <c r="I82" s="448">
        <f>G81*I81</f>
        <v>1175</v>
      </c>
      <c r="J82" s="1170"/>
      <c r="K82" s="1134"/>
      <c r="L82" s="1134"/>
      <c r="M82" s="1134"/>
      <c r="N82" s="1112"/>
      <c r="O82" s="1112"/>
      <c r="P82" s="1112"/>
      <c r="Q82" s="1134"/>
      <c r="R82" s="1134"/>
      <c r="S82" s="1134"/>
      <c r="T82" s="1134"/>
      <c r="U82" s="1138"/>
      <c r="V82" s="1112"/>
      <c r="W82" s="1112"/>
      <c r="X82" s="1112"/>
      <c r="Y82" s="1114"/>
      <c r="Z82" s="1114"/>
      <c r="AA82" s="1111"/>
      <c r="AB82" s="1111"/>
      <c r="AC82" s="1112"/>
      <c r="AD82" s="1112"/>
      <c r="AE82" s="436">
        <f t="shared" si="25"/>
        <v>0</v>
      </c>
      <c r="AF82" s="436">
        <f t="shared" si="26"/>
        <v>0</v>
      </c>
      <c r="AG82" s="436">
        <f t="shared" si="27"/>
        <v>0</v>
      </c>
      <c r="AH82" s="436">
        <f t="shared" si="28"/>
        <v>0</v>
      </c>
      <c r="AI82" s="436">
        <f t="shared" si="29"/>
        <v>0</v>
      </c>
      <c r="AJ82" s="436">
        <f t="shared" si="29"/>
        <v>0</v>
      </c>
      <c r="AK82" s="437">
        <f t="shared" si="30"/>
        <v>0</v>
      </c>
      <c r="AL82" s="437">
        <f t="shared" si="31"/>
        <v>0</v>
      </c>
      <c r="AM82" s="437">
        <f t="shared" si="32"/>
        <v>0</v>
      </c>
      <c r="AN82" s="437">
        <f t="shared" si="33"/>
        <v>0</v>
      </c>
      <c r="AO82" s="437">
        <f t="shared" si="34"/>
        <v>0</v>
      </c>
      <c r="AP82" s="437">
        <f t="shared" si="35"/>
        <v>0</v>
      </c>
      <c r="AQ82" s="437">
        <f t="shared" si="35"/>
        <v>0</v>
      </c>
      <c r="AR82" s="436"/>
      <c r="AS82" s="437">
        <f t="shared" si="36"/>
        <v>0</v>
      </c>
    </row>
    <row r="83" spans="1:45" s="438" customFormat="1" ht="23.25" customHeight="1">
      <c r="A83" s="1134"/>
      <c r="B83" s="1134"/>
      <c r="C83" s="1139" t="s">
        <v>499</v>
      </c>
      <c r="D83" s="1134" t="s">
        <v>495</v>
      </c>
      <c r="E83" s="1134" t="s">
        <v>496</v>
      </c>
      <c r="F83" s="1134">
        <v>14</v>
      </c>
      <c r="G83" s="1112">
        <v>7216</v>
      </c>
      <c r="H83" s="1134"/>
      <c r="I83" s="435">
        <v>0.4</v>
      </c>
      <c r="J83" s="1138"/>
      <c r="K83" s="1134"/>
      <c r="L83" s="1134"/>
      <c r="M83" s="1134"/>
      <c r="N83" s="1112">
        <f>G83+H84+I84</f>
        <v>10102.4</v>
      </c>
      <c r="O83" s="1112"/>
      <c r="P83" s="1112">
        <f>0.5</f>
        <v>0.5</v>
      </c>
      <c r="Q83" s="1134"/>
      <c r="R83" s="1134"/>
      <c r="S83" s="1134"/>
      <c r="T83" s="1134">
        <v>28</v>
      </c>
      <c r="U83" s="1138">
        <v>0.3</v>
      </c>
      <c r="V83" s="1112">
        <f>N83*U83</f>
        <v>3030.72</v>
      </c>
      <c r="W83" s="1112"/>
      <c r="X83" s="1112">
        <f>(N83+V83)*P83</f>
        <v>6566.5599999999995</v>
      </c>
      <c r="Y83" s="1113">
        <f>AB83</f>
        <v>3433.4400000000005</v>
      </c>
      <c r="Z83" s="1113">
        <f>X83+Y83</f>
        <v>10000</v>
      </c>
      <c r="AA83" s="1110">
        <f>20000*P83</f>
        <v>10000</v>
      </c>
      <c r="AB83" s="1110">
        <f>AA83-X83</f>
        <v>3433.4400000000005</v>
      </c>
      <c r="AC83" s="1112">
        <f>6700*P83</f>
        <v>3350</v>
      </c>
      <c r="AD83" s="1112">
        <f>X83-AC83</f>
        <v>3216.5599999999995</v>
      </c>
      <c r="AE83" s="436">
        <f t="shared" si="25"/>
        <v>0</v>
      </c>
      <c r="AF83" s="436">
        <f t="shared" si="26"/>
        <v>3608</v>
      </c>
      <c r="AG83" s="436">
        <f t="shared" si="27"/>
        <v>0</v>
      </c>
      <c r="AH83" s="436">
        <f t="shared" si="28"/>
        <v>5051.2</v>
      </c>
      <c r="AI83" s="436">
        <f t="shared" si="29"/>
        <v>0</v>
      </c>
      <c r="AJ83" s="436">
        <f t="shared" si="29"/>
        <v>1443.1999999999998</v>
      </c>
      <c r="AK83" s="437">
        <f t="shared" si="30"/>
        <v>0</v>
      </c>
      <c r="AL83" s="437">
        <f t="shared" si="31"/>
        <v>1515.36</v>
      </c>
      <c r="AM83" s="437">
        <f t="shared" si="32"/>
        <v>0</v>
      </c>
      <c r="AN83" s="437">
        <f t="shared" si="33"/>
        <v>0</v>
      </c>
      <c r="AO83" s="437">
        <f t="shared" si="34"/>
        <v>0</v>
      </c>
      <c r="AP83" s="437">
        <f t="shared" si="35"/>
        <v>0</v>
      </c>
      <c r="AQ83" s="437">
        <f t="shared" si="35"/>
        <v>5051.2</v>
      </c>
      <c r="AR83" s="436"/>
      <c r="AS83" s="437">
        <f t="shared" si="36"/>
        <v>5051.2</v>
      </c>
    </row>
    <row r="84" spans="1:45" s="438" customFormat="1">
      <c r="A84" s="1134"/>
      <c r="B84" s="1134"/>
      <c r="C84" s="1139"/>
      <c r="D84" s="1134"/>
      <c r="E84" s="1134"/>
      <c r="F84" s="1134"/>
      <c r="G84" s="1112"/>
      <c r="H84" s="1134"/>
      <c r="I84" s="448">
        <f>G83*I83</f>
        <v>2886.4</v>
      </c>
      <c r="J84" s="1170"/>
      <c r="K84" s="1134"/>
      <c r="L84" s="1134"/>
      <c r="M84" s="1134"/>
      <c r="N84" s="1112"/>
      <c r="O84" s="1112"/>
      <c r="P84" s="1112"/>
      <c r="Q84" s="1134"/>
      <c r="R84" s="1134"/>
      <c r="S84" s="1134"/>
      <c r="T84" s="1134"/>
      <c r="U84" s="1138"/>
      <c r="V84" s="1112"/>
      <c r="W84" s="1112"/>
      <c r="X84" s="1112"/>
      <c r="Y84" s="1114"/>
      <c r="Z84" s="1114"/>
      <c r="AA84" s="1111"/>
      <c r="AB84" s="1111"/>
      <c r="AC84" s="1112"/>
      <c r="AD84" s="1112"/>
      <c r="AE84" s="436">
        <f t="shared" si="25"/>
        <v>0</v>
      </c>
      <c r="AF84" s="436">
        <f t="shared" si="26"/>
        <v>0</v>
      </c>
      <c r="AG84" s="436">
        <f t="shared" si="27"/>
        <v>0</v>
      </c>
      <c r="AH84" s="436">
        <f t="shared" si="28"/>
        <v>0</v>
      </c>
      <c r="AI84" s="436">
        <f t="shared" si="29"/>
        <v>0</v>
      </c>
      <c r="AJ84" s="436">
        <f t="shared" si="29"/>
        <v>0</v>
      </c>
      <c r="AK84" s="437">
        <f t="shared" si="30"/>
        <v>0</v>
      </c>
      <c r="AL84" s="437">
        <f t="shared" si="31"/>
        <v>0</v>
      </c>
      <c r="AM84" s="437">
        <f t="shared" si="32"/>
        <v>0</v>
      </c>
      <c r="AN84" s="437">
        <f t="shared" si="33"/>
        <v>0</v>
      </c>
      <c r="AO84" s="437">
        <f t="shared" si="34"/>
        <v>0</v>
      </c>
      <c r="AP84" s="437">
        <f t="shared" si="35"/>
        <v>0</v>
      </c>
      <c r="AQ84" s="437">
        <f t="shared" si="35"/>
        <v>0</v>
      </c>
      <c r="AR84" s="436"/>
      <c r="AS84" s="437">
        <f t="shared" si="36"/>
        <v>0</v>
      </c>
    </row>
    <row r="85" spans="1:45" s="438" customFormat="1" ht="23.25" customHeight="1">
      <c r="A85" s="1134"/>
      <c r="B85" s="1134"/>
      <c r="C85" s="1139" t="s">
        <v>499</v>
      </c>
      <c r="D85" s="1134" t="s">
        <v>497</v>
      </c>
      <c r="E85" s="1134" t="s">
        <v>498</v>
      </c>
      <c r="F85" s="1134">
        <v>14</v>
      </c>
      <c r="G85" s="1112">
        <v>7216</v>
      </c>
      <c r="H85" s="1134"/>
      <c r="I85" s="435">
        <v>0.2</v>
      </c>
      <c r="J85" s="1138"/>
      <c r="K85" s="1134"/>
      <c r="L85" s="1134"/>
      <c r="M85" s="1134"/>
      <c r="N85" s="1112">
        <f>G85+H86+I86</f>
        <v>8659.2000000000007</v>
      </c>
      <c r="O85" s="1112"/>
      <c r="P85" s="1112">
        <v>0.5</v>
      </c>
      <c r="Q85" s="1134"/>
      <c r="R85" s="1134"/>
      <c r="S85" s="1134"/>
      <c r="T85" s="1134">
        <v>32</v>
      </c>
      <c r="U85" s="1138">
        <v>0.3</v>
      </c>
      <c r="V85" s="1112">
        <f>N85*U85</f>
        <v>2597.7600000000002</v>
      </c>
      <c r="W85" s="1112"/>
      <c r="X85" s="1112">
        <f>(N85+V85)*P85</f>
        <v>5628.4800000000005</v>
      </c>
      <c r="Y85" s="1113">
        <f>AB85</f>
        <v>4371.5199999999995</v>
      </c>
      <c r="Z85" s="1113">
        <f>X85+Y85</f>
        <v>10000</v>
      </c>
      <c r="AA85" s="1110">
        <f>20000*P85</f>
        <v>10000</v>
      </c>
      <c r="AB85" s="1110">
        <f>AA85-X85</f>
        <v>4371.5199999999995</v>
      </c>
      <c r="AC85" s="1112">
        <f>6700*P85</f>
        <v>3350</v>
      </c>
      <c r="AD85" s="1112">
        <f>X85-AC85</f>
        <v>2278.4800000000005</v>
      </c>
      <c r="AE85" s="436">
        <f t="shared" si="25"/>
        <v>0</v>
      </c>
      <c r="AF85" s="436">
        <f t="shared" si="26"/>
        <v>3608</v>
      </c>
      <c r="AG85" s="436">
        <f t="shared" si="27"/>
        <v>0</v>
      </c>
      <c r="AH85" s="436">
        <f t="shared" si="28"/>
        <v>4329.6000000000004</v>
      </c>
      <c r="AI85" s="436">
        <f t="shared" si="29"/>
        <v>0</v>
      </c>
      <c r="AJ85" s="436">
        <f t="shared" si="29"/>
        <v>721.60000000000036</v>
      </c>
      <c r="AK85" s="437">
        <f t="shared" si="30"/>
        <v>0</v>
      </c>
      <c r="AL85" s="437">
        <f t="shared" si="31"/>
        <v>1298.8800000000001</v>
      </c>
      <c r="AM85" s="437">
        <f t="shared" si="32"/>
        <v>0</v>
      </c>
      <c r="AN85" s="437">
        <f t="shared" si="33"/>
        <v>0</v>
      </c>
      <c r="AO85" s="437">
        <f t="shared" si="34"/>
        <v>0</v>
      </c>
      <c r="AP85" s="437">
        <f t="shared" si="35"/>
        <v>0</v>
      </c>
      <c r="AQ85" s="437">
        <f t="shared" si="35"/>
        <v>4329.6000000000004</v>
      </c>
      <c r="AR85" s="436"/>
      <c r="AS85" s="437">
        <f t="shared" si="36"/>
        <v>4329.6000000000004</v>
      </c>
    </row>
    <row r="86" spans="1:45" s="438" customFormat="1">
      <c r="A86" s="1134"/>
      <c r="B86" s="1134"/>
      <c r="C86" s="1139"/>
      <c r="D86" s="1134"/>
      <c r="E86" s="1134"/>
      <c r="F86" s="1134"/>
      <c r="G86" s="1112"/>
      <c r="H86" s="1134"/>
      <c r="I86" s="448">
        <f>G85*I85</f>
        <v>1443.2</v>
      </c>
      <c r="J86" s="1170"/>
      <c r="K86" s="1134"/>
      <c r="L86" s="1134"/>
      <c r="M86" s="1134"/>
      <c r="N86" s="1112"/>
      <c r="O86" s="1112"/>
      <c r="P86" s="1112"/>
      <c r="Q86" s="1134"/>
      <c r="R86" s="1134"/>
      <c r="S86" s="1134"/>
      <c r="T86" s="1134"/>
      <c r="U86" s="1138"/>
      <c r="V86" s="1112"/>
      <c r="W86" s="1112"/>
      <c r="X86" s="1112"/>
      <c r="Y86" s="1114"/>
      <c r="Z86" s="1114"/>
      <c r="AA86" s="1111"/>
      <c r="AB86" s="1111"/>
      <c r="AC86" s="1112"/>
      <c r="AD86" s="1112"/>
      <c r="AE86" s="436">
        <f t="shared" si="25"/>
        <v>0</v>
      </c>
      <c r="AF86" s="436">
        <f t="shared" si="26"/>
        <v>0</v>
      </c>
      <c r="AG86" s="436">
        <f t="shared" si="27"/>
        <v>0</v>
      </c>
      <c r="AH86" s="436">
        <f t="shared" si="28"/>
        <v>0</v>
      </c>
      <c r="AI86" s="436">
        <f t="shared" si="29"/>
        <v>0</v>
      </c>
      <c r="AJ86" s="436">
        <f t="shared" si="29"/>
        <v>0</v>
      </c>
      <c r="AK86" s="437">
        <f t="shared" si="30"/>
        <v>0</v>
      </c>
      <c r="AL86" s="437">
        <f t="shared" si="31"/>
        <v>0</v>
      </c>
      <c r="AM86" s="437">
        <f t="shared" si="32"/>
        <v>0</v>
      </c>
      <c r="AN86" s="437">
        <f t="shared" si="33"/>
        <v>0</v>
      </c>
      <c r="AO86" s="437">
        <f t="shared" si="34"/>
        <v>0</v>
      </c>
      <c r="AP86" s="437">
        <f t="shared" si="35"/>
        <v>0</v>
      </c>
      <c r="AQ86" s="437">
        <f t="shared" si="35"/>
        <v>0</v>
      </c>
      <c r="AR86" s="436"/>
      <c r="AS86" s="437">
        <f t="shared" si="36"/>
        <v>0</v>
      </c>
    </row>
    <row r="87" spans="1:45" s="438" customFormat="1" ht="23.25" customHeight="1">
      <c r="A87" s="1134"/>
      <c r="B87" s="1134"/>
      <c r="C87" s="1139" t="s">
        <v>499</v>
      </c>
      <c r="D87" s="1134" t="s">
        <v>1011</v>
      </c>
      <c r="E87" s="1134" t="s">
        <v>1012</v>
      </c>
      <c r="F87" s="1134">
        <v>13</v>
      </c>
      <c r="G87" s="1112">
        <v>6769</v>
      </c>
      <c r="H87" s="1134"/>
      <c r="I87" s="435">
        <v>0.2</v>
      </c>
      <c r="J87" s="1138"/>
      <c r="K87" s="1134"/>
      <c r="L87" s="1134"/>
      <c r="M87" s="1134"/>
      <c r="N87" s="1112">
        <f>G87+H88+I88</f>
        <v>8122.8</v>
      </c>
      <c r="O87" s="1112"/>
      <c r="P87" s="1112">
        <v>0.25</v>
      </c>
      <c r="Q87" s="1134"/>
      <c r="R87" s="1134"/>
      <c r="S87" s="1134"/>
      <c r="T87" s="1134">
        <v>10</v>
      </c>
      <c r="U87" s="1138">
        <v>0.2</v>
      </c>
      <c r="V87" s="1112">
        <f>N87*U87</f>
        <v>1624.5600000000002</v>
      </c>
      <c r="W87" s="1112"/>
      <c r="X87" s="1112">
        <f>(N87+V87)*P87</f>
        <v>2436.84</v>
      </c>
      <c r="Y87" s="1113">
        <f>AB87</f>
        <v>2563.16</v>
      </c>
      <c r="Z87" s="1113">
        <f>X87+Y87</f>
        <v>5000</v>
      </c>
      <c r="AA87" s="1110">
        <f>20000*P87</f>
        <v>5000</v>
      </c>
      <c r="AB87" s="1110">
        <f>AA87-X87</f>
        <v>2563.16</v>
      </c>
      <c r="AC87" s="1112">
        <f>6700*P87</f>
        <v>1675</v>
      </c>
      <c r="AD87" s="1112">
        <f>X87-AC87</f>
        <v>761.84000000000015</v>
      </c>
      <c r="AE87" s="436">
        <f>G87*O87</f>
        <v>0</v>
      </c>
      <c r="AF87" s="436">
        <f>G87*P87</f>
        <v>1692.25</v>
      </c>
      <c r="AG87" s="436">
        <f>N87*O87</f>
        <v>0</v>
      </c>
      <c r="AH87" s="436">
        <f>N87*P87</f>
        <v>2030.7</v>
      </c>
      <c r="AI87" s="436">
        <f>AG87-AE87</f>
        <v>0</v>
      </c>
      <c r="AJ87" s="436">
        <f>AH87-AF87</f>
        <v>338.45000000000005</v>
      </c>
      <c r="AK87" s="437">
        <f>V87*O87</f>
        <v>0</v>
      </c>
      <c r="AL87" s="437">
        <f>V87*P87</f>
        <v>406.14000000000004</v>
      </c>
      <c r="AM87" s="437">
        <f>W87</f>
        <v>0</v>
      </c>
      <c r="AN87" s="437">
        <f t="shared" si="33"/>
        <v>0</v>
      </c>
      <c r="AO87" s="437">
        <f t="shared" si="34"/>
        <v>0</v>
      </c>
      <c r="AP87" s="437">
        <f t="shared" si="35"/>
        <v>0</v>
      </c>
      <c r="AQ87" s="437">
        <f t="shared" si="35"/>
        <v>2030.7</v>
      </c>
      <c r="AR87" s="436"/>
      <c r="AS87" s="437">
        <f t="shared" si="36"/>
        <v>2030.7</v>
      </c>
    </row>
    <row r="88" spans="1:45" s="438" customFormat="1">
      <c r="A88" s="1134"/>
      <c r="B88" s="1134"/>
      <c r="C88" s="1139"/>
      <c r="D88" s="1134"/>
      <c r="E88" s="1134"/>
      <c r="F88" s="1134"/>
      <c r="G88" s="1112"/>
      <c r="H88" s="1134"/>
      <c r="I88" s="448">
        <f>G87*I87</f>
        <v>1353.8000000000002</v>
      </c>
      <c r="J88" s="1170"/>
      <c r="K88" s="1134"/>
      <c r="L88" s="1134"/>
      <c r="M88" s="1134"/>
      <c r="N88" s="1112"/>
      <c r="O88" s="1112"/>
      <c r="P88" s="1112"/>
      <c r="Q88" s="1134"/>
      <c r="R88" s="1134"/>
      <c r="S88" s="1134"/>
      <c r="T88" s="1134"/>
      <c r="U88" s="1138"/>
      <c r="V88" s="1112"/>
      <c r="W88" s="1112"/>
      <c r="X88" s="1112"/>
      <c r="Y88" s="1114"/>
      <c r="Z88" s="1114"/>
      <c r="AA88" s="1111"/>
      <c r="AB88" s="1111"/>
      <c r="AC88" s="1112"/>
      <c r="AD88" s="1112"/>
      <c r="AE88" s="436">
        <f>G88*O88</f>
        <v>0</v>
      </c>
      <c r="AF88" s="436">
        <f>G88*P88</f>
        <v>0</v>
      </c>
      <c r="AG88" s="436">
        <f>N88*O88</f>
        <v>0</v>
      </c>
      <c r="AH88" s="436">
        <f>N88*P88</f>
        <v>0</v>
      </c>
      <c r="AI88" s="436">
        <f>AG88-AE88</f>
        <v>0</v>
      </c>
      <c r="AJ88" s="436">
        <f>AH88-AF88</f>
        <v>0</v>
      </c>
      <c r="AK88" s="437">
        <f>V88*O88</f>
        <v>0</v>
      </c>
      <c r="AL88" s="437">
        <f>V88*P88</f>
        <v>0</v>
      </c>
      <c r="AM88" s="437">
        <f>W88</f>
        <v>0</v>
      </c>
      <c r="AN88" s="437">
        <f t="shared" si="33"/>
        <v>0</v>
      </c>
      <c r="AO88" s="437">
        <f t="shared" si="34"/>
        <v>0</v>
      </c>
      <c r="AP88" s="437">
        <f t="shared" si="35"/>
        <v>0</v>
      </c>
      <c r="AQ88" s="437">
        <f t="shared" si="35"/>
        <v>0</v>
      </c>
      <c r="AR88" s="436"/>
      <c r="AS88" s="437">
        <f t="shared" si="36"/>
        <v>0</v>
      </c>
    </row>
    <row r="89" spans="1:45" s="438" customFormat="1" ht="23.25" customHeight="1">
      <c r="A89" s="1134"/>
      <c r="B89" s="1134"/>
      <c r="C89" s="1139" t="s">
        <v>499</v>
      </c>
      <c r="D89" s="1134"/>
      <c r="E89" s="1134" t="s">
        <v>325</v>
      </c>
      <c r="F89" s="1134">
        <v>14</v>
      </c>
      <c r="G89" s="1112">
        <v>7216</v>
      </c>
      <c r="H89" s="1134"/>
      <c r="I89" s="435">
        <v>0.2</v>
      </c>
      <c r="J89" s="1138"/>
      <c r="K89" s="1134"/>
      <c r="L89" s="1134"/>
      <c r="M89" s="1134"/>
      <c r="N89" s="1112">
        <f>G89+H90+I90</f>
        <v>8659.2000000000007</v>
      </c>
      <c r="O89" s="1112">
        <v>0.75</v>
      </c>
      <c r="P89" s="1112"/>
      <c r="Q89" s="1134"/>
      <c r="R89" s="1134"/>
      <c r="S89" s="1134"/>
      <c r="T89" s="1134"/>
      <c r="U89" s="1138">
        <v>0</v>
      </c>
      <c r="V89" s="1112">
        <f>N89*U89</f>
        <v>0</v>
      </c>
      <c r="W89" s="1112"/>
      <c r="X89" s="1112">
        <f>(N89+V89)*O89</f>
        <v>6494.4000000000005</v>
      </c>
      <c r="Y89" s="1112">
        <f>AB89</f>
        <v>8505.5999999999985</v>
      </c>
      <c r="Z89" s="1112">
        <f>X89+Y89</f>
        <v>15000</v>
      </c>
      <c r="AA89" s="1109">
        <f>20000*O89</f>
        <v>15000</v>
      </c>
      <c r="AB89" s="1109">
        <f>AA89-X89</f>
        <v>8505.5999999999985</v>
      </c>
      <c r="AC89" s="1112">
        <f>6700*O89</f>
        <v>5025</v>
      </c>
      <c r="AD89" s="1112">
        <f>X89-AC89</f>
        <v>1469.4000000000005</v>
      </c>
      <c r="AE89" s="436">
        <f t="shared" si="25"/>
        <v>5412</v>
      </c>
      <c r="AF89" s="436">
        <f t="shared" si="26"/>
        <v>0</v>
      </c>
      <c r="AG89" s="436">
        <f t="shared" si="27"/>
        <v>6494.4000000000005</v>
      </c>
      <c r="AH89" s="436">
        <f t="shared" si="28"/>
        <v>0</v>
      </c>
      <c r="AI89" s="436">
        <f t="shared" si="29"/>
        <v>1082.4000000000005</v>
      </c>
      <c r="AJ89" s="436">
        <f t="shared" si="29"/>
        <v>0</v>
      </c>
      <c r="AK89" s="437">
        <f t="shared" si="30"/>
        <v>0</v>
      </c>
      <c r="AL89" s="437">
        <f t="shared" si="31"/>
        <v>0</v>
      </c>
      <c r="AM89" s="437">
        <f t="shared" si="32"/>
        <v>0</v>
      </c>
      <c r="AN89" s="437">
        <f t="shared" si="33"/>
        <v>0</v>
      </c>
      <c r="AO89" s="437">
        <f t="shared" si="34"/>
        <v>0</v>
      </c>
      <c r="AP89" s="437">
        <f t="shared" si="35"/>
        <v>6494.4000000000005</v>
      </c>
      <c r="AQ89" s="437">
        <f t="shared" si="35"/>
        <v>0</v>
      </c>
      <c r="AR89" s="436"/>
      <c r="AS89" s="437">
        <f t="shared" si="36"/>
        <v>6494.4000000000005</v>
      </c>
    </row>
    <row r="90" spans="1:45" s="438" customFormat="1">
      <c r="A90" s="1134"/>
      <c r="B90" s="1134"/>
      <c r="C90" s="1139"/>
      <c r="D90" s="1134"/>
      <c r="E90" s="1134"/>
      <c r="F90" s="1134"/>
      <c r="G90" s="1112"/>
      <c r="H90" s="1134"/>
      <c r="I90" s="448">
        <f>G89*I89</f>
        <v>1443.2</v>
      </c>
      <c r="J90" s="1170"/>
      <c r="K90" s="1134"/>
      <c r="L90" s="1134"/>
      <c r="M90" s="1134"/>
      <c r="N90" s="1112"/>
      <c r="O90" s="1112"/>
      <c r="P90" s="1112"/>
      <c r="Q90" s="1134"/>
      <c r="R90" s="1134"/>
      <c r="S90" s="1134"/>
      <c r="T90" s="1134"/>
      <c r="U90" s="1138"/>
      <c r="V90" s="1112"/>
      <c r="W90" s="1112"/>
      <c r="X90" s="1112"/>
      <c r="Y90" s="1112"/>
      <c r="Z90" s="1112"/>
      <c r="AA90" s="1109"/>
      <c r="AB90" s="1109"/>
      <c r="AC90" s="1112"/>
      <c r="AD90" s="1112"/>
      <c r="AE90" s="436">
        <f t="shared" si="25"/>
        <v>0</v>
      </c>
      <c r="AF90" s="436">
        <f t="shared" si="26"/>
        <v>0</v>
      </c>
      <c r="AG90" s="436">
        <f t="shared" si="27"/>
        <v>0</v>
      </c>
      <c r="AH90" s="436">
        <f t="shared" si="28"/>
        <v>0</v>
      </c>
      <c r="AI90" s="436">
        <f t="shared" si="29"/>
        <v>0</v>
      </c>
      <c r="AJ90" s="436">
        <f t="shared" si="29"/>
        <v>0</v>
      </c>
      <c r="AK90" s="437">
        <f t="shared" si="30"/>
        <v>0</v>
      </c>
      <c r="AL90" s="437">
        <f t="shared" si="31"/>
        <v>0</v>
      </c>
      <c r="AM90" s="437">
        <f t="shared" si="32"/>
        <v>0</v>
      </c>
      <c r="AN90" s="437">
        <f t="shared" si="33"/>
        <v>0</v>
      </c>
      <c r="AO90" s="437">
        <f t="shared" si="34"/>
        <v>0</v>
      </c>
      <c r="AP90" s="437">
        <f t="shared" si="35"/>
        <v>0</v>
      </c>
      <c r="AQ90" s="437">
        <f t="shared" si="35"/>
        <v>0</v>
      </c>
      <c r="AR90" s="436"/>
      <c r="AS90" s="437">
        <f t="shared" si="36"/>
        <v>0</v>
      </c>
    </row>
    <row r="91" spans="1:45" s="438" customFormat="1" ht="23.25" customHeight="1">
      <c r="A91" s="1134"/>
      <c r="B91" s="1134"/>
      <c r="C91" s="1139" t="s">
        <v>1013</v>
      </c>
      <c r="D91" s="1134" t="s">
        <v>1014</v>
      </c>
      <c r="E91" s="1134" t="s">
        <v>1015</v>
      </c>
      <c r="F91" s="1134">
        <v>13</v>
      </c>
      <c r="G91" s="1112">
        <v>6769</v>
      </c>
      <c r="H91" s="1134"/>
      <c r="I91" s="1134"/>
      <c r="J91" s="1134"/>
      <c r="K91" s="1134"/>
      <c r="L91" s="435">
        <v>0.15</v>
      </c>
      <c r="M91" s="1138"/>
      <c r="N91" s="1112">
        <f>G91+H92+I92+L92</f>
        <v>7784.35</v>
      </c>
      <c r="O91" s="1112"/>
      <c r="P91" s="1112">
        <v>0.5</v>
      </c>
      <c r="Q91" s="1134"/>
      <c r="R91" s="1134"/>
      <c r="S91" s="1134"/>
      <c r="T91" s="1134">
        <v>0</v>
      </c>
      <c r="U91" s="1138">
        <v>0</v>
      </c>
      <c r="V91" s="1112">
        <f>N91*U91</f>
        <v>0</v>
      </c>
      <c r="W91" s="1112"/>
      <c r="X91" s="1112">
        <f>(N91+V91)*P91</f>
        <v>3892.1750000000002</v>
      </c>
      <c r="Y91" s="1113">
        <f>AB91</f>
        <v>6107.8249999999998</v>
      </c>
      <c r="Z91" s="1113">
        <f>X91+Y91</f>
        <v>10000</v>
      </c>
      <c r="AA91" s="1110">
        <f>20000*P91</f>
        <v>10000</v>
      </c>
      <c r="AB91" s="1110">
        <f>AA91-X91</f>
        <v>6107.8249999999998</v>
      </c>
      <c r="AC91" s="1112">
        <f>6700*P91</f>
        <v>3350</v>
      </c>
      <c r="AD91" s="1112">
        <f>X91-AC91</f>
        <v>542.17500000000018</v>
      </c>
      <c r="AE91" s="436">
        <f>G91*O91</f>
        <v>0</v>
      </c>
      <c r="AF91" s="436">
        <f>G91*P91</f>
        <v>3384.5</v>
      </c>
      <c r="AG91" s="436">
        <f>N91*O91</f>
        <v>0</v>
      </c>
      <c r="AH91" s="436">
        <f>N91*P91</f>
        <v>3892.1750000000002</v>
      </c>
      <c r="AI91" s="436">
        <f>AG91-AE91</f>
        <v>0</v>
      </c>
      <c r="AJ91" s="436">
        <f>AH91-AF91</f>
        <v>507.67500000000018</v>
      </c>
      <c r="AK91" s="437">
        <f>V91*O91</f>
        <v>0</v>
      </c>
      <c r="AL91" s="437">
        <f>V91*P91</f>
        <v>0</v>
      </c>
      <c r="AM91" s="437">
        <f>W91</f>
        <v>0</v>
      </c>
      <c r="AN91" s="437">
        <f t="shared" si="33"/>
        <v>0</v>
      </c>
      <c r="AO91" s="437">
        <f t="shared" si="34"/>
        <v>0</v>
      </c>
      <c r="AP91" s="437">
        <f>AG91</f>
        <v>0</v>
      </c>
      <c r="AQ91" s="437">
        <f>AH91</f>
        <v>3892.1750000000002</v>
      </c>
      <c r="AR91" s="436"/>
      <c r="AS91" s="437">
        <f>AP91+AQ91-AR91</f>
        <v>3892.1750000000002</v>
      </c>
    </row>
    <row r="92" spans="1:45" s="438" customFormat="1">
      <c r="A92" s="1134"/>
      <c r="B92" s="1134"/>
      <c r="C92" s="1139"/>
      <c r="D92" s="1134"/>
      <c r="E92" s="1134"/>
      <c r="F92" s="1134"/>
      <c r="G92" s="1112"/>
      <c r="H92" s="1134"/>
      <c r="I92" s="1134"/>
      <c r="J92" s="1134"/>
      <c r="K92" s="1134"/>
      <c r="L92" s="448">
        <f>G91*L91</f>
        <v>1015.3499999999999</v>
      </c>
      <c r="M92" s="1134"/>
      <c r="N92" s="1112"/>
      <c r="O92" s="1112"/>
      <c r="P92" s="1112"/>
      <c r="Q92" s="1134"/>
      <c r="R92" s="1134"/>
      <c r="S92" s="1134"/>
      <c r="T92" s="1134"/>
      <c r="U92" s="1138"/>
      <c r="V92" s="1112"/>
      <c r="W92" s="1112"/>
      <c r="X92" s="1112"/>
      <c r="Y92" s="1114"/>
      <c r="Z92" s="1114"/>
      <c r="AA92" s="1111"/>
      <c r="AB92" s="1111"/>
      <c r="AC92" s="1112"/>
      <c r="AD92" s="1112"/>
      <c r="AE92" s="436">
        <f>G92*O92</f>
        <v>0</v>
      </c>
      <c r="AF92" s="436">
        <f>G92*P92</f>
        <v>0</v>
      </c>
      <c r="AG92" s="436">
        <f>N92*O92</f>
        <v>0</v>
      </c>
      <c r="AH92" s="436">
        <f>N92*P92</f>
        <v>0</v>
      </c>
      <c r="AI92" s="436">
        <f>AG92-AE92</f>
        <v>0</v>
      </c>
      <c r="AJ92" s="436">
        <f>AH92-AF92</f>
        <v>0</v>
      </c>
      <c r="AK92" s="437">
        <f>V92*O92</f>
        <v>0</v>
      </c>
      <c r="AL92" s="437">
        <f>V92*P92</f>
        <v>0</v>
      </c>
      <c r="AM92" s="437">
        <f>W92</f>
        <v>0</v>
      </c>
      <c r="AN92" s="437">
        <f t="shared" si="33"/>
        <v>0</v>
      </c>
      <c r="AO92" s="437">
        <f t="shared" si="34"/>
        <v>0</v>
      </c>
      <c r="AP92" s="437">
        <f>AG92</f>
        <v>0</v>
      </c>
      <c r="AQ92" s="437">
        <f>AH92</f>
        <v>0</v>
      </c>
      <c r="AR92" s="436"/>
      <c r="AS92" s="437">
        <f>AP92+AQ92-AR92</f>
        <v>0</v>
      </c>
    </row>
    <row r="93" spans="1:45" s="438" customFormat="1" ht="23.25" customHeight="1">
      <c r="A93" s="1134"/>
      <c r="B93" s="1134"/>
      <c r="C93" s="1139" t="s">
        <v>502</v>
      </c>
      <c r="D93" s="1134" t="s">
        <v>1016</v>
      </c>
      <c r="E93" s="1134" t="s">
        <v>1017</v>
      </c>
      <c r="F93" s="1134">
        <v>13</v>
      </c>
      <c r="G93" s="1112">
        <v>6769</v>
      </c>
      <c r="H93" s="1134"/>
      <c r="I93" s="1134"/>
      <c r="J93" s="1134"/>
      <c r="K93" s="1134"/>
      <c r="L93" s="435">
        <v>0.15</v>
      </c>
      <c r="M93" s="1138"/>
      <c r="N93" s="1112">
        <f>G93+H94+I94+L94</f>
        <v>7784.35</v>
      </c>
      <c r="O93" s="1112"/>
      <c r="P93" s="1112">
        <v>0.5</v>
      </c>
      <c r="Q93" s="1134"/>
      <c r="R93" s="1134"/>
      <c r="S93" s="1134"/>
      <c r="T93" s="1134">
        <v>39</v>
      </c>
      <c r="U93" s="1138">
        <v>0.3</v>
      </c>
      <c r="V93" s="1112">
        <f>N93*U93</f>
        <v>2335.3049999999998</v>
      </c>
      <c r="W93" s="1112"/>
      <c r="X93" s="1112">
        <f>(N93+V93)*P93</f>
        <v>5059.8275000000003</v>
      </c>
      <c r="Y93" s="1113">
        <f>AB93</f>
        <v>4940.1724999999997</v>
      </c>
      <c r="Z93" s="1113">
        <f>X93+Y93</f>
        <v>10000</v>
      </c>
      <c r="AA93" s="1110">
        <f>20000*P93</f>
        <v>10000</v>
      </c>
      <c r="AB93" s="1110">
        <f>AA93-X93</f>
        <v>4940.1724999999997</v>
      </c>
      <c r="AC93" s="1112">
        <f>6700*P93</f>
        <v>3350</v>
      </c>
      <c r="AD93" s="1112">
        <f>X93-AC93</f>
        <v>1709.8275000000003</v>
      </c>
      <c r="AE93" s="436">
        <f t="shared" si="25"/>
        <v>0</v>
      </c>
      <c r="AF93" s="436">
        <f t="shared" si="26"/>
        <v>3384.5</v>
      </c>
      <c r="AG93" s="436">
        <f t="shared" si="27"/>
        <v>0</v>
      </c>
      <c r="AH93" s="436">
        <f t="shared" si="28"/>
        <v>3892.1750000000002</v>
      </c>
      <c r="AI93" s="436">
        <f t="shared" si="29"/>
        <v>0</v>
      </c>
      <c r="AJ93" s="436">
        <f t="shared" si="29"/>
        <v>507.67500000000018</v>
      </c>
      <c r="AK93" s="437">
        <f t="shared" si="30"/>
        <v>0</v>
      </c>
      <c r="AL93" s="437">
        <f t="shared" si="31"/>
        <v>1167.6524999999999</v>
      </c>
      <c r="AM93" s="437">
        <f t="shared" si="32"/>
        <v>0</v>
      </c>
      <c r="AN93" s="437">
        <f t="shared" si="33"/>
        <v>0</v>
      </c>
      <c r="AO93" s="437">
        <f t="shared" si="34"/>
        <v>0</v>
      </c>
      <c r="AP93" s="437">
        <f t="shared" si="35"/>
        <v>0</v>
      </c>
      <c r="AQ93" s="437">
        <f t="shared" si="35"/>
        <v>3892.1750000000002</v>
      </c>
      <c r="AR93" s="436"/>
      <c r="AS93" s="437">
        <f t="shared" si="36"/>
        <v>3892.1750000000002</v>
      </c>
    </row>
    <row r="94" spans="1:45" s="438" customFormat="1">
      <c r="A94" s="1134"/>
      <c r="B94" s="1134"/>
      <c r="C94" s="1139"/>
      <c r="D94" s="1134"/>
      <c r="E94" s="1134"/>
      <c r="F94" s="1134"/>
      <c r="G94" s="1112"/>
      <c r="H94" s="1134"/>
      <c r="I94" s="1134"/>
      <c r="J94" s="1134"/>
      <c r="K94" s="1134"/>
      <c r="L94" s="448">
        <f>G93*L93</f>
        <v>1015.3499999999999</v>
      </c>
      <c r="M94" s="1134"/>
      <c r="N94" s="1112"/>
      <c r="O94" s="1112"/>
      <c r="P94" s="1112"/>
      <c r="Q94" s="1134"/>
      <c r="R94" s="1134"/>
      <c r="S94" s="1134"/>
      <c r="T94" s="1134"/>
      <c r="U94" s="1138"/>
      <c r="V94" s="1112"/>
      <c r="W94" s="1112"/>
      <c r="X94" s="1112"/>
      <c r="Y94" s="1114"/>
      <c r="Z94" s="1114"/>
      <c r="AA94" s="1111"/>
      <c r="AB94" s="1111"/>
      <c r="AC94" s="1112"/>
      <c r="AD94" s="1112"/>
      <c r="AE94" s="436">
        <f t="shared" si="25"/>
        <v>0</v>
      </c>
      <c r="AF94" s="436">
        <f t="shared" si="26"/>
        <v>0</v>
      </c>
      <c r="AG94" s="436">
        <f t="shared" si="27"/>
        <v>0</v>
      </c>
      <c r="AH94" s="436">
        <f t="shared" si="28"/>
        <v>0</v>
      </c>
      <c r="AI94" s="436">
        <f t="shared" si="29"/>
        <v>0</v>
      </c>
      <c r="AJ94" s="436">
        <f t="shared" si="29"/>
        <v>0</v>
      </c>
      <c r="AK94" s="437">
        <f t="shared" si="30"/>
        <v>0</v>
      </c>
      <c r="AL94" s="437">
        <f t="shared" si="31"/>
        <v>0</v>
      </c>
      <c r="AM94" s="437">
        <f t="shared" si="32"/>
        <v>0</v>
      </c>
      <c r="AN94" s="437">
        <f t="shared" si="33"/>
        <v>0</v>
      </c>
      <c r="AO94" s="437">
        <f t="shared" si="34"/>
        <v>0</v>
      </c>
      <c r="AP94" s="437">
        <f t="shared" si="35"/>
        <v>0</v>
      </c>
      <c r="AQ94" s="437">
        <f t="shared" si="35"/>
        <v>0</v>
      </c>
      <c r="AR94" s="436"/>
      <c r="AS94" s="437">
        <f t="shared" si="36"/>
        <v>0</v>
      </c>
    </row>
    <row r="95" spans="1:45" s="446" customFormat="1" ht="23.25" customHeight="1">
      <c r="A95" s="441"/>
      <c r="B95" s="441"/>
      <c r="C95" s="442" t="s">
        <v>318</v>
      </c>
      <c r="D95" s="443"/>
      <c r="E95" s="441"/>
      <c r="F95" s="441"/>
      <c r="G95" s="444">
        <f>SUM(G69:G94)</f>
        <v>87997</v>
      </c>
      <c r="H95" s="444">
        <f>H70</f>
        <v>1804</v>
      </c>
      <c r="I95" s="441">
        <f>I70+I72+I74+I76+I78+I80+I82+I84+I86+I88+I90</f>
        <v>18499.800000000003</v>
      </c>
      <c r="J95" s="441"/>
      <c r="K95" s="441"/>
      <c r="L95" s="441">
        <f>L94</f>
        <v>1015.3499999999999</v>
      </c>
      <c r="M95" s="441"/>
      <c r="N95" s="444">
        <f>SUM(N69:N94)</f>
        <v>110331.50000000001</v>
      </c>
      <c r="O95" s="444">
        <f>SUM(O69:O94)</f>
        <v>4.5</v>
      </c>
      <c r="P95" s="444">
        <f>SUM(P69:P94)</f>
        <v>3</v>
      </c>
      <c r="Q95" s="444"/>
      <c r="R95" s="444"/>
      <c r="S95" s="444"/>
      <c r="T95" s="444"/>
      <c r="U95" s="444"/>
      <c r="V95" s="444">
        <f t="shared" ref="V95:AD95" si="37">SUM(V69:V94)</f>
        <v>22963.185000000001</v>
      </c>
      <c r="W95" s="444">
        <f t="shared" si="37"/>
        <v>0</v>
      </c>
      <c r="X95" s="444">
        <f t="shared" si="37"/>
        <v>79349.902499999997</v>
      </c>
      <c r="Y95" s="444">
        <f t="shared" si="37"/>
        <v>70650.097500000003</v>
      </c>
      <c r="Z95" s="444">
        <f t="shared" si="37"/>
        <v>150000</v>
      </c>
      <c r="AA95" s="499">
        <f t="shared" si="37"/>
        <v>150000</v>
      </c>
      <c r="AB95" s="499">
        <f t="shared" si="37"/>
        <v>70650.097500000003</v>
      </c>
      <c r="AC95" s="444">
        <f t="shared" si="37"/>
        <v>50250</v>
      </c>
      <c r="AD95" s="444">
        <f t="shared" si="37"/>
        <v>29099.9025</v>
      </c>
      <c r="AE95" s="436"/>
      <c r="AF95" s="436"/>
      <c r="AG95" s="436"/>
      <c r="AH95" s="436"/>
      <c r="AI95" s="436"/>
      <c r="AJ95" s="436"/>
      <c r="AK95" s="437"/>
      <c r="AL95" s="437"/>
      <c r="AM95" s="437"/>
      <c r="AN95" s="437"/>
      <c r="AO95" s="437"/>
      <c r="AP95" s="437">
        <f t="shared" si="35"/>
        <v>0</v>
      </c>
      <c r="AQ95" s="437">
        <f t="shared" si="35"/>
        <v>0</v>
      </c>
      <c r="AR95" s="436"/>
      <c r="AS95" s="437">
        <f t="shared" si="36"/>
        <v>0</v>
      </c>
    </row>
    <row r="96" spans="1:45" s="446" customFormat="1" ht="23.25" customHeight="1">
      <c r="A96" s="441"/>
      <c r="B96" s="441"/>
      <c r="C96" s="1136" t="s">
        <v>1018</v>
      </c>
      <c r="D96" s="1136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503"/>
      <c r="AB96" s="503"/>
      <c r="AC96" s="441"/>
      <c r="AD96" s="441"/>
      <c r="AE96" s="436">
        <f t="shared" si="25"/>
        <v>0</v>
      </c>
      <c r="AF96" s="436">
        <f t="shared" si="26"/>
        <v>0</v>
      </c>
      <c r="AG96" s="436">
        <f t="shared" si="27"/>
        <v>0</v>
      </c>
      <c r="AH96" s="436">
        <f t="shared" si="28"/>
        <v>0</v>
      </c>
      <c r="AI96" s="436">
        <f t="shared" si="29"/>
        <v>0</v>
      </c>
      <c r="AJ96" s="436">
        <f t="shared" si="29"/>
        <v>0</v>
      </c>
      <c r="AK96" s="437">
        <f t="shared" si="30"/>
        <v>0</v>
      </c>
      <c r="AL96" s="437">
        <f t="shared" si="31"/>
        <v>0</v>
      </c>
      <c r="AM96" s="437">
        <f t="shared" si="32"/>
        <v>0</v>
      </c>
      <c r="AN96" s="437">
        <f t="shared" ref="AN96:AN108" si="38">S96*O96</f>
        <v>0</v>
      </c>
      <c r="AO96" s="437">
        <f t="shared" ref="AO96:AO108" si="39">S96*P96</f>
        <v>0</v>
      </c>
      <c r="AP96" s="437">
        <f t="shared" si="35"/>
        <v>0</v>
      </c>
      <c r="AQ96" s="437">
        <f t="shared" si="35"/>
        <v>0</v>
      </c>
      <c r="AR96" s="436"/>
      <c r="AS96" s="437">
        <f t="shared" si="36"/>
        <v>0</v>
      </c>
    </row>
    <row r="97" spans="1:45" s="438" customFormat="1" ht="24.95" customHeight="1">
      <c r="A97" s="1134"/>
      <c r="B97" s="1134"/>
      <c r="C97" s="1139" t="s">
        <v>1019</v>
      </c>
      <c r="D97" s="1134" t="s">
        <v>1020</v>
      </c>
      <c r="E97" s="1134" t="s">
        <v>503</v>
      </c>
      <c r="F97" s="1134">
        <v>13</v>
      </c>
      <c r="G97" s="1112">
        <v>6769</v>
      </c>
      <c r="H97" s="435">
        <v>0.25</v>
      </c>
      <c r="I97" s="1112"/>
      <c r="J97" s="1112"/>
      <c r="K97" s="1112"/>
      <c r="L97" s="435">
        <v>0.15</v>
      </c>
      <c r="M97" s="1138"/>
      <c r="N97" s="1112">
        <f>G97+H98+I98+L98</f>
        <v>9476.6</v>
      </c>
      <c r="O97" s="1112">
        <v>1</v>
      </c>
      <c r="P97" s="1134"/>
      <c r="Q97" s="1134"/>
      <c r="R97" s="1138"/>
      <c r="S97" s="1134"/>
      <c r="T97" s="1134">
        <v>25</v>
      </c>
      <c r="U97" s="1138">
        <v>0.3</v>
      </c>
      <c r="V97" s="1112">
        <f>N97*U97</f>
        <v>2842.98</v>
      </c>
      <c r="W97" s="1112"/>
      <c r="X97" s="1112">
        <f>N97+R98+V97</f>
        <v>12319.58</v>
      </c>
      <c r="Y97" s="1112">
        <f>AB97</f>
        <v>7680.42</v>
      </c>
      <c r="Z97" s="1112">
        <f>X97+Y97</f>
        <v>20000</v>
      </c>
      <c r="AA97" s="1109">
        <f>20000*O97</f>
        <v>20000</v>
      </c>
      <c r="AB97" s="1109">
        <f>AA97-X97</f>
        <v>7680.42</v>
      </c>
      <c r="AC97" s="1112">
        <f>6700*O97</f>
        <v>6700</v>
      </c>
      <c r="AD97" s="1112">
        <f>X97-AC97</f>
        <v>5619.58</v>
      </c>
      <c r="AE97" s="436">
        <f t="shared" si="25"/>
        <v>6769</v>
      </c>
      <c r="AF97" s="436">
        <f t="shared" si="26"/>
        <v>0</v>
      </c>
      <c r="AG97" s="436">
        <f t="shared" si="27"/>
        <v>9476.6</v>
      </c>
      <c r="AH97" s="436">
        <f t="shared" si="28"/>
        <v>0</v>
      </c>
      <c r="AI97" s="436">
        <f t="shared" si="29"/>
        <v>2707.6000000000004</v>
      </c>
      <c r="AJ97" s="436">
        <f t="shared" si="29"/>
        <v>0</v>
      </c>
      <c r="AK97" s="437">
        <f t="shared" si="30"/>
        <v>2842.98</v>
      </c>
      <c r="AL97" s="437">
        <f t="shared" si="31"/>
        <v>0</v>
      </c>
      <c r="AM97" s="437">
        <f t="shared" si="32"/>
        <v>0</v>
      </c>
      <c r="AN97" s="437">
        <f t="shared" si="38"/>
        <v>0</v>
      </c>
      <c r="AO97" s="437">
        <f t="shared" si="39"/>
        <v>0</v>
      </c>
      <c r="AP97" s="437">
        <f t="shared" si="35"/>
        <v>9476.6</v>
      </c>
      <c r="AQ97" s="437">
        <f t="shared" si="35"/>
        <v>0</v>
      </c>
      <c r="AR97" s="436"/>
      <c r="AS97" s="437">
        <f t="shared" si="36"/>
        <v>9476.6</v>
      </c>
    </row>
    <row r="98" spans="1:45" s="438" customFormat="1" ht="24.95" customHeight="1">
      <c r="A98" s="1134"/>
      <c r="B98" s="1134"/>
      <c r="C98" s="1139"/>
      <c r="D98" s="1134"/>
      <c r="E98" s="1134"/>
      <c r="F98" s="1134"/>
      <c r="G98" s="1134"/>
      <c r="H98" s="439">
        <f>G97*H97</f>
        <v>1692.25</v>
      </c>
      <c r="I98" s="1112"/>
      <c r="J98" s="1112"/>
      <c r="K98" s="1112"/>
      <c r="L98" s="449">
        <f>G97*L97</f>
        <v>1015.3499999999999</v>
      </c>
      <c r="M98" s="1134"/>
      <c r="N98" s="1112"/>
      <c r="O98" s="1134"/>
      <c r="P98" s="1134"/>
      <c r="Q98" s="1134"/>
      <c r="R98" s="1134"/>
      <c r="S98" s="1134"/>
      <c r="T98" s="1134"/>
      <c r="U98" s="1138"/>
      <c r="V98" s="1112"/>
      <c r="W98" s="1134"/>
      <c r="X98" s="1134"/>
      <c r="Y98" s="1112"/>
      <c r="Z98" s="1112"/>
      <c r="AA98" s="1109"/>
      <c r="AB98" s="1109"/>
      <c r="AC98" s="1112"/>
      <c r="AD98" s="1112"/>
      <c r="AE98" s="436">
        <f t="shared" si="25"/>
        <v>0</v>
      </c>
      <c r="AF98" s="436">
        <f t="shared" si="26"/>
        <v>0</v>
      </c>
      <c r="AG98" s="436">
        <f t="shared" si="27"/>
        <v>0</v>
      </c>
      <c r="AH98" s="436">
        <f t="shared" si="28"/>
        <v>0</v>
      </c>
      <c r="AI98" s="436">
        <f t="shared" si="29"/>
        <v>0</v>
      </c>
      <c r="AJ98" s="436">
        <f t="shared" si="29"/>
        <v>0</v>
      </c>
      <c r="AK98" s="437">
        <f t="shared" si="30"/>
        <v>0</v>
      </c>
      <c r="AL98" s="437">
        <f t="shared" si="31"/>
        <v>0</v>
      </c>
      <c r="AM98" s="437">
        <f t="shared" si="32"/>
        <v>0</v>
      </c>
      <c r="AN98" s="437">
        <f t="shared" si="38"/>
        <v>0</v>
      </c>
      <c r="AO98" s="437">
        <f t="shared" si="39"/>
        <v>0</v>
      </c>
      <c r="AP98" s="437">
        <f t="shared" si="35"/>
        <v>0</v>
      </c>
      <c r="AQ98" s="437">
        <f t="shared" si="35"/>
        <v>0</v>
      </c>
      <c r="AR98" s="436"/>
      <c r="AS98" s="437">
        <f t="shared" si="36"/>
        <v>0</v>
      </c>
    </row>
    <row r="99" spans="1:45" s="438" customFormat="1" ht="24.95" customHeight="1">
      <c r="A99" s="1134"/>
      <c r="B99" s="1134"/>
      <c r="C99" s="1139"/>
      <c r="D99" s="1134"/>
      <c r="E99" s="1134"/>
      <c r="F99" s="1134">
        <v>13</v>
      </c>
      <c r="G99" s="1112"/>
      <c r="H99" s="1112"/>
      <c r="I99" s="1112"/>
      <c r="J99" s="1112"/>
      <c r="K99" s="1112"/>
      <c r="L99" s="435">
        <v>0.15</v>
      </c>
      <c r="M99" s="1138"/>
      <c r="N99" s="1112">
        <f>G99+H100+I100+L100</f>
        <v>0</v>
      </c>
      <c r="O99" s="1112"/>
      <c r="P99" s="1134"/>
      <c r="Q99" s="1134"/>
      <c r="R99" s="1138"/>
      <c r="S99" s="1134"/>
      <c r="T99" s="1134">
        <v>25</v>
      </c>
      <c r="U99" s="1138">
        <v>0.3</v>
      </c>
      <c r="V99" s="1112">
        <f>N99*U99</f>
        <v>0</v>
      </c>
      <c r="W99" s="1112"/>
      <c r="X99" s="1112">
        <f>(N99+V99)*P99+W99</f>
        <v>0</v>
      </c>
      <c r="Y99" s="1113">
        <f>AB99</f>
        <v>0</v>
      </c>
      <c r="Z99" s="1113">
        <f>X99+Y99</f>
        <v>0</v>
      </c>
      <c r="AA99" s="1110">
        <f>20000*P99</f>
        <v>0</v>
      </c>
      <c r="AB99" s="1110">
        <f>AA99-X99</f>
        <v>0</v>
      </c>
      <c r="AC99" s="1112">
        <f>6700*P99</f>
        <v>0</v>
      </c>
      <c r="AD99" s="1112">
        <f>X99-AC99</f>
        <v>0</v>
      </c>
      <c r="AE99" s="436">
        <f>G99*O99</f>
        <v>0</v>
      </c>
      <c r="AF99" s="436">
        <f>G99*P99</f>
        <v>0</v>
      </c>
      <c r="AG99" s="436">
        <f>N99*O99</f>
        <v>0</v>
      </c>
      <c r="AH99" s="436">
        <f>N99*P99</f>
        <v>0</v>
      </c>
      <c r="AI99" s="436">
        <f t="shared" si="29"/>
        <v>0</v>
      </c>
      <c r="AJ99" s="436">
        <f t="shared" si="29"/>
        <v>0</v>
      </c>
      <c r="AK99" s="437">
        <f>V99*O99</f>
        <v>0</v>
      </c>
      <c r="AL99" s="437">
        <f>V99*P99</f>
        <v>0</v>
      </c>
      <c r="AM99" s="437">
        <f>W99</f>
        <v>0</v>
      </c>
      <c r="AN99" s="437">
        <f t="shared" si="38"/>
        <v>0</v>
      </c>
      <c r="AO99" s="437">
        <f t="shared" si="39"/>
        <v>0</v>
      </c>
      <c r="AP99" s="437">
        <f t="shared" si="35"/>
        <v>0</v>
      </c>
      <c r="AQ99" s="437">
        <f t="shared" si="35"/>
        <v>0</v>
      </c>
      <c r="AR99" s="436"/>
      <c r="AS99" s="437">
        <f>AP99+AQ99-AR99</f>
        <v>0</v>
      </c>
    </row>
    <row r="100" spans="1:45" s="438" customFormat="1" ht="24.95" customHeight="1">
      <c r="A100" s="1134"/>
      <c r="B100" s="1134"/>
      <c r="C100" s="1139"/>
      <c r="D100" s="1134"/>
      <c r="E100" s="1134"/>
      <c r="F100" s="1134"/>
      <c r="G100" s="1134"/>
      <c r="H100" s="1112"/>
      <c r="I100" s="1112"/>
      <c r="J100" s="1112"/>
      <c r="K100" s="1112"/>
      <c r="L100" s="449">
        <f>G99*L99</f>
        <v>0</v>
      </c>
      <c r="M100" s="1134"/>
      <c r="N100" s="1112"/>
      <c r="O100" s="1134"/>
      <c r="P100" s="1134"/>
      <c r="Q100" s="1134"/>
      <c r="R100" s="1134"/>
      <c r="S100" s="1134"/>
      <c r="T100" s="1134"/>
      <c r="U100" s="1138"/>
      <c r="V100" s="1112"/>
      <c r="W100" s="1134"/>
      <c r="X100" s="1112"/>
      <c r="Y100" s="1114"/>
      <c r="Z100" s="1114"/>
      <c r="AA100" s="1111"/>
      <c r="AB100" s="1111"/>
      <c r="AC100" s="1112"/>
      <c r="AD100" s="1112"/>
      <c r="AE100" s="436">
        <f>G100*O100</f>
        <v>0</v>
      </c>
      <c r="AF100" s="436">
        <f>G100*P100</f>
        <v>0</v>
      </c>
      <c r="AG100" s="436">
        <f>N100*O100</f>
        <v>0</v>
      </c>
      <c r="AH100" s="436">
        <f>N100*P100</f>
        <v>0</v>
      </c>
      <c r="AI100" s="436">
        <f t="shared" si="29"/>
        <v>0</v>
      </c>
      <c r="AJ100" s="436">
        <f t="shared" si="29"/>
        <v>0</v>
      </c>
      <c r="AK100" s="437">
        <f>V100*O100</f>
        <v>0</v>
      </c>
      <c r="AL100" s="437">
        <f>V100*P100</f>
        <v>0</v>
      </c>
      <c r="AM100" s="437">
        <f>W100</f>
        <v>0</v>
      </c>
      <c r="AN100" s="437">
        <f t="shared" si="38"/>
        <v>0</v>
      </c>
      <c r="AO100" s="437">
        <f t="shared" si="39"/>
        <v>0</v>
      </c>
      <c r="AP100" s="437">
        <f t="shared" si="35"/>
        <v>0</v>
      </c>
      <c r="AQ100" s="437">
        <f t="shared" si="35"/>
        <v>0</v>
      </c>
      <c r="AR100" s="436"/>
      <c r="AS100" s="437">
        <f>AP100+AQ100-AR100</f>
        <v>0</v>
      </c>
    </row>
    <row r="101" spans="1:45" s="438" customFormat="1" ht="24.95" customHeight="1">
      <c r="A101" s="1134"/>
      <c r="B101" s="1134"/>
      <c r="C101" s="1139"/>
      <c r="D101" s="1134"/>
      <c r="E101" s="1134"/>
      <c r="F101" s="1134">
        <v>13</v>
      </c>
      <c r="G101" s="1112"/>
      <c r="H101" s="1112"/>
      <c r="I101" s="1112"/>
      <c r="J101" s="1112"/>
      <c r="K101" s="1112"/>
      <c r="L101" s="435">
        <v>0.15</v>
      </c>
      <c r="M101" s="1138"/>
      <c r="N101" s="1112">
        <f>G101+H102+I102+L102</f>
        <v>0</v>
      </c>
      <c r="O101" s="1112"/>
      <c r="P101" s="1134"/>
      <c r="Q101" s="1134"/>
      <c r="R101" s="1138"/>
      <c r="S101" s="1134"/>
      <c r="T101" s="1134"/>
      <c r="U101" s="1138"/>
      <c r="V101" s="1112">
        <f>N101*U101</f>
        <v>0</v>
      </c>
      <c r="W101" s="1112"/>
      <c r="X101" s="1112">
        <f>N101+R102+V101</f>
        <v>0</v>
      </c>
      <c r="Y101" s="1112">
        <f>AB101</f>
        <v>0</v>
      </c>
      <c r="Z101" s="1112">
        <f>X101+Y101</f>
        <v>0</v>
      </c>
      <c r="AA101" s="1109">
        <f>20000*O101</f>
        <v>0</v>
      </c>
      <c r="AB101" s="1109">
        <f>AA101-X101</f>
        <v>0</v>
      </c>
      <c r="AC101" s="1112">
        <f>6700*O101</f>
        <v>0</v>
      </c>
      <c r="AD101" s="1112">
        <f>X101-AC101</f>
        <v>0</v>
      </c>
      <c r="AE101" s="436">
        <f>G101*O101</f>
        <v>0</v>
      </c>
      <c r="AF101" s="436">
        <f>G101*P101</f>
        <v>0</v>
      </c>
      <c r="AG101" s="436">
        <f>N101*O101</f>
        <v>0</v>
      </c>
      <c r="AH101" s="436">
        <f>N101*P101</f>
        <v>0</v>
      </c>
      <c r="AI101" s="436">
        <f t="shared" si="29"/>
        <v>0</v>
      </c>
      <c r="AJ101" s="436">
        <f t="shared" si="29"/>
        <v>0</v>
      </c>
      <c r="AK101" s="437">
        <f>V101*O101</f>
        <v>0</v>
      </c>
      <c r="AL101" s="437">
        <f>V101*P101</f>
        <v>0</v>
      </c>
      <c r="AM101" s="437">
        <f>W101</f>
        <v>0</v>
      </c>
      <c r="AN101" s="437">
        <f t="shared" si="38"/>
        <v>0</v>
      </c>
      <c r="AO101" s="437">
        <f t="shared" si="39"/>
        <v>0</v>
      </c>
      <c r="AP101" s="437">
        <f t="shared" si="35"/>
        <v>0</v>
      </c>
      <c r="AQ101" s="437">
        <f t="shared" si="35"/>
        <v>0</v>
      </c>
      <c r="AR101" s="436"/>
      <c r="AS101" s="437">
        <f>AP101+AQ101-AR101</f>
        <v>0</v>
      </c>
    </row>
    <row r="102" spans="1:45" s="438" customFormat="1" ht="24.95" customHeight="1">
      <c r="A102" s="1134"/>
      <c r="B102" s="1134"/>
      <c r="C102" s="1139"/>
      <c r="D102" s="1134"/>
      <c r="E102" s="1134"/>
      <c r="F102" s="1134"/>
      <c r="G102" s="1134"/>
      <c r="H102" s="1112"/>
      <c r="I102" s="1112"/>
      <c r="J102" s="1112"/>
      <c r="K102" s="1112"/>
      <c r="L102" s="449">
        <f>G101*L101</f>
        <v>0</v>
      </c>
      <c r="M102" s="1134"/>
      <c r="N102" s="1112"/>
      <c r="O102" s="1134"/>
      <c r="P102" s="1134"/>
      <c r="Q102" s="1134"/>
      <c r="R102" s="1134"/>
      <c r="S102" s="1134"/>
      <c r="T102" s="1134"/>
      <c r="U102" s="1138"/>
      <c r="V102" s="1112"/>
      <c r="W102" s="1134"/>
      <c r="X102" s="1112"/>
      <c r="Y102" s="1112"/>
      <c r="Z102" s="1112"/>
      <c r="AA102" s="1109"/>
      <c r="AB102" s="1109"/>
      <c r="AC102" s="1112"/>
      <c r="AD102" s="1112"/>
      <c r="AE102" s="436">
        <f>G102*O102</f>
        <v>0</v>
      </c>
      <c r="AF102" s="436">
        <f>G102*P102</f>
        <v>0</v>
      </c>
      <c r="AG102" s="436">
        <f>N102*O102</f>
        <v>0</v>
      </c>
      <c r="AH102" s="436">
        <f>N102*P102</f>
        <v>0</v>
      </c>
      <c r="AI102" s="436">
        <f t="shared" si="29"/>
        <v>0</v>
      </c>
      <c r="AJ102" s="436">
        <f t="shared" si="29"/>
        <v>0</v>
      </c>
      <c r="AK102" s="437">
        <f>V102*O102</f>
        <v>0</v>
      </c>
      <c r="AL102" s="437">
        <f>V102*P102</f>
        <v>0</v>
      </c>
      <c r="AM102" s="437">
        <f>W102</f>
        <v>0</v>
      </c>
      <c r="AN102" s="437">
        <f t="shared" si="38"/>
        <v>0</v>
      </c>
      <c r="AO102" s="437">
        <f t="shared" si="39"/>
        <v>0</v>
      </c>
      <c r="AP102" s="437">
        <f t="shared" si="35"/>
        <v>0</v>
      </c>
      <c r="AQ102" s="437">
        <f t="shared" si="35"/>
        <v>0</v>
      </c>
      <c r="AR102" s="436"/>
      <c r="AS102" s="437">
        <f>AP102+AQ102-AR102</f>
        <v>0</v>
      </c>
    </row>
    <row r="103" spans="1:45" s="438" customFormat="1" ht="24.95" customHeight="1">
      <c r="A103" s="1134"/>
      <c r="B103" s="1134"/>
      <c r="C103" s="1139" t="s">
        <v>504</v>
      </c>
      <c r="D103" s="1134" t="s">
        <v>1021</v>
      </c>
      <c r="E103" s="1134" t="s">
        <v>505</v>
      </c>
      <c r="F103" s="1134">
        <v>14</v>
      </c>
      <c r="G103" s="1112">
        <v>7216</v>
      </c>
      <c r="H103" s="1134"/>
      <c r="I103" s="435">
        <v>0.15</v>
      </c>
      <c r="J103" s="1112"/>
      <c r="K103" s="1134"/>
      <c r="L103" s="435">
        <v>0.15</v>
      </c>
      <c r="M103" s="1138"/>
      <c r="N103" s="1112">
        <f>G103+H104+I104+L104</f>
        <v>9543.16</v>
      </c>
      <c r="O103" s="1112">
        <v>1</v>
      </c>
      <c r="P103" s="1112"/>
      <c r="Q103" s="1134"/>
      <c r="R103" s="1138"/>
      <c r="S103" s="1134"/>
      <c r="T103" s="1134">
        <v>27</v>
      </c>
      <c r="U103" s="1138">
        <v>0.3</v>
      </c>
      <c r="V103" s="1112">
        <f>N103*U103</f>
        <v>2862.9479999999999</v>
      </c>
      <c r="W103" s="1112"/>
      <c r="X103" s="1112">
        <f>N103+R104+V103</f>
        <v>12406.108</v>
      </c>
      <c r="Y103" s="1112">
        <f>AB103</f>
        <v>7593.8919999999998</v>
      </c>
      <c r="Z103" s="1112">
        <f>X103+Y103</f>
        <v>20000</v>
      </c>
      <c r="AA103" s="1109">
        <f>20000*O103</f>
        <v>20000</v>
      </c>
      <c r="AB103" s="1109">
        <f>AA103-X103</f>
        <v>7593.8919999999998</v>
      </c>
      <c r="AC103" s="1112">
        <f>6700*O103</f>
        <v>6700</v>
      </c>
      <c r="AD103" s="1112">
        <f>X103-AC103</f>
        <v>5706.1080000000002</v>
      </c>
      <c r="AE103" s="436">
        <f t="shared" si="25"/>
        <v>7216</v>
      </c>
      <c r="AF103" s="436">
        <f t="shared" si="26"/>
        <v>0</v>
      </c>
      <c r="AG103" s="436">
        <f t="shared" si="27"/>
        <v>9543.16</v>
      </c>
      <c r="AH103" s="436">
        <f t="shared" si="28"/>
        <v>0</v>
      </c>
      <c r="AI103" s="436">
        <f t="shared" si="29"/>
        <v>2327.16</v>
      </c>
      <c r="AJ103" s="436">
        <f t="shared" si="29"/>
        <v>0</v>
      </c>
      <c r="AK103" s="437">
        <f t="shared" si="30"/>
        <v>2862.9479999999999</v>
      </c>
      <c r="AL103" s="437">
        <f t="shared" si="31"/>
        <v>0</v>
      </c>
      <c r="AM103" s="437">
        <f t="shared" si="32"/>
        <v>0</v>
      </c>
      <c r="AN103" s="437">
        <f t="shared" si="38"/>
        <v>0</v>
      </c>
      <c r="AO103" s="437">
        <f t="shared" si="39"/>
        <v>0</v>
      </c>
      <c r="AP103" s="437">
        <f t="shared" si="35"/>
        <v>9543.16</v>
      </c>
      <c r="AQ103" s="437">
        <f t="shared" si="35"/>
        <v>0</v>
      </c>
      <c r="AR103" s="436"/>
      <c r="AS103" s="437">
        <f t="shared" si="36"/>
        <v>9543.16</v>
      </c>
    </row>
    <row r="104" spans="1:45" s="438" customFormat="1" ht="24.95" customHeight="1">
      <c r="A104" s="1134"/>
      <c r="B104" s="1134"/>
      <c r="C104" s="1139"/>
      <c r="D104" s="1134"/>
      <c r="E104" s="1134"/>
      <c r="F104" s="1134"/>
      <c r="G104" s="1112"/>
      <c r="H104" s="1134"/>
      <c r="I104" s="449">
        <f>(G103+H104)*I103</f>
        <v>1082.3999999999999</v>
      </c>
      <c r="J104" s="1112"/>
      <c r="K104" s="1134"/>
      <c r="L104" s="439">
        <f>(G103+H104+I104)*L103</f>
        <v>1244.76</v>
      </c>
      <c r="M104" s="1134"/>
      <c r="N104" s="1112"/>
      <c r="O104" s="1112"/>
      <c r="P104" s="1112"/>
      <c r="Q104" s="1134"/>
      <c r="R104" s="1134"/>
      <c r="S104" s="1134"/>
      <c r="T104" s="1134"/>
      <c r="U104" s="1138"/>
      <c r="V104" s="1112"/>
      <c r="W104" s="1112"/>
      <c r="X104" s="1112"/>
      <c r="Y104" s="1112"/>
      <c r="Z104" s="1112"/>
      <c r="AA104" s="1109"/>
      <c r="AB104" s="1109"/>
      <c r="AC104" s="1112"/>
      <c r="AD104" s="1112"/>
      <c r="AE104" s="436">
        <f t="shared" si="25"/>
        <v>0</v>
      </c>
      <c r="AF104" s="436">
        <f t="shared" si="26"/>
        <v>0</v>
      </c>
      <c r="AG104" s="436">
        <f t="shared" si="27"/>
        <v>0</v>
      </c>
      <c r="AH104" s="436">
        <f t="shared" si="28"/>
        <v>0</v>
      </c>
      <c r="AI104" s="436">
        <f t="shared" si="29"/>
        <v>0</v>
      </c>
      <c r="AJ104" s="436">
        <f t="shared" si="29"/>
        <v>0</v>
      </c>
      <c r="AK104" s="437">
        <f t="shared" si="30"/>
        <v>0</v>
      </c>
      <c r="AL104" s="437">
        <f t="shared" si="31"/>
        <v>0</v>
      </c>
      <c r="AM104" s="437">
        <f t="shared" si="32"/>
        <v>0</v>
      </c>
      <c r="AN104" s="437">
        <f t="shared" si="38"/>
        <v>0</v>
      </c>
      <c r="AO104" s="437">
        <f t="shared" si="39"/>
        <v>0</v>
      </c>
      <c r="AP104" s="437">
        <f t="shared" si="35"/>
        <v>0</v>
      </c>
      <c r="AQ104" s="437">
        <f t="shared" si="35"/>
        <v>0</v>
      </c>
      <c r="AR104" s="436"/>
      <c r="AS104" s="437">
        <f t="shared" si="36"/>
        <v>0</v>
      </c>
    </row>
    <row r="105" spans="1:45" s="438" customFormat="1" ht="24.95" customHeight="1">
      <c r="A105" s="1134"/>
      <c r="B105" s="1134"/>
      <c r="C105" s="1139" t="s">
        <v>504</v>
      </c>
      <c r="D105" s="1134" t="s">
        <v>529</v>
      </c>
      <c r="E105" s="1134" t="s">
        <v>530</v>
      </c>
      <c r="F105" s="1134">
        <v>14</v>
      </c>
      <c r="G105" s="1112">
        <v>7216</v>
      </c>
      <c r="H105" s="1134"/>
      <c r="I105" s="1134"/>
      <c r="J105" s="1134"/>
      <c r="K105" s="1134"/>
      <c r="L105" s="435">
        <v>0.15</v>
      </c>
      <c r="M105" s="1138"/>
      <c r="N105" s="1112">
        <f>G105+H106+I106+L106</f>
        <v>8298.4</v>
      </c>
      <c r="O105" s="1112">
        <v>1</v>
      </c>
      <c r="P105" s="1112"/>
      <c r="Q105" s="1134"/>
      <c r="R105" s="1138"/>
      <c r="S105" s="1134"/>
      <c r="T105" s="1134">
        <v>21</v>
      </c>
      <c r="U105" s="1138">
        <v>0.3</v>
      </c>
      <c r="V105" s="1112">
        <f>N105*U105</f>
        <v>2489.52</v>
      </c>
      <c r="W105" s="1112"/>
      <c r="X105" s="1112">
        <f>(N105+R106+V105)*O105</f>
        <v>10787.92</v>
      </c>
      <c r="Y105" s="1112">
        <f>AB105</f>
        <v>9212.08</v>
      </c>
      <c r="Z105" s="1112">
        <f>X105+Y105</f>
        <v>20000</v>
      </c>
      <c r="AA105" s="1109">
        <f>20000*O105</f>
        <v>20000</v>
      </c>
      <c r="AB105" s="1109">
        <f>AA105-X105</f>
        <v>9212.08</v>
      </c>
      <c r="AC105" s="1112">
        <f>6700*O105</f>
        <v>6700</v>
      </c>
      <c r="AD105" s="1112">
        <f>X105-AC105</f>
        <v>4087.92</v>
      </c>
      <c r="AE105" s="436">
        <f t="shared" si="25"/>
        <v>7216</v>
      </c>
      <c r="AF105" s="436">
        <f t="shared" si="26"/>
        <v>0</v>
      </c>
      <c r="AG105" s="436">
        <f t="shared" si="27"/>
        <v>8298.4</v>
      </c>
      <c r="AH105" s="436">
        <f t="shared" si="28"/>
        <v>0</v>
      </c>
      <c r="AI105" s="436">
        <f t="shared" si="29"/>
        <v>1082.3999999999996</v>
      </c>
      <c r="AJ105" s="436">
        <f t="shared" si="29"/>
        <v>0</v>
      </c>
      <c r="AK105" s="437">
        <f t="shared" si="30"/>
        <v>2489.52</v>
      </c>
      <c r="AL105" s="437">
        <f t="shared" si="31"/>
        <v>0</v>
      </c>
      <c r="AM105" s="437">
        <f t="shared" si="32"/>
        <v>0</v>
      </c>
      <c r="AN105" s="437">
        <f t="shared" si="38"/>
        <v>0</v>
      </c>
      <c r="AO105" s="437">
        <f t="shared" si="39"/>
        <v>0</v>
      </c>
      <c r="AP105" s="437">
        <f t="shared" si="35"/>
        <v>8298.4</v>
      </c>
      <c r="AQ105" s="437">
        <f t="shared" si="35"/>
        <v>0</v>
      </c>
      <c r="AR105" s="436"/>
      <c r="AS105" s="437">
        <f t="shared" si="36"/>
        <v>8298.4</v>
      </c>
    </row>
    <row r="106" spans="1:45" s="438" customFormat="1" ht="24.95" customHeight="1">
      <c r="A106" s="1134"/>
      <c r="B106" s="1134"/>
      <c r="C106" s="1139"/>
      <c r="D106" s="1134"/>
      <c r="E106" s="1134"/>
      <c r="F106" s="1134"/>
      <c r="G106" s="1112"/>
      <c r="H106" s="1134"/>
      <c r="I106" s="1134"/>
      <c r="J106" s="1134"/>
      <c r="K106" s="1134"/>
      <c r="L106" s="439">
        <f>(G105+H106+I106)*L105</f>
        <v>1082.3999999999999</v>
      </c>
      <c r="M106" s="1134"/>
      <c r="N106" s="1112"/>
      <c r="O106" s="1112"/>
      <c r="P106" s="1112"/>
      <c r="Q106" s="1134"/>
      <c r="R106" s="1134"/>
      <c r="S106" s="1134"/>
      <c r="T106" s="1134"/>
      <c r="U106" s="1138"/>
      <c r="V106" s="1112"/>
      <c r="W106" s="1112"/>
      <c r="X106" s="1112"/>
      <c r="Y106" s="1112"/>
      <c r="Z106" s="1112"/>
      <c r="AA106" s="1109"/>
      <c r="AB106" s="1109"/>
      <c r="AC106" s="1112"/>
      <c r="AD106" s="1112"/>
      <c r="AE106" s="436">
        <f t="shared" si="25"/>
        <v>0</v>
      </c>
      <c r="AF106" s="436">
        <f t="shared" si="26"/>
        <v>0</v>
      </c>
      <c r="AG106" s="436">
        <f t="shared" si="27"/>
        <v>0</v>
      </c>
      <c r="AH106" s="436">
        <f t="shared" si="28"/>
        <v>0</v>
      </c>
      <c r="AI106" s="436">
        <f t="shared" si="29"/>
        <v>0</v>
      </c>
      <c r="AJ106" s="436">
        <f t="shared" si="29"/>
        <v>0</v>
      </c>
      <c r="AK106" s="437">
        <f t="shared" si="30"/>
        <v>0</v>
      </c>
      <c r="AL106" s="437">
        <f t="shared" si="31"/>
        <v>0</v>
      </c>
      <c r="AM106" s="437">
        <f t="shared" si="32"/>
        <v>0</v>
      </c>
      <c r="AN106" s="437">
        <f t="shared" si="38"/>
        <v>0</v>
      </c>
      <c r="AO106" s="437">
        <f t="shared" si="39"/>
        <v>0</v>
      </c>
      <c r="AP106" s="437">
        <f t="shared" si="35"/>
        <v>0</v>
      </c>
      <c r="AQ106" s="437">
        <f t="shared" si="35"/>
        <v>0</v>
      </c>
      <c r="AR106" s="436"/>
      <c r="AS106" s="437">
        <f t="shared" si="36"/>
        <v>0</v>
      </c>
    </row>
    <row r="107" spans="1:45" s="438" customFormat="1" ht="24.95" customHeight="1">
      <c r="A107" s="1134"/>
      <c r="B107" s="1134"/>
      <c r="C107" s="1139" t="s">
        <v>1022</v>
      </c>
      <c r="D107" s="1134" t="s">
        <v>1023</v>
      </c>
      <c r="E107" s="1134" t="s">
        <v>1024</v>
      </c>
      <c r="F107" s="1134">
        <v>10</v>
      </c>
      <c r="G107" s="1112">
        <v>5427</v>
      </c>
      <c r="H107" s="1112"/>
      <c r="I107" s="1112"/>
      <c r="J107" s="1112"/>
      <c r="K107" s="1112"/>
      <c r="L107" s="435">
        <v>0.15</v>
      </c>
      <c r="M107" s="1112"/>
      <c r="N107" s="1112">
        <f>G107+H108+I108+L108</f>
        <v>6241.05</v>
      </c>
      <c r="O107" s="1112">
        <v>1</v>
      </c>
      <c r="P107" s="1112"/>
      <c r="Q107" s="1112"/>
      <c r="R107" s="1112"/>
      <c r="S107" s="1112"/>
      <c r="T107" s="1134">
        <v>3</v>
      </c>
      <c r="U107" s="1138">
        <v>0.1</v>
      </c>
      <c r="V107" s="1112">
        <f>N107*U107</f>
        <v>624.10500000000002</v>
      </c>
      <c r="W107" s="1112"/>
      <c r="X107" s="1112">
        <f>(N107+V107)*O107+W107</f>
        <v>6865.1550000000007</v>
      </c>
      <c r="Y107" s="1112">
        <f>AB107</f>
        <v>13134.844999999999</v>
      </c>
      <c r="Z107" s="1112">
        <f>X107+Y107</f>
        <v>20000</v>
      </c>
      <c r="AA107" s="1109">
        <f>20000*O107</f>
        <v>20000</v>
      </c>
      <c r="AB107" s="1109">
        <f>AA107-X107</f>
        <v>13134.844999999999</v>
      </c>
      <c r="AC107" s="1112">
        <f>6700*O107</f>
        <v>6700</v>
      </c>
      <c r="AD107" s="1112">
        <f>AC107-(N107*O107)</f>
        <v>458.94999999999982</v>
      </c>
      <c r="AE107" s="436">
        <f t="shared" si="25"/>
        <v>5427</v>
      </c>
      <c r="AF107" s="436">
        <f t="shared" si="26"/>
        <v>0</v>
      </c>
      <c r="AG107" s="436">
        <f t="shared" si="27"/>
        <v>6241.05</v>
      </c>
      <c r="AH107" s="436">
        <f t="shared" si="28"/>
        <v>0</v>
      </c>
      <c r="AI107" s="436">
        <f t="shared" si="29"/>
        <v>814.05000000000018</v>
      </c>
      <c r="AJ107" s="436">
        <f t="shared" si="29"/>
        <v>0</v>
      </c>
      <c r="AK107" s="437">
        <f t="shared" si="30"/>
        <v>624.10500000000002</v>
      </c>
      <c r="AL107" s="437">
        <f t="shared" si="31"/>
        <v>0</v>
      </c>
      <c r="AM107" s="437">
        <f t="shared" si="32"/>
        <v>0</v>
      </c>
      <c r="AN107" s="437">
        <f t="shared" si="38"/>
        <v>0</v>
      </c>
      <c r="AO107" s="437">
        <f t="shared" si="39"/>
        <v>0</v>
      </c>
      <c r="AP107" s="437">
        <f t="shared" si="35"/>
        <v>6241.05</v>
      </c>
      <c r="AQ107" s="437">
        <f t="shared" si="35"/>
        <v>0</v>
      </c>
      <c r="AR107" s="436"/>
      <c r="AS107" s="437">
        <f t="shared" si="36"/>
        <v>6241.05</v>
      </c>
    </row>
    <row r="108" spans="1:45" s="438" customFormat="1" ht="24.95" customHeight="1">
      <c r="A108" s="1134"/>
      <c r="B108" s="1134"/>
      <c r="C108" s="1139"/>
      <c r="D108" s="1134"/>
      <c r="E108" s="1134"/>
      <c r="F108" s="1134"/>
      <c r="G108" s="1112"/>
      <c r="H108" s="1112"/>
      <c r="I108" s="1112"/>
      <c r="J108" s="1112"/>
      <c r="K108" s="1112"/>
      <c r="L108" s="439">
        <f>(G107+H108+I108)*L107</f>
        <v>814.05</v>
      </c>
      <c r="M108" s="1112"/>
      <c r="N108" s="1112"/>
      <c r="O108" s="1112"/>
      <c r="P108" s="1112"/>
      <c r="Q108" s="1112"/>
      <c r="R108" s="1112"/>
      <c r="S108" s="1112"/>
      <c r="T108" s="1134"/>
      <c r="U108" s="1138"/>
      <c r="V108" s="1112"/>
      <c r="W108" s="1112"/>
      <c r="X108" s="1112"/>
      <c r="Y108" s="1112"/>
      <c r="Z108" s="1112"/>
      <c r="AA108" s="1109"/>
      <c r="AB108" s="1109"/>
      <c r="AC108" s="1112"/>
      <c r="AD108" s="1112"/>
      <c r="AE108" s="436">
        <f t="shared" si="25"/>
        <v>0</v>
      </c>
      <c r="AF108" s="436">
        <f t="shared" si="26"/>
        <v>0</v>
      </c>
      <c r="AG108" s="436">
        <f t="shared" si="27"/>
        <v>0</v>
      </c>
      <c r="AH108" s="436">
        <f t="shared" si="28"/>
        <v>0</v>
      </c>
      <c r="AI108" s="436">
        <f t="shared" si="29"/>
        <v>0</v>
      </c>
      <c r="AJ108" s="436">
        <f t="shared" si="29"/>
        <v>0</v>
      </c>
      <c r="AK108" s="437">
        <f t="shared" si="30"/>
        <v>0</v>
      </c>
      <c r="AL108" s="437">
        <f t="shared" si="31"/>
        <v>0</v>
      </c>
      <c r="AM108" s="437">
        <f t="shared" si="32"/>
        <v>0</v>
      </c>
      <c r="AN108" s="437">
        <f t="shared" si="38"/>
        <v>0</v>
      </c>
      <c r="AO108" s="437">
        <f t="shared" si="39"/>
        <v>0</v>
      </c>
      <c r="AP108" s="437">
        <f t="shared" si="35"/>
        <v>0</v>
      </c>
      <c r="AQ108" s="437">
        <f t="shared" si="35"/>
        <v>0</v>
      </c>
      <c r="AR108" s="436"/>
      <c r="AS108" s="437">
        <f t="shared" si="36"/>
        <v>0</v>
      </c>
    </row>
    <row r="109" spans="1:45" s="438" customFormat="1" ht="24.95" customHeight="1">
      <c r="A109" s="1134"/>
      <c r="B109" s="1134"/>
      <c r="C109" s="1139" t="s">
        <v>1022</v>
      </c>
      <c r="D109" s="1134" t="s">
        <v>1023</v>
      </c>
      <c r="E109" s="1134" t="s">
        <v>1024</v>
      </c>
      <c r="F109" s="1134">
        <v>10</v>
      </c>
      <c r="G109" s="1112">
        <v>5427</v>
      </c>
      <c r="H109" s="1112"/>
      <c r="I109" s="1112"/>
      <c r="J109" s="1112"/>
      <c r="K109" s="1112"/>
      <c r="L109" s="435">
        <v>0.15</v>
      </c>
      <c r="M109" s="1112"/>
      <c r="N109" s="1112">
        <f>G109+H110+I110+L110</f>
        <v>6241.05</v>
      </c>
      <c r="O109" s="1112"/>
      <c r="P109" s="1112">
        <v>0.5</v>
      </c>
      <c r="Q109" s="1112"/>
      <c r="R109" s="1112"/>
      <c r="S109" s="1112"/>
      <c r="T109" s="1134">
        <v>3</v>
      </c>
      <c r="U109" s="1138">
        <v>0.1</v>
      </c>
      <c r="V109" s="1112">
        <f>N109*U109</f>
        <v>624.10500000000002</v>
      </c>
      <c r="W109" s="1112"/>
      <c r="X109" s="1112">
        <f>(N109+V109)*P109+W109</f>
        <v>3432.5775000000003</v>
      </c>
      <c r="Y109" s="1113">
        <f>AB109</f>
        <v>6567.4224999999997</v>
      </c>
      <c r="Z109" s="1113">
        <f>X109+Y109</f>
        <v>10000</v>
      </c>
      <c r="AA109" s="1110">
        <f>20000*P109</f>
        <v>10000</v>
      </c>
      <c r="AB109" s="1110">
        <f>AA109-X109</f>
        <v>6567.4224999999997</v>
      </c>
      <c r="AC109" s="1112">
        <f>6700*P109</f>
        <v>3350</v>
      </c>
      <c r="AD109" s="1112">
        <f>AC109-(N109*P109)-(V109*P109)</f>
        <v>-82.5775000000001</v>
      </c>
      <c r="AE109" s="436">
        <f t="shared" si="25"/>
        <v>0</v>
      </c>
      <c r="AF109" s="436">
        <f t="shared" si="26"/>
        <v>2713.5</v>
      </c>
      <c r="AG109" s="436">
        <f t="shared" si="27"/>
        <v>0</v>
      </c>
      <c r="AH109" s="436">
        <f t="shared" si="28"/>
        <v>3120.5250000000001</v>
      </c>
      <c r="AI109" s="436">
        <f>AG109-AE109</f>
        <v>0</v>
      </c>
      <c r="AJ109" s="436">
        <f>AH109-AF109</f>
        <v>407.02500000000009</v>
      </c>
      <c r="AK109" s="437">
        <f t="shared" si="30"/>
        <v>0</v>
      </c>
      <c r="AL109" s="437">
        <f t="shared" si="31"/>
        <v>312.05250000000001</v>
      </c>
      <c r="AM109" s="437">
        <f t="shared" si="32"/>
        <v>0</v>
      </c>
      <c r="AN109" s="437">
        <f>S109*O109</f>
        <v>0</v>
      </c>
      <c r="AO109" s="437">
        <f>S109*P109</f>
        <v>0</v>
      </c>
      <c r="AP109" s="437">
        <f>AG109</f>
        <v>0</v>
      </c>
      <c r="AQ109" s="437">
        <f>AH109</f>
        <v>3120.5250000000001</v>
      </c>
      <c r="AR109" s="436"/>
      <c r="AS109" s="437">
        <f>AP109+AQ109-AR109</f>
        <v>3120.5250000000001</v>
      </c>
    </row>
    <row r="110" spans="1:45" s="438" customFormat="1" ht="24.95" customHeight="1">
      <c r="A110" s="1134"/>
      <c r="B110" s="1134"/>
      <c r="C110" s="1139"/>
      <c r="D110" s="1134"/>
      <c r="E110" s="1134"/>
      <c r="F110" s="1134"/>
      <c r="G110" s="1112"/>
      <c r="H110" s="1112"/>
      <c r="I110" s="1112"/>
      <c r="J110" s="1112"/>
      <c r="K110" s="1112"/>
      <c r="L110" s="439">
        <f>(G109+H110+I110)*L109</f>
        <v>814.05</v>
      </c>
      <c r="M110" s="1112"/>
      <c r="N110" s="1112"/>
      <c r="O110" s="1112"/>
      <c r="P110" s="1112"/>
      <c r="Q110" s="1112"/>
      <c r="R110" s="1112"/>
      <c r="S110" s="1112"/>
      <c r="T110" s="1134"/>
      <c r="U110" s="1138"/>
      <c r="V110" s="1112"/>
      <c r="W110" s="1112"/>
      <c r="X110" s="1112"/>
      <c r="Y110" s="1114"/>
      <c r="Z110" s="1114"/>
      <c r="AA110" s="1111"/>
      <c r="AB110" s="1111"/>
      <c r="AC110" s="1112"/>
      <c r="AD110" s="1112"/>
      <c r="AE110" s="436">
        <f t="shared" si="25"/>
        <v>0</v>
      </c>
      <c r="AF110" s="436">
        <f t="shared" si="26"/>
        <v>0</v>
      </c>
      <c r="AG110" s="436">
        <f t="shared" si="27"/>
        <v>0</v>
      </c>
      <c r="AH110" s="436">
        <f t="shared" si="28"/>
        <v>0</v>
      </c>
      <c r="AI110" s="436">
        <f>AG110-AE110</f>
        <v>0</v>
      </c>
      <c r="AJ110" s="436">
        <f>AH110-AF110</f>
        <v>0</v>
      </c>
      <c r="AK110" s="437">
        <f t="shared" si="30"/>
        <v>0</v>
      </c>
      <c r="AL110" s="437">
        <f t="shared" si="31"/>
        <v>0</v>
      </c>
      <c r="AM110" s="437">
        <f t="shared" si="32"/>
        <v>0</v>
      </c>
      <c r="AN110" s="437">
        <f>S110*O110</f>
        <v>0</v>
      </c>
      <c r="AO110" s="437">
        <f>S110*P110</f>
        <v>0</v>
      </c>
      <c r="AP110" s="437">
        <f>AG110</f>
        <v>0</v>
      </c>
      <c r="AQ110" s="437">
        <f>AH110</f>
        <v>0</v>
      </c>
      <c r="AR110" s="436"/>
      <c r="AS110" s="437">
        <f>AP110+AQ110-AR110</f>
        <v>0</v>
      </c>
    </row>
    <row r="111" spans="1:45" s="438" customFormat="1" ht="24.95" customHeight="1">
      <c r="A111" s="1134"/>
      <c r="B111" s="1134"/>
      <c r="C111" s="1139" t="s">
        <v>1022</v>
      </c>
      <c r="D111" s="1134" t="s">
        <v>1025</v>
      </c>
      <c r="E111" s="1134" t="s">
        <v>553</v>
      </c>
      <c r="F111" s="1134">
        <v>10</v>
      </c>
      <c r="G111" s="1112">
        <v>5427</v>
      </c>
      <c r="H111" s="1112"/>
      <c r="I111" s="1112"/>
      <c r="J111" s="1112"/>
      <c r="K111" s="1112"/>
      <c r="L111" s="435">
        <v>0.15</v>
      </c>
      <c r="M111" s="1112"/>
      <c r="N111" s="1112">
        <f>G111+H112+I112+L112</f>
        <v>6241.05</v>
      </c>
      <c r="O111" s="1112">
        <v>1</v>
      </c>
      <c r="P111" s="1112"/>
      <c r="Q111" s="1112"/>
      <c r="R111" s="1112"/>
      <c r="S111" s="1112"/>
      <c r="T111" s="1134">
        <v>3</v>
      </c>
      <c r="U111" s="1138">
        <v>0.1</v>
      </c>
      <c r="V111" s="1112">
        <f>N111*U111</f>
        <v>624.10500000000002</v>
      </c>
      <c r="W111" s="1112"/>
      <c r="X111" s="1112">
        <f>(N111+V111)*O111+W111</f>
        <v>6865.1550000000007</v>
      </c>
      <c r="Y111" s="1112">
        <f>AB111</f>
        <v>13134.844999999999</v>
      </c>
      <c r="Z111" s="1112">
        <f>X111+Y111</f>
        <v>20000</v>
      </c>
      <c r="AA111" s="1109">
        <f>20000*O111</f>
        <v>20000</v>
      </c>
      <c r="AB111" s="1109">
        <f>AA111-X111</f>
        <v>13134.844999999999</v>
      </c>
      <c r="AC111" s="1112">
        <f>6700*O111</f>
        <v>6700</v>
      </c>
      <c r="AD111" s="1112">
        <f>AC111-(N111*O111)</f>
        <v>458.94999999999982</v>
      </c>
      <c r="AE111" s="436">
        <f t="shared" si="25"/>
        <v>5427</v>
      </c>
      <c r="AF111" s="436">
        <f t="shared" si="26"/>
        <v>0</v>
      </c>
      <c r="AG111" s="436">
        <f t="shared" si="27"/>
        <v>6241.05</v>
      </c>
      <c r="AH111" s="436">
        <f t="shared" si="28"/>
        <v>0</v>
      </c>
      <c r="AI111" s="436">
        <f t="shared" ref="AI111:AJ120" si="40">AG111-AE111</f>
        <v>814.05000000000018</v>
      </c>
      <c r="AJ111" s="436">
        <f t="shared" si="40"/>
        <v>0</v>
      </c>
      <c r="AK111" s="437">
        <f t="shared" si="30"/>
        <v>624.10500000000002</v>
      </c>
      <c r="AL111" s="437">
        <f t="shared" si="31"/>
        <v>0</v>
      </c>
      <c r="AM111" s="437">
        <f t="shared" si="32"/>
        <v>0</v>
      </c>
      <c r="AN111" s="437">
        <f t="shared" ref="AN111:AN126" si="41">S111*O111</f>
        <v>0</v>
      </c>
      <c r="AO111" s="437">
        <f t="shared" ref="AO111:AO126" si="42">S111*P111</f>
        <v>0</v>
      </c>
      <c r="AP111" s="437">
        <f t="shared" ref="AP111:AQ118" si="43">AG111</f>
        <v>6241.05</v>
      </c>
      <c r="AQ111" s="437">
        <f t="shared" si="43"/>
        <v>0</v>
      </c>
      <c r="AR111" s="436"/>
      <c r="AS111" s="437">
        <f t="shared" ref="AS111:AS118" si="44">AP111+AQ111-AR111</f>
        <v>6241.05</v>
      </c>
    </row>
    <row r="112" spans="1:45" s="438" customFormat="1" ht="24.95" customHeight="1">
      <c r="A112" s="1134"/>
      <c r="B112" s="1134"/>
      <c r="C112" s="1139"/>
      <c r="D112" s="1134"/>
      <c r="E112" s="1134"/>
      <c r="F112" s="1134"/>
      <c r="G112" s="1112"/>
      <c r="H112" s="1112"/>
      <c r="I112" s="1112"/>
      <c r="J112" s="1112"/>
      <c r="K112" s="1112"/>
      <c r="L112" s="439">
        <f>(G111+H112+I112)*L111</f>
        <v>814.05</v>
      </c>
      <c r="M112" s="1112"/>
      <c r="N112" s="1112"/>
      <c r="O112" s="1112"/>
      <c r="P112" s="1112"/>
      <c r="Q112" s="1112"/>
      <c r="R112" s="1112"/>
      <c r="S112" s="1112"/>
      <c r="T112" s="1134"/>
      <c r="U112" s="1138"/>
      <c r="V112" s="1112"/>
      <c r="W112" s="1112"/>
      <c r="X112" s="1112"/>
      <c r="Y112" s="1112"/>
      <c r="Z112" s="1112"/>
      <c r="AA112" s="1109"/>
      <c r="AB112" s="1109"/>
      <c r="AC112" s="1112"/>
      <c r="AD112" s="1112"/>
      <c r="AE112" s="436">
        <f t="shared" si="25"/>
        <v>0</v>
      </c>
      <c r="AF112" s="436">
        <f t="shared" si="26"/>
        <v>0</v>
      </c>
      <c r="AG112" s="436">
        <f t="shared" si="27"/>
        <v>0</v>
      </c>
      <c r="AH112" s="436">
        <f t="shared" si="28"/>
        <v>0</v>
      </c>
      <c r="AI112" s="436">
        <f t="shared" si="40"/>
        <v>0</v>
      </c>
      <c r="AJ112" s="436">
        <f t="shared" si="40"/>
        <v>0</v>
      </c>
      <c r="AK112" s="437">
        <f t="shared" si="30"/>
        <v>0</v>
      </c>
      <c r="AL112" s="437">
        <f t="shared" si="31"/>
        <v>0</v>
      </c>
      <c r="AM112" s="437">
        <f t="shared" si="32"/>
        <v>0</v>
      </c>
      <c r="AN112" s="437">
        <f t="shared" si="41"/>
        <v>0</v>
      </c>
      <c r="AO112" s="437">
        <f t="shared" si="42"/>
        <v>0</v>
      </c>
      <c r="AP112" s="437">
        <f t="shared" si="43"/>
        <v>0</v>
      </c>
      <c r="AQ112" s="437">
        <f t="shared" si="43"/>
        <v>0</v>
      </c>
      <c r="AR112" s="436"/>
      <c r="AS112" s="437">
        <f t="shared" si="44"/>
        <v>0</v>
      </c>
    </row>
    <row r="113" spans="1:45" s="438" customFormat="1" ht="24.95" customHeight="1">
      <c r="A113" s="1134"/>
      <c r="B113" s="1134"/>
      <c r="C113" s="1139" t="s">
        <v>1022</v>
      </c>
      <c r="D113" s="1134" t="s">
        <v>1025</v>
      </c>
      <c r="E113" s="1134" t="s">
        <v>553</v>
      </c>
      <c r="F113" s="1134">
        <v>10</v>
      </c>
      <c r="G113" s="1112">
        <v>5427</v>
      </c>
      <c r="H113" s="1112"/>
      <c r="I113" s="1112"/>
      <c r="J113" s="1112"/>
      <c r="K113" s="1112"/>
      <c r="L113" s="435">
        <v>0.15</v>
      </c>
      <c r="M113" s="1112"/>
      <c r="N113" s="1112">
        <f>G113+H114+I114+L114</f>
        <v>6241.05</v>
      </c>
      <c r="O113" s="1112"/>
      <c r="P113" s="1112">
        <v>0.5</v>
      </c>
      <c r="Q113" s="1112"/>
      <c r="R113" s="1112"/>
      <c r="S113" s="1112"/>
      <c r="T113" s="1134">
        <v>3</v>
      </c>
      <c r="U113" s="1138">
        <v>0.1</v>
      </c>
      <c r="V113" s="1112">
        <f>N113*U113</f>
        <v>624.10500000000002</v>
      </c>
      <c r="W113" s="1112"/>
      <c r="X113" s="1112">
        <f>(N113+V113)*P113+W113</f>
        <v>3432.5775000000003</v>
      </c>
      <c r="Y113" s="1113">
        <f>AB113</f>
        <v>6567.4224999999997</v>
      </c>
      <c r="Z113" s="1113">
        <f>X113+Y113</f>
        <v>10000</v>
      </c>
      <c r="AA113" s="1110">
        <f>20000*P113</f>
        <v>10000</v>
      </c>
      <c r="AB113" s="1110">
        <f>AA113-X113</f>
        <v>6567.4224999999997</v>
      </c>
      <c r="AC113" s="1112">
        <f>6700*P113</f>
        <v>3350</v>
      </c>
      <c r="AD113" s="1112">
        <f>AC113-(N113*P113)-(V113*P113)</f>
        <v>-82.5775000000001</v>
      </c>
      <c r="AE113" s="436">
        <f t="shared" si="25"/>
        <v>0</v>
      </c>
      <c r="AF113" s="436">
        <f t="shared" si="26"/>
        <v>2713.5</v>
      </c>
      <c r="AG113" s="436">
        <f t="shared" si="27"/>
        <v>0</v>
      </c>
      <c r="AH113" s="436">
        <f t="shared" si="28"/>
        <v>3120.5250000000001</v>
      </c>
      <c r="AI113" s="436">
        <f t="shared" si="40"/>
        <v>0</v>
      </c>
      <c r="AJ113" s="436">
        <f t="shared" si="40"/>
        <v>407.02500000000009</v>
      </c>
      <c r="AK113" s="437">
        <f t="shared" si="30"/>
        <v>0</v>
      </c>
      <c r="AL113" s="437">
        <f t="shared" si="31"/>
        <v>312.05250000000001</v>
      </c>
      <c r="AM113" s="437">
        <f t="shared" si="32"/>
        <v>0</v>
      </c>
      <c r="AN113" s="437">
        <f t="shared" si="41"/>
        <v>0</v>
      </c>
      <c r="AO113" s="437">
        <f t="shared" si="42"/>
        <v>0</v>
      </c>
      <c r="AP113" s="437">
        <f t="shared" si="43"/>
        <v>0</v>
      </c>
      <c r="AQ113" s="437">
        <f t="shared" si="43"/>
        <v>3120.5250000000001</v>
      </c>
      <c r="AR113" s="436"/>
      <c r="AS113" s="437">
        <f t="shared" si="44"/>
        <v>3120.5250000000001</v>
      </c>
    </row>
    <row r="114" spans="1:45" s="438" customFormat="1" ht="24.95" customHeight="1">
      <c r="A114" s="1134"/>
      <c r="B114" s="1134"/>
      <c r="C114" s="1139"/>
      <c r="D114" s="1134"/>
      <c r="E114" s="1134"/>
      <c r="F114" s="1134"/>
      <c r="G114" s="1112"/>
      <c r="H114" s="1112"/>
      <c r="I114" s="1112"/>
      <c r="J114" s="1112"/>
      <c r="K114" s="1112"/>
      <c r="L114" s="439">
        <f t="shared" ref="L114:L120" si="45">(G113+H114+I114)*L113</f>
        <v>814.05</v>
      </c>
      <c r="M114" s="1112"/>
      <c r="N114" s="1112"/>
      <c r="O114" s="1112"/>
      <c r="P114" s="1112"/>
      <c r="Q114" s="1112"/>
      <c r="R114" s="1112"/>
      <c r="S114" s="1112"/>
      <c r="T114" s="1134"/>
      <c r="U114" s="1138"/>
      <c r="V114" s="1112"/>
      <c r="W114" s="1112"/>
      <c r="X114" s="1112"/>
      <c r="Y114" s="1114"/>
      <c r="Z114" s="1114"/>
      <c r="AA114" s="1111"/>
      <c r="AB114" s="1111"/>
      <c r="AC114" s="1112"/>
      <c r="AD114" s="1112"/>
      <c r="AE114" s="436">
        <f t="shared" si="25"/>
        <v>0</v>
      </c>
      <c r="AF114" s="436">
        <f t="shared" si="26"/>
        <v>0</v>
      </c>
      <c r="AG114" s="436">
        <f t="shared" si="27"/>
        <v>0</v>
      </c>
      <c r="AH114" s="436">
        <f t="shared" si="28"/>
        <v>0</v>
      </c>
      <c r="AI114" s="436">
        <f t="shared" si="40"/>
        <v>0</v>
      </c>
      <c r="AJ114" s="436">
        <f t="shared" si="40"/>
        <v>0</v>
      </c>
      <c r="AK114" s="437">
        <f t="shared" si="30"/>
        <v>0</v>
      </c>
      <c r="AL114" s="437">
        <f t="shared" si="31"/>
        <v>0</v>
      </c>
      <c r="AM114" s="437">
        <f t="shared" si="32"/>
        <v>0</v>
      </c>
      <c r="AN114" s="437">
        <f t="shared" si="41"/>
        <v>0</v>
      </c>
      <c r="AO114" s="437">
        <f t="shared" si="42"/>
        <v>0</v>
      </c>
      <c r="AP114" s="437">
        <f t="shared" si="43"/>
        <v>0</v>
      </c>
      <c r="AQ114" s="437">
        <f t="shared" si="43"/>
        <v>0</v>
      </c>
      <c r="AR114" s="436"/>
      <c r="AS114" s="437">
        <f t="shared" si="44"/>
        <v>0</v>
      </c>
    </row>
    <row r="115" spans="1:45" s="438" customFormat="1" ht="24.95" customHeight="1">
      <c r="A115" s="1134"/>
      <c r="B115" s="1134"/>
      <c r="C115" s="1139" t="s">
        <v>510</v>
      </c>
      <c r="D115" s="1134" t="s">
        <v>508</v>
      </c>
      <c r="E115" s="1134" t="s">
        <v>509</v>
      </c>
      <c r="F115" s="1134">
        <v>13</v>
      </c>
      <c r="G115" s="1112">
        <v>6769</v>
      </c>
      <c r="H115" s="1134"/>
      <c r="I115" s="1134"/>
      <c r="J115" s="1134"/>
      <c r="K115" s="1134"/>
      <c r="L115" s="435">
        <v>0.15</v>
      </c>
      <c r="M115" s="1134"/>
      <c r="N115" s="1112">
        <f>G115+H116+I116+L116</f>
        <v>7784.35</v>
      </c>
      <c r="O115" s="1112">
        <v>1</v>
      </c>
      <c r="P115" s="1112"/>
      <c r="Q115" s="1112"/>
      <c r="R115" s="1112"/>
      <c r="S115" s="1112"/>
      <c r="T115" s="1134">
        <v>32</v>
      </c>
      <c r="U115" s="1138">
        <v>0.3</v>
      </c>
      <c r="V115" s="1112">
        <f>N115*U115</f>
        <v>2335.3049999999998</v>
      </c>
      <c r="W115" s="1112"/>
      <c r="X115" s="1112">
        <f>(N115+V115)*O115+W115</f>
        <v>10119.655000000001</v>
      </c>
      <c r="Y115" s="1112">
        <f>AB115</f>
        <v>9880.3449999999993</v>
      </c>
      <c r="Z115" s="1112">
        <f>X115+Y115</f>
        <v>20000</v>
      </c>
      <c r="AA115" s="1109">
        <f>20000*O115</f>
        <v>20000</v>
      </c>
      <c r="AB115" s="1109">
        <f>AA115-X115</f>
        <v>9880.3449999999993</v>
      </c>
      <c r="AC115" s="1112">
        <f>6700*P115</f>
        <v>0</v>
      </c>
      <c r="AD115" s="1112">
        <f>X115-AC115</f>
        <v>10119.655000000001</v>
      </c>
      <c r="AE115" s="436">
        <f t="shared" si="25"/>
        <v>6769</v>
      </c>
      <c r="AF115" s="436">
        <f t="shared" si="26"/>
        <v>0</v>
      </c>
      <c r="AG115" s="436">
        <f t="shared" si="27"/>
        <v>7784.35</v>
      </c>
      <c r="AH115" s="436">
        <f t="shared" si="28"/>
        <v>0</v>
      </c>
      <c r="AI115" s="436">
        <f t="shared" si="40"/>
        <v>1015.3500000000004</v>
      </c>
      <c r="AJ115" s="436">
        <f t="shared" si="40"/>
        <v>0</v>
      </c>
      <c r="AK115" s="437">
        <f t="shared" si="30"/>
        <v>2335.3049999999998</v>
      </c>
      <c r="AL115" s="437">
        <f t="shared" si="31"/>
        <v>0</v>
      </c>
      <c r="AM115" s="437">
        <f t="shared" si="32"/>
        <v>0</v>
      </c>
      <c r="AN115" s="437">
        <f t="shared" si="41"/>
        <v>0</v>
      </c>
      <c r="AO115" s="437">
        <f t="shared" si="42"/>
        <v>0</v>
      </c>
      <c r="AP115" s="437">
        <f t="shared" si="43"/>
        <v>7784.35</v>
      </c>
      <c r="AQ115" s="437">
        <f t="shared" si="43"/>
        <v>0</v>
      </c>
      <c r="AR115" s="436"/>
      <c r="AS115" s="437">
        <f t="shared" si="44"/>
        <v>7784.35</v>
      </c>
    </row>
    <row r="116" spans="1:45" s="438" customFormat="1" ht="24.95" customHeight="1">
      <c r="A116" s="1134"/>
      <c r="B116" s="1134"/>
      <c r="C116" s="1139"/>
      <c r="D116" s="1134"/>
      <c r="E116" s="1134"/>
      <c r="F116" s="1134"/>
      <c r="G116" s="1112"/>
      <c r="H116" s="1134"/>
      <c r="I116" s="1134"/>
      <c r="J116" s="1134"/>
      <c r="K116" s="1134"/>
      <c r="L116" s="439">
        <f t="shared" si="45"/>
        <v>1015.3499999999999</v>
      </c>
      <c r="M116" s="1134"/>
      <c r="N116" s="1112"/>
      <c r="O116" s="1112"/>
      <c r="P116" s="1112"/>
      <c r="Q116" s="1112"/>
      <c r="R116" s="1112"/>
      <c r="S116" s="1112"/>
      <c r="T116" s="1134"/>
      <c r="U116" s="1138"/>
      <c r="V116" s="1112"/>
      <c r="W116" s="1112"/>
      <c r="X116" s="1112"/>
      <c r="Y116" s="1112"/>
      <c r="Z116" s="1112"/>
      <c r="AA116" s="1109"/>
      <c r="AB116" s="1109"/>
      <c r="AC116" s="1112"/>
      <c r="AD116" s="1112"/>
      <c r="AE116" s="436">
        <f t="shared" si="25"/>
        <v>0</v>
      </c>
      <c r="AF116" s="436">
        <f t="shared" si="26"/>
        <v>0</v>
      </c>
      <c r="AG116" s="436">
        <f t="shared" si="27"/>
        <v>0</v>
      </c>
      <c r="AH116" s="436">
        <f t="shared" si="28"/>
        <v>0</v>
      </c>
      <c r="AI116" s="436">
        <f t="shared" si="40"/>
        <v>0</v>
      </c>
      <c r="AJ116" s="436">
        <f t="shared" si="40"/>
        <v>0</v>
      </c>
      <c r="AK116" s="437">
        <f t="shared" si="30"/>
        <v>0</v>
      </c>
      <c r="AL116" s="437">
        <f t="shared" si="31"/>
        <v>0</v>
      </c>
      <c r="AM116" s="437">
        <f t="shared" si="32"/>
        <v>0</v>
      </c>
      <c r="AN116" s="437">
        <f t="shared" si="41"/>
        <v>0</v>
      </c>
      <c r="AO116" s="437">
        <f t="shared" si="42"/>
        <v>0</v>
      </c>
      <c r="AP116" s="437">
        <f t="shared" si="43"/>
        <v>0</v>
      </c>
      <c r="AQ116" s="437">
        <f t="shared" si="43"/>
        <v>0</v>
      </c>
      <c r="AR116" s="436"/>
      <c r="AS116" s="437">
        <f t="shared" si="44"/>
        <v>0</v>
      </c>
    </row>
    <row r="117" spans="1:45" s="438" customFormat="1" ht="24.95" customHeight="1">
      <c r="A117" s="1134"/>
      <c r="B117" s="1134"/>
      <c r="C117" s="1139" t="s">
        <v>510</v>
      </c>
      <c r="D117" s="1134" t="s">
        <v>508</v>
      </c>
      <c r="E117" s="1134" t="s">
        <v>509</v>
      </c>
      <c r="F117" s="1134">
        <v>13</v>
      </c>
      <c r="G117" s="1112">
        <v>6769</v>
      </c>
      <c r="H117" s="1134"/>
      <c r="I117" s="1134"/>
      <c r="J117" s="1134"/>
      <c r="K117" s="1134"/>
      <c r="L117" s="435">
        <v>0.15</v>
      </c>
      <c r="M117" s="1134"/>
      <c r="N117" s="1112">
        <f>G117+H118+I118+L118</f>
        <v>7784.35</v>
      </c>
      <c r="O117" s="1112"/>
      <c r="P117" s="1112">
        <v>0.25</v>
      </c>
      <c r="Q117" s="1112"/>
      <c r="R117" s="1112"/>
      <c r="S117" s="1112"/>
      <c r="T117" s="1134">
        <v>32</v>
      </c>
      <c r="U117" s="1138">
        <v>0.3</v>
      </c>
      <c r="V117" s="1112">
        <f>N117*U117</f>
        <v>2335.3049999999998</v>
      </c>
      <c r="W117" s="1112"/>
      <c r="X117" s="1112">
        <f>(N117+V117)*P117</f>
        <v>2529.9137500000002</v>
      </c>
      <c r="Y117" s="1113">
        <f>AB117</f>
        <v>2470.0862499999998</v>
      </c>
      <c r="Z117" s="1113">
        <f>X117+Y117</f>
        <v>5000</v>
      </c>
      <c r="AA117" s="1110">
        <f>20000*P117</f>
        <v>5000</v>
      </c>
      <c r="AB117" s="1110">
        <f>AA117-X117</f>
        <v>2470.0862499999998</v>
      </c>
      <c r="AC117" s="1112">
        <f>6700*P117</f>
        <v>1675</v>
      </c>
      <c r="AD117" s="1112">
        <f>X117-AC117</f>
        <v>854.91375000000016</v>
      </c>
      <c r="AE117" s="436">
        <f t="shared" si="25"/>
        <v>0</v>
      </c>
      <c r="AF117" s="436">
        <f t="shared" si="26"/>
        <v>1692.25</v>
      </c>
      <c r="AG117" s="436">
        <f t="shared" si="27"/>
        <v>0</v>
      </c>
      <c r="AH117" s="436">
        <f t="shared" si="28"/>
        <v>1946.0875000000001</v>
      </c>
      <c r="AI117" s="436">
        <f t="shared" si="40"/>
        <v>0</v>
      </c>
      <c r="AJ117" s="436">
        <f t="shared" si="40"/>
        <v>253.83750000000009</v>
      </c>
      <c r="AK117" s="437">
        <f t="shared" si="30"/>
        <v>0</v>
      </c>
      <c r="AL117" s="437">
        <f t="shared" si="31"/>
        <v>583.82624999999996</v>
      </c>
      <c r="AM117" s="437">
        <f t="shared" si="32"/>
        <v>0</v>
      </c>
      <c r="AN117" s="437">
        <f t="shared" si="41"/>
        <v>0</v>
      </c>
      <c r="AO117" s="437">
        <f t="shared" si="42"/>
        <v>0</v>
      </c>
      <c r="AP117" s="437">
        <f t="shared" si="43"/>
        <v>0</v>
      </c>
      <c r="AQ117" s="437">
        <f t="shared" si="43"/>
        <v>1946.0875000000001</v>
      </c>
      <c r="AR117" s="436"/>
      <c r="AS117" s="437">
        <f t="shared" si="44"/>
        <v>1946.0875000000001</v>
      </c>
    </row>
    <row r="118" spans="1:45" s="438" customFormat="1" ht="24.95" customHeight="1">
      <c r="A118" s="1134"/>
      <c r="B118" s="1134"/>
      <c r="C118" s="1139"/>
      <c r="D118" s="1134"/>
      <c r="E118" s="1134"/>
      <c r="F118" s="1134"/>
      <c r="G118" s="1112"/>
      <c r="H118" s="1134"/>
      <c r="I118" s="1134"/>
      <c r="J118" s="1134"/>
      <c r="K118" s="1134"/>
      <c r="L118" s="439">
        <f t="shared" si="45"/>
        <v>1015.3499999999999</v>
      </c>
      <c r="M118" s="1134"/>
      <c r="N118" s="1112"/>
      <c r="O118" s="1112"/>
      <c r="P118" s="1112"/>
      <c r="Q118" s="1112"/>
      <c r="R118" s="1112"/>
      <c r="S118" s="1112"/>
      <c r="T118" s="1134"/>
      <c r="U118" s="1138"/>
      <c r="V118" s="1112"/>
      <c r="W118" s="1112"/>
      <c r="X118" s="1112"/>
      <c r="Y118" s="1114"/>
      <c r="Z118" s="1114"/>
      <c r="AA118" s="1111"/>
      <c r="AB118" s="1111"/>
      <c r="AC118" s="1112"/>
      <c r="AD118" s="1112"/>
      <c r="AE118" s="436">
        <f t="shared" si="25"/>
        <v>0</v>
      </c>
      <c r="AF118" s="436">
        <f t="shared" si="26"/>
        <v>0</v>
      </c>
      <c r="AG118" s="436">
        <f t="shared" si="27"/>
        <v>0</v>
      </c>
      <c r="AH118" s="436">
        <f t="shared" si="28"/>
        <v>0</v>
      </c>
      <c r="AI118" s="436">
        <f t="shared" si="40"/>
        <v>0</v>
      </c>
      <c r="AJ118" s="436">
        <f t="shared" si="40"/>
        <v>0</v>
      </c>
      <c r="AK118" s="437">
        <f t="shared" si="30"/>
        <v>0</v>
      </c>
      <c r="AL118" s="437">
        <f t="shared" si="31"/>
        <v>0</v>
      </c>
      <c r="AM118" s="437">
        <f t="shared" si="32"/>
        <v>0</v>
      </c>
      <c r="AN118" s="437">
        <f t="shared" si="41"/>
        <v>0</v>
      </c>
      <c r="AO118" s="437">
        <f t="shared" si="42"/>
        <v>0</v>
      </c>
      <c r="AP118" s="437">
        <f t="shared" si="43"/>
        <v>0</v>
      </c>
      <c r="AQ118" s="437">
        <f t="shared" si="43"/>
        <v>0</v>
      </c>
      <c r="AR118" s="436"/>
      <c r="AS118" s="437">
        <f t="shared" si="44"/>
        <v>0</v>
      </c>
    </row>
    <row r="119" spans="1:45" s="438" customFormat="1" ht="24.95" customHeight="1">
      <c r="A119" s="1134"/>
      <c r="B119" s="1134"/>
      <c r="C119" s="1139" t="s">
        <v>472</v>
      </c>
      <c r="D119" s="1171" t="s">
        <v>1026</v>
      </c>
      <c r="E119" s="1134" t="s">
        <v>1027</v>
      </c>
      <c r="F119" s="1134">
        <v>12</v>
      </c>
      <c r="G119" s="1112">
        <v>6322</v>
      </c>
      <c r="H119" s="1134"/>
      <c r="I119" s="435">
        <v>0.2</v>
      </c>
      <c r="J119" s="1138"/>
      <c r="K119" s="1134"/>
      <c r="L119" s="435">
        <v>0.15</v>
      </c>
      <c r="M119" s="1134"/>
      <c r="N119" s="1112">
        <f>G119+H120+I120</f>
        <v>7586.4</v>
      </c>
      <c r="O119" s="1112">
        <v>1</v>
      </c>
      <c r="P119" s="1140"/>
      <c r="Q119" s="1134"/>
      <c r="R119" s="1134"/>
      <c r="S119" s="1134"/>
      <c r="T119" s="1134">
        <v>3</v>
      </c>
      <c r="U119" s="1138">
        <v>0.1</v>
      </c>
      <c r="V119" s="1112">
        <f>N119*U119</f>
        <v>758.64</v>
      </c>
      <c r="W119" s="1112"/>
      <c r="X119" s="1112">
        <f>(N119+V119)*O119</f>
        <v>8345.0399999999991</v>
      </c>
      <c r="Y119" s="1112">
        <f>AB119</f>
        <v>11654.960000000001</v>
      </c>
      <c r="Z119" s="1112">
        <f>X119+Y119</f>
        <v>20000</v>
      </c>
      <c r="AA119" s="1109">
        <f>20000*O119</f>
        <v>20000</v>
      </c>
      <c r="AB119" s="1109">
        <f>AA119-X119</f>
        <v>11654.960000000001</v>
      </c>
      <c r="AC119" s="1112">
        <f>6700*O119</f>
        <v>6700</v>
      </c>
      <c r="AD119" s="1112">
        <f>X119-AC119</f>
        <v>1645.0399999999991</v>
      </c>
      <c r="AE119" s="436">
        <f t="shared" si="25"/>
        <v>6322</v>
      </c>
      <c r="AF119" s="436">
        <f t="shared" si="26"/>
        <v>0</v>
      </c>
      <c r="AG119" s="436">
        <f t="shared" si="27"/>
        <v>7586.4</v>
      </c>
      <c r="AH119" s="436">
        <f t="shared" si="28"/>
        <v>0</v>
      </c>
      <c r="AI119" s="436">
        <f t="shared" si="40"/>
        <v>1264.3999999999996</v>
      </c>
      <c r="AJ119" s="436">
        <f>AH119-AF119</f>
        <v>0</v>
      </c>
      <c r="AK119" s="437">
        <f t="shared" si="30"/>
        <v>758.64</v>
      </c>
      <c r="AL119" s="437">
        <f t="shared" si="31"/>
        <v>0</v>
      </c>
      <c r="AM119" s="437">
        <f t="shared" si="32"/>
        <v>0</v>
      </c>
      <c r="AN119" s="437">
        <f t="shared" si="41"/>
        <v>0</v>
      </c>
      <c r="AO119" s="437">
        <f t="shared" si="42"/>
        <v>0</v>
      </c>
      <c r="AP119" s="437">
        <f>AG119</f>
        <v>7586.4</v>
      </c>
      <c r="AQ119" s="437">
        <f>AH119</f>
        <v>0</v>
      </c>
      <c r="AR119" s="436"/>
      <c r="AS119" s="437">
        <f>AP119+AQ119-AR119</f>
        <v>7586.4</v>
      </c>
    </row>
    <row r="120" spans="1:45" s="438" customFormat="1" ht="24.95" customHeight="1">
      <c r="A120" s="1134"/>
      <c r="B120" s="1134"/>
      <c r="C120" s="1139"/>
      <c r="D120" s="1172"/>
      <c r="E120" s="1134"/>
      <c r="F120" s="1134"/>
      <c r="G120" s="1112"/>
      <c r="H120" s="1134"/>
      <c r="I120" s="448">
        <f>G119*I119</f>
        <v>1264.4000000000001</v>
      </c>
      <c r="J120" s="1170"/>
      <c r="K120" s="1134"/>
      <c r="L120" s="439">
        <f t="shared" si="45"/>
        <v>1137.9599999999998</v>
      </c>
      <c r="M120" s="1134"/>
      <c r="N120" s="1112"/>
      <c r="O120" s="1112"/>
      <c r="P120" s="1140"/>
      <c r="Q120" s="1134"/>
      <c r="R120" s="1134"/>
      <c r="S120" s="1134"/>
      <c r="T120" s="1134"/>
      <c r="U120" s="1138"/>
      <c r="V120" s="1112"/>
      <c r="W120" s="1112"/>
      <c r="X120" s="1112"/>
      <c r="Y120" s="1112"/>
      <c r="Z120" s="1112"/>
      <c r="AA120" s="1109"/>
      <c r="AB120" s="1109"/>
      <c r="AC120" s="1112"/>
      <c r="AD120" s="1112"/>
      <c r="AE120" s="436">
        <f t="shared" si="25"/>
        <v>0</v>
      </c>
      <c r="AF120" s="436">
        <f t="shared" si="26"/>
        <v>0</v>
      </c>
      <c r="AG120" s="436">
        <f t="shared" si="27"/>
        <v>0</v>
      </c>
      <c r="AH120" s="436">
        <f t="shared" si="28"/>
        <v>0</v>
      </c>
      <c r="AI120" s="436">
        <f t="shared" si="40"/>
        <v>0</v>
      </c>
      <c r="AJ120" s="436">
        <f>AH120-AF120</f>
        <v>0</v>
      </c>
      <c r="AK120" s="437">
        <f t="shared" si="30"/>
        <v>0</v>
      </c>
      <c r="AL120" s="437">
        <f t="shared" si="31"/>
        <v>0</v>
      </c>
      <c r="AM120" s="437">
        <f t="shared" si="32"/>
        <v>0</v>
      </c>
      <c r="AN120" s="437">
        <f t="shared" si="41"/>
        <v>0</v>
      </c>
      <c r="AO120" s="437">
        <f t="shared" si="42"/>
        <v>0</v>
      </c>
      <c r="AP120" s="437">
        <f>AG120</f>
        <v>0</v>
      </c>
      <c r="AQ120" s="437">
        <f>AH120</f>
        <v>0</v>
      </c>
      <c r="AR120" s="436"/>
      <c r="AS120" s="437">
        <f>AP120+AQ120-AR120</f>
        <v>0</v>
      </c>
    </row>
    <row r="121" spans="1:45" s="446" customFormat="1" ht="24.95" customHeight="1">
      <c r="A121" s="441"/>
      <c r="B121" s="441"/>
      <c r="C121" s="442" t="s">
        <v>318</v>
      </c>
      <c r="D121" s="443"/>
      <c r="E121" s="441"/>
      <c r="F121" s="441"/>
      <c r="G121" s="444">
        <f>SUM(G97:G120)</f>
        <v>62769</v>
      </c>
      <c r="H121" s="444">
        <f>SUM(H97:H120)</f>
        <v>1692.5</v>
      </c>
      <c r="I121" s="445">
        <f>SUM(I97:I120)</f>
        <v>2347.15</v>
      </c>
      <c r="J121" s="444"/>
      <c r="K121" s="444"/>
      <c r="L121" s="444">
        <f>SUM(L97:L120)</f>
        <v>9769.1699999999983</v>
      </c>
      <c r="M121" s="444"/>
      <c r="N121" s="444">
        <f>SUM(N97:N120)</f>
        <v>75437.460000000006</v>
      </c>
      <c r="O121" s="444">
        <f>SUM(O97:O120)</f>
        <v>7</v>
      </c>
      <c r="P121" s="444">
        <f>SUM(P97:P120)</f>
        <v>1.25</v>
      </c>
      <c r="Q121" s="444"/>
      <c r="R121" s="444"/>
      <c r="S121" s="444"/>
      <c r="T121" s="444"/>
      <c r="U121" s="444"/>
      <c r="V121" s="444">
        <f t="shared" ref="V121:AD121" si="46">SUM(V97:V120)</f>
        <v>16121.117999999999</v>
      </c>
      <c r="W121" s="444">
        <f t="shared" si="46"/>
        <v>0</v>
      </c>
      <c r="X121" s="444">
        <f t="shared" si="46"/>
        <v>77103.681750000003</v>
      </c>
      <c r="Y121" s="444">
        <f t="shared" si="46"/>
        <v>87896.318249999997</v>
      </c>
      <c r="Z121" s="444">
        <f t="shared" si="46"/>
        <v>165000</v>
      </c>
      <c r="AA121" s="499">
        <f t="shared" si="46"/>
        <v>165000</v>
      </c>
      <c r="AB121" s="499">
        <f t="shared" si="46"/>
        <v>87896.318249999997</v>
      </c>
      <c r="AC121" s="444">
        <f t="shared" si="46"/>
        <v>48575</v>
      </c>
      <c r="AD121" s="444">
        <f t="shared" si="46"/>
        <v>28785.961750000002</v>
      </c>
      <c r="AE121" s="436"/>
      <c r="AF121" s="436"/>
      <c r="AG121" s="436"/>
      <c r="AH121" s="436"/>
      <c r="AI121" s="436"/>
      <c r="AJ121" s="436"/>
      <c r="AK121" s="437"/>
      <c r="AL121" s="437"/>
      <c r="AM121" s="437"/>
      <c r="AN121" s="437">
        <f t="shared" si="41"/>
        <v>0</v>
      </c>
      <c r="AO121" s="437">
        <f t="shared" si="42"/>
        <v>0</v>
      </c>
      <c r="AP121" s="437">
        <f t="shared" si="35"/>
        <v>0</v>
      </c>
      <c r="AQ121" s="437">
        <f t="shared" si="35"/>
        <v>0</v>
      </c>
      <c r="AR121" s="436"/>
      <c r="AS121" s="437">
        <f t="shared" si="36"/>
        <v>0</v>
      </c>
    </row>
    <row r="122" spans="1:45" s="446" customFormat="1" ht="24.95" customHeight="1">
      <c r="A122" s="441"/>
      <c r="B122" s="441"/>
      <c r="C122" s="1136" t="s">
        <v>1028</v>
      </c>
      <c r="D122" s="1136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503"/>
      <c r="AB122" s="503"/>
      <c r="AC122" s="441"/>
      <c r="AD122" s="441"/>
      <c r="AE122" s="436">
        <f t="shared" si="25"/>
        <v>0</v>
      </c>
      <c r="AF122" s="436">
        <f t="shared" si="26"/>
        <v>0</v>
      </c>
      <c r="AG122" s="436">
        <f t="shared" si="27"/>
        <v>0</v>
      </c>
      <c r="AH122" s="436">
        <f t="shared" si="28"/>
        <v>0</v>
      </c>
      <c r="AI122" s="436">
        <f t="shared" si="29"/>
        <v>0</v>
      </c>
      <c r="AJ122" s="436">
        <f t="shared" si="29"/>
        <v>0</v>
      </c>
      <c r="AK122" s="437">
        <f t="shared" si="30"/>
        <v>0</v>
      </c>
      <c r="AL122" s="437">
        <f t="shared" si="31"/>
        <v>0</v>
      </c>
      <c r="AM122" s="437">
        <f t="shared" si="32"/>
        <v>0</v>
      </c>
      <c r="AN122" s="437">
        <f t="shared" si="41"/>
        <v>0</v>
      </c>
      <c r="AO122" s="437">
        <f t="shared" si="42"/>
        <v>0</v>
      </c>
      <c r="AP122" s="437">
        <f t="shared" si="35"/>
        <v>0</v>
      </c>
      <c r="AQ122" s="437">
        <f t="shared" si="35"/>
        <v>0</v>
      </c>
      <c r="AR122" s="436"/>
      <c r="AS122" s="437">
        <f t="shared" si="36"/>
        <v>0</v>
      </c>
    </row>
    <row r="123" spans="1:45" s="438" customFormat="1" ht="24.95" customHeight="1">
      <c r="A123" s="1134"/>
      <c r="B123" s="1134"/>
      <c r="C123" s="1139" t="s">
        <v>510</v>
      </c>
      <c r="D123" s="1134" t="s">
        <v>508</v>
      </c>
      <c r="E123" s="1134" t="s">
        <v>338</v>
      </c>
      <c r="F123" s="1134">
        <v>13</v>
      </c>
      <c r="G123" s="1112">
        <v>6769</v>
      </c>
      <c r="H123" s="1134"/>
      <c r="I123" s="1134"/>
      <c r="J123" s="1134"/>
      <c r="K123" s="1134"/>
      <c r="L123" s="1134"/>
      <c r="M123" s="1134"/>
      <c r="N123" s="1112">
        <f>G123+H124+I124+L124</f>
        <v>6769</v>
      </c>
      <c r="O123" s="1112">
        <v>1</v>
      </c>
      <c r="P123" s="1112"/>
      <c r="Q123" s="1134"/>
      <c r="R123" s="1134"/>
      <c r="S123" s="1134"/>
      <c r="T123" s="1134">
        <v>27</v>
      </c>
      <c r="U123" s="1138">
        <v>0.3</v>
      </c>
      <c r="V123" s="1112">
        <f>N123*U123</f>
        <v>2030.6999999999998</v>
      </c>
      <c r="W123" s="1112"/>
      <c r="X123" s="1112">
        <f>(N123+V123)*O123</f>
        <v>8799.7000000000007</v>
      </c>
      <c r="Y123" s="1112">
        <f>AB123</f>
        <v>11200.3</v>
      </c>
      <c r="Z123" s="1112">
        <f>X123+Y123</f>
        <v>20000</v>
      </c>
      <c r="AA123" s="1109">
        <f>20000*O123</f>
        <v>20000</v>
      </c>
      <c r="AB123" s="1109">
        <f>AA123-X123</f>
        <v>11200.3</v>
      </c>
      <c r="AC123" s="1112">
        <f>6700*O123</f>
        <v>6700</v>
      </c>
      <c r="AD123" s="1112">
        <f>X123-AC123</f>
        <v>2099.7000000000007</v>
      </c>
      <c r="AE123" s="436">
        <f t="shared" si="25"/>
        <v>6769</v>
      </c>
      <c r="AF123" s="436">
        <f t="shared" si="26"/>
        <v>0</v>
      </c>
      <c r="AG123" s="436">
        <f t="shared" si="27"/>
        <v>6769</v>
      </c>
      <c r="AH123" s="436">
        <f t="shared" si="28"/>
        <v>0</v>
      </c>
      <c r="AI123" s="436">
        <f t="shared" si="29"/>
        <v>0</v>
      </c>
      <c r="AJ123" s="436">
        <f t="shared" si="29"/>
        <v>0</v>
      </c>
      <c r="AK123" s="437">
        <f t="shared" si="30"/>
        <v>2030.6999999999998</v>
      </c>
      <c r="AL123" s="437">
        <f t="shared" si="31"/>
        <v>0</v>
      </c>
      <c r="AM123" s="437">
        <f t="shared" si="32"/>
        <v>0</v>
      </c>
      <c r="AN123" s="437">
        <f t="shared" si="41"/>
        <v>0</v>
      </c>
      <c r="AO123" s="437">
        <f t="shared" si="42"/>
        <v>0</v>
      </c>
      <c r="AP123" s="437">
        <f t="shared" si="35"/>
        <v>6769</v>
      </c>
      <c r="AQ123" s="437">
        <f t="shared" si="35"/>
        <v>0</v>
      </c>
      <c r="AR123" s="436"/>
      <c r="AS123" s="437">
        <f t="shared" si="36"/>
        <v>6769</v>
      </c>
    </row>
    <row r="124" spans="1:45" s="438" customFormat="1" ht="24.95" customHeight="1">
      <c r="A124" s="1134"/>
      <c r="B124" s="1134"/>
      <c r="C124" s="1139"/>
      <c r="D124" s="1134"/>
      <c r="E124" s="1134"/>
      <c r="F124" s="1134"/>
      <c r="G124" s="1112"/>
      <c r="H124" s="1134"/>
      <c r="I124" s="1134"/>
      <c r="J124" s="1134"/>
      <c r="K124" s="1134"/>
      <c r="L124" s="1134"/>
      <c r="M124" s="1134"/>
      <c r="N124" s="1112"/>
      <c r="O124" s="1112"/>
      <c r="P124" s="1112"/>
      <c r="Q124" s="1134"/>
      <c r="R124" s="1134"/>
      <c r="S124" s="1134"/>
      <c r="T124" s="1134"/>
      <c r="U124" s="1138"/>
      <c r="V124" s="1112"/>
      <c r="W124" s="1112"/>
      <c r="X124" s="1112"/>
      <c r="Y124" s="1112"/>
      <c r="Z124" s="1112"/>
      <c r="AA124" s="1109"/>
      <c r="AB124" s="1109"/>
      <c r="AC124" s="1112"/>
      <c r="AD124" s="1112"/>
      <c r="AE124" s="436">
        <f t="shared" si="25"/>
        <v>0</v>
      </c>
      <c r="AF124" s="436">
        <f t="shared" si="26"/>
        <v>0</v>
      </c>
      <c r="AG124" s="436">
        <f t="shared" si="27"/>
        <v>0</v>
      </c>
      <c r="AH124" s="436">
        <f t="shared" si="28"/>
        <v>0</v>
      </c>
      <c r="AI124" s="436">
        <f t="shared" si="29"/>
        <v>0</v>
      </c>
      <c r="AJ124" s="436">
        <f t="shared" si="29"/>
        <v>0</v>
      </c>
      <c r="AK124" s="437">
        <f t="shared" si="30"/>
        <v>0</v>
      </c>
      <c r="AL124" s="437">
        <f t="shared" si="31"/>
        <v>0</v>
      </c>
      <c r="AM124" s="437">
        <f t="shared" si="32"/>
        <v>0</v>
      </c>
      <c r="AN124" s="437">
        <f t="shared" si="41"/>
        <v>0</v>
      </c>
      <c r="AO124" s="437">
        <f t="shared" si="42"/>
        <v>0</v>
      </c>
      <c r="AP124" s="437">
        <f t="shared" si="35"/>
        <v>0</v>
      </c>
      <c r="AQ124" s="437">
        <f t="shared" si="35"/>
        <v>0</v>
      </c>
      <c r="AR124" s="436"/>
      <c r="AS124" s="437">
        <f t="shared" si="36"/>
        <v>0</v>
      </c>
    </row>
    <row r="125" spans="1:45" s="438" customFormat="1" ht="24.95" customHeight="1">
      <c r="A125" s="1134"/>
      <c r="B125" s="1134"/>
      <c r="C125" s="1139" t="s">
        <v>510</v>
      </c>
      <c r="D125" s="1134" t="s">
        <v>470</v>
      </c>
      <c r="E125" s="1134" t="s">
        <v>471</v>
      </c>
      <c r="F125" s="1134">
        <v>13</v>
      </c>
      <c r="G125" s="1112">
        <v>6769</v>
      </c>
      <c r="H125" s="1112"/>
      <c r="I125" s="1112"/>
      <c r="J125" s="1112"/>
      <c r="K125" s="1112"/>
      <c r="L125" s="1112"/>
      <c r="M125" s="1112"/>
      <c r="N125" s="1112">
        <f>G125+H126+I126+L126</f>
        <v>6769</v>
      </c>
      <c r="O125" s="1112">
        <v>1</v>
      </c>
      <c r="P125" s="1112"/>
      <c r="Q125" s="1112"/>
      <c r="R125" s="1112"/>
      <c r="S125" s="1112"/>
      <c r="T125" s="1134">
        <v>21</v>
      </c>
      <c r="U125" s="1138">
        <v>0.3</v>
      </c>
      <c r="V125" s="1112">
        <f>N125*U125</f>
        <v>2030.6999999999998</v>
      </c>
      <c r="W125" s="1112"/>
      <c r="X125" s="1112">
        <f>(N125+V125)*O125</f>
        <v>8799.7000000000007</v>
      </c>
      <c r="Y125" s="1112">
        <f>AB125</f>
        <v>11200.3</v>
      </c>
      <c r="Z125" s="1112">
        <f>X125+Y125</f>
        <v>20000</v>
      </c>
      <c r="AA125" s="1109">
        <f>20000*O125</f>
        <v>20000</v>
      </c>
      <c r="AB125" s="1109">
        <f>AA125-X125</f>
        <v>11200.3</v>
      </c>
      <c r="AC125" s="1112">
        <f>6700*O125</f>
        <v>6700</v>
      </c>
      <c r="AD125" s="1112">
        <f>X125-AC125</f>
        <v>2099.7000000000007</v>
      </c>
      <c r="AE125" s="436">
        <f>G125*O125</f>
        <v>6769</v>
      </c>
      <c r="AF125" s="436">
        <f>G125*P125</f>
        <v>0</v>
      </c>
      <c r="AG125" s="436">
        <f>N125*O125</f>
        <v>6769</v>
      </c>
      <c r="AH125" s="436">
        <f>N125*P125</f>
        <v>0</v>
      </c>
      <c r="AI125" s="436">
        <f>AG125-AE125</f>
        <v>0</v>
      </c>
      <c r="AJ125" s="436">
        <f>AH125-AF125</f>
        <v>0</v>
      </c>
      <c r="AK125" s="437">
        <f>V125*O125</f>
        <v>2030.6999999999998</v>
      </c>
      <c r="AL125" s="437">
        <f>V125*P125</f>
        <v>0</v>
      </c>
      <c r="AM125" s="437">
        <f>W125</f>
        <v>0</v>
      </c>
      <c r="AN125" s="437">
        <f t="shared" si="41"/>
        <v>0</v>
      </c>
      <c r="AO125" s="437">
        <f t="shared" si="42"/>
        <v>0</v>
      </c>
      <c r="AP125" s="437">
        <f t="shared" si="35"/>
        <v>6769</v>
      </c>
      <c r="AQ125" s="437">
        <f t="shared" si="35"/>
        <v>0</v>
      </c>
      <c r="AR125" s="436"/>
      <c r="AS125" s="437">
        <f t="shared" si="36"/>
        <v>6769</v>
      </c>
    </row>
    <row r="126" spans="1:45" s="438" customFormat="1" ht="24.95" customHeight="1">
      <c r="A126" s="1134"/>
      <c r="B126" s="1134"/>
      <c r="C126" s="1139"/>
      <c r="D126" s="1134"/>
      <c r="E126" s="1134"/>
      <c r="F126" s="1134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34"/>
      <c r="U126" s="1138"/>
      <c r="V126" s="1112"/>
      <c r="W126" s="1112"/>
      <c r="X126" s="1112"/>
      <c r="Y126" s="1112"/>
      <c r="Z126" s="1112"/>
      <c r="AA126" s="1109"/>
      <c r="AB126" s="1109"/>
      <c r="AC126" s="1112"/>
      <c r="AD126" s="1112"/>
      <c r="AE126" s="436">
        <f>G126*O126</f>
        <v>0</v>
      </c>
      <c r="AF126" s="436">
        <f>G126*P126</f>
        <v>0</v>
      </c>
      <c r="AG126" s="436">
        <f>N126*O126</f>
        <v>0</v>
      </c>
      <c r="AH126" s="436">
        <f>N126*P126</f>
        <v>0</v>
      </c>
      <c r="AI126" s="436">
        <f>AG126-AE126</f>
        <v>0</v>
      </c>
      <c r="AJ126" s="436">
        <f>AH126-AF126</f>
        <v>0</v>
      </c>
      <c r="AK126" s="437">
        <f>V126*O126</f>
        <v>0</v>
      </c>
      <c r="AL126" s="437">
        <f>V126*P126</f>
        <v>0</v>
      </c>
      <c r="AM126" s="437">
        <f>W126</f>
        <v>0</v>
      </c>
      <c r="AN126" s="437">
        <f t="shared" si="41"/>
        <v>0</v>
      </c>
      <c r="AO126" s="437">
        <f t="shared" si="42"/>
        <v>0</v>
      </c>
      <c r="AP126" s="437">
        <f t="shared" si="35"/>
        <v>0</v>
      </c>
      <c r="AQ126" s="437">
        <f t="shared" si="35"/>
        <v>0</v>
      </c>
      <c r="AR126" s="436"/>
      <c r="AS126" s="437">
        <f t="shared" si="36"/>
        <v>0</v>
      </c>
    </row>
    <row r="127" spans="1:45" s="446" customFormat="1" ht="24.95" customHeight="1">
      <c r="A127" s="441"/>
      <c r="B127" s="441"/>
      <c r="C127" s="442" t="s">
        <v>318</v>
      </c>
      <c r="D127" s="443"/>
      <c r="E127" s="441"/>
      <c r="F127" s="441"/>
      <c r="G127" s="444">
        <f>SUM(G123:G126)</f>
        <v>13538</v>
      </c>
      <c r="H127" s="444"/>
      <c r="I127" s="441"/>
      <c r="J127" s="441"/>
      <c r="K127" s="441"/>
      <c r="L127" s="441"/>
      <c r="M127" s="441"/>
      <c r="N127" s="444">
        <f>SUM(N123:N126)</f>
        <v>13538</v>
      </c>
      <c r="O127" s="444">
        <f>SUM(O123:O126)</f>
        <v>2</v>
      </c>
      <c r="P127" s="444">
        <f>SUM(P123:P126)</f>
        <v>0</v>
      </c>
      <c r="Q127" s="444"/>
      <c r="R127" s="444"/>
      <c r="S127" s="444"/>
      <c r="T127" s="444"/>
      <c r="U127" s="444"/>
      <c r="V127" s="444">
        <f t="shared" ref="V127:AD127" si="47">SUM(V123:V126)</f>
        <v>4061.3999999999996</v>
      </c>
      <c r="W127" s="444">
        <f t="shared" si="47"/>
        <v>0</v>
      </c>
      <c r="X127" s="444">
        <f t="shared" si="47"/>
        <v>17599.400000000001</v>
      </c>
      <c r="Y127" s="444">
        <f t="shared" si="47"/>
        <v>22400.6</v>
      </c>
      <c r="Z127" s="444">
        <f t="shared" si="47"/>
        <v>40000</v>
      </c>
      <c r="AA127" s="499">
        <f t="shared" si="47"/>
        <v>40000</v>
      </c>
      <c r="AB127" s="499">
        <f t="shared" si="47"/>
        <v>22400.6</v>
      </c>
      <c r="AC127" s="444">
        <f t="shared" si="47"/>
        <v>13400</v>
      </c>
      <c r="AD127" s="444">
        <f t="shared" si="47"/>
        <v>4199.4000000000015</v>
      </c>
      <c r="AE127" s="436"/>
      <c r="AF127" s="436"/>
      <c r="AG127" s="436"/>
      <c r="AH127" s="436"/>
      <c r="AI127" s="436"/>
      <c r="AJ127" s="436"/>
      <c r="AK127" s="437"/>
      <c r="AL127" s="437"/>
      <c r="AM127" s="437"/>
      <c r="AN127" s="437"/>
      <c r="AO127" s="437"/>
      <c r="AP127" s="437">
        <f t="shared" si="35"/>
        <v>0</v>
      </c>
      <c r="AQ127" s="437">
        <f t="shared" si="35"/>
        <v>0</v>
      </c>
      <c r="AR127" s="436"/>
      <c r="AS127" s="437">
        <f t="shared" si="36"/>
        <v>0</v>
      </c>
    </row>
    <row r="128" spans="1:45" s="446" customFormat="1" ht="24.95" customHeight="1">
      <c r="A128" s="441"/>
      <c r="B128" s="441"/>
      <c r="C128" s="1136" t="s">
        <v>1029</v>
      </c>
      <c r="D128" s="1136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  <c r="Y128" s="441"/>
      <c r="Z128" s="441"/>
      <c r="AA128" s="503"/>
      <c r="AB128" s="503"/>
      <c r="AC128" s="441"/>
      <c r="AD128" s="441"/>
      <c r="AE128" s="436">
        <f t="shared" si="25"/>
        <v>0</v>
      </c>
      <c r="AF128" s="436">
        <f t="shared" si="26"/>
        <v>0</v>
      </c>
      <c r="AG128" s="436">
        <f t="shared" si="27"/>
        <v>0</v>
      </c>
      <c r="AH128" s="436">
        <f t="shared" si="28"/>
        <v>0</v>
      </c>
      <c r="AI128" s="436">
        <f t="shared" si="29"/>
        <v>0</v>
      </c>
      <c r="AJ128" s="436">
        <f t="shared" si="29"/>
        <v>0</v>
      </c>
      <c r="AK128" s="437">
        <f t="shared" si="30"/>
        <v>0</v>
      </c>
      <c r="AL128" s="437">
        <f t="shared" si="31"/>
        <v>0</v>
      </c>
      <c r="AM128" s="437">
        <f t="shared" si="32"/>
        <v>0</v>
      </c>
      <c r="AN128" s="437">
        <f>S128*O128</f>
        <v>0</v>
      </c>
      <c r="AO128" s="437">
        <f>S128*P128</f>
        <v>0</v>
      </c>
      <c r="AP128" s="437">
        <f t="shared" si="35"/>
        <v>0</v>
      </c>
      <c r="AQ128" s="437">
        <f t="shared" si="35"/>
        <v>0</v>
      </c>
      <c r="AR128" s="436"/>
      <c r="AS128" s="437">
        <f t="shared" si="36"/>
        <v>0</v>
      </c>
    </row>
    <row r="129" spans="1:45" s="438" customFormat="1" ht="24.95" customHeight="1">
      <c r="A129" s="1134"/>
      <c r="B129" s="1134"/>
      <c r="C129" s="1139" t="s">
        <v>511</v>
      </c>
      <c r="D129" s="1134" t="s">
        <v>512</v>
      </c>
      <c r="E129" s="1134" t="s">
        <v>513</v>
      </c>
      <c r="F129" s="1134">
        <v>13</v>
      </c>
      <c r="G129" s="1112">
        <v>6769</v>
      </c>
      <c r="H129" s="435">
        <v>0.1</v>
      </c>
      <c r="I129" s="1134"/>
      <c r="J129" s="1134"/>
      <c r="K129" s="1134"/>
      <c r="L129" s="1134"/>
      <c r="M129" s="1134"/>
      <c r="N129" s="1112">
        <f>G129+H130+I130+L130</f>
        <v>7445.9</v>
      </c>
      <c r="O129" s="1112">
        <v>1</v>
      </c>
      <c r="P129" s="1112"/>
      <c r="Q129" s="1134"/>
      <c r="R129" s="1134"/>
      <c r="S129" s="1134"/>
      <c r="T129" s="1134">
        <v>32</v>
      </c>
      <c r="U129" s="1138">
        <v>0.3</v>
      </c>
      <c r="V129" s="1112">
        <f>N129*U129</f>
        <v>2233.77</v>
      </c>
      <c r="W129" s="1112"/>
      <c r="X129" s="1112">
        <f>N129+V129</f>
        <v>9679.67</v>
      </c>
      <c r="Y129" s="1112">
        <f>AB129</f>
        <v>10320.33</v>
      </c>
      <c r="Z129" s="1112">
        <f>X129+Y129</f>
        <v>20000</v>
      </c>
      <c r="AA129" s="1109">
        <f>20000*O129</f>
        <v>20000</v>
      </c>
      <c r="AB129" s="1109">
        <f>AA129-X129</f>
        <v>10320.33</v>
      </c>
      <c r="AC129" s="1112">
        <f>6700*O129</f>
        <v>6700</v>
      </c>
      <c r="AD129" s="1112">
        <f>X129-AC129</f>
        <v>2979.67</v>
      </c>
      <c r="AE129" s="436">
        <f t="shared" si="25"/>
        <v>6769</v>
      </c>
      <c r="AF129" s="436">
        <f t="shared" si="26"/>
        <v>0</v>
      </c>
      <c r="AG129" s="436">
        <f t="shared" si="27"/>
        <v>7445.9</v>
      </c>
      <c r="AH129" s="436">
        <f t="shared" si="28"/>
        <v>0</v>
      </c>
      <c r="AI129" s="436">
        <f t="shared" si="29"/>
        <v>676.89999999999964</v>
      </c>
      <c r="AJ129" s="436">
        <f t="shared" si="29"/>
        <v>0</v>
      </c>
      <c r="AK129" s="437">
        <f t="shared" si="30"/>
        <v>2233.77</v>
      </c>
      <c r="AL129" s="437">
        <f t="shared" si="31"/>
        <v>0</v>
      </c>
      <c r="AM129" s="437">
        <f t="shared" si="32"/>
        <v>0</v>
      </c>
      <c r="AN129" s="437">
        <f>S129*O129</f>
        <v>0</v>
      </c>
      <c r="AO129" s="437">
        <f>S129*P129</f>
        <v>0</v>
      </c>
      <c r="AP129" s="437">
        <f t="shared" si="35"/>
        <v>7445.9</v>
      </c>
      <c r="AQ129" s="437">
        <f t="shared" si="35"/>
        <v>0</v>
      </c>
      <c r="AR129" s="436"/>
      <c r="AS129" s="437">
        <f t="shared" si="36"/>
        <v>7445.9</v>
      </c>
    </row>
    <row r="130" spans="1:45" s="438" customFormat="1" ht="24.95" customHeight="1">
      <c r="A130" s="1134"/>
      <c r="B130" s="1134"/>
      <c r="C130" s="1139"/>
      <c r="D130" s="1134"/>
      <c r="E130" s="1134"/>
      <c r="F130" s="1134"/>
      <c r="G130" s="1112"/>
      <c r="H130" s="439">
        <f>G129*H129</f>
        <v>676.90000000000009</v>
      </c>
      <c r="I130" s="1134"/>
      <c r="J130" s="1134"/>
      <c r="K130" s="1134"/>
      <c r="L130" s="1134"/>
      <c r="M130" s="1134"/>
      <c r="N130" s="1112"/>
      <c r="O130" s="1112"/>
      <c r="P130" s="1112"/>
      <c r="Q130" s="1134"/>
      <c r="R130" s="1134"/>
      <c r="S130" s="1134"/>
      <c r="T130" s="1134"/>
      <c r="U130" s="1138"/>
      <c r="V130" s="1112"/>
      <c r="W130" s="1112"/>
      <c r="X130" s="1112"/>
      <c r="Y130" s="1112"/>
      <c r="Z130" s="1112"/>
      <c r="AA130" s="1109"/>
      <c r="AB130" s="1109"/>
      <c r="AC130" s="1112"/>
      <c r="AD130" s="1112"/>
      <c r="AE130" s="436">
        <f t="shared" si="25"/>
        <v>0</v>
      </c>
      <c r="AF130" s="436">
        <f t="shared" si="26"/>
        <v>0</v>
      </c>
      <c r="AG130" s="436">
        <f t="shared" si="27"/>
        <v>0</v>
      </c>
      <c r="AH130" s="436">
        <f t="shared" si="28"/>
        <v>0</v>
      </c>
      <c r="AI130" s="436">
        <f t="shared" si="29"/>
        <v>0</v>
      </c>
      <c r="AJ130" s="436">
        <f t="shared" si="29"/>
        <v>0</v>
      </c>
      <c r="AK130" s="437">
        <f t="shared" si="30"/>
        <v>0</v>
      </c>
      <c r="AL130" s="437">
        <f t="shared" si="31"/>
        <v>0</v>
      </c>
      <c r="AM130" s="437">
        <f t="shared" si="32"/>
        <v>0</v>
      </c>
      <c r="AN130" s="437">
        <f>S130*O130</f>
        <v>0</v>
      </c>
      <c r="AO130" s="437">
        <f>S130*P130</f>
        <v>0</v>
      </c>
      <c r="AP130" s="437">
        <f t="shared" si="35"/>
        <v>0</v>
      </c>
      <c r="AQ130" s="437">
        <f t="shared" si="35"/>
        <v>0</v>
      </c>
      <c r="AR130" s="436"/>
      <c r="AS130" s="437">
        <f t="shared" si="36"/>
        <v>0</v>
      </c>
    </row>
    <row r="131" spans="1:45" s="438" customFormat="1" ht="24.95" customHeight="1">
      <c r="A131" s="1134"/>
      <c r="B131" s="1134"/>
      <c r="C131" s="1139" t="s">
        <v>514</v>
      </c>
      <c r="D131" s="1134" t="s">
        <v>1030</v>
      </c>
      <c r="E131" s="1134" t="s">
        <v>515</v>
      </c>
      <c r="F131" s="1134">
        <v>12</v>
      </c>
      <c r="G131" s="1112">
        <v>6322</v>
      </c>
      <c r="H131" s="1112"/>
      <c r="I131" s="1112"/>
      <c r="J131" s="1112"/>
      <c r="K131" s="1112"/>
      <c r="L131" s="1112"/>
      <c r="M131" s="1112"/>
      <c r="N131" s="1112">
        <f>G131+H132+I132+L132</f>
        <v>6322</v>
      </c>
      <c r="O131" s="1112">
        <v>1</v>
      </c>
      <c r="P131" s="1112"/>
      <c r="Q131" s="1112"/>
      <c r="R131" s="1112"/>
      <c r="S131" s="1112"/>
      <c r="T131" s="1134">
        <v>41</v>
      </c>
      <c r="U131" s="1138">
        <v>0.3</v>
      </c>
      <c r="V131" s="1112">
        <f>N131*U131</f>
        <v>1896.6</v>
      </c>
      <c r="W131" s="1112"/>
      <c r="X131" s="1112">
        <f>(N131+V131)*O131</f>
        <v>8218.6</v>
      </c>
      <c r="Y131" s="1112">
        <f>AB131</f>
        <v>11781.4</v>
      </c>
      <c r="Z131" s="1112">
        <f>X131+Y131</f>
        <v>20000</v>
      </c>
      <c r="AA131" s="1109">
        <f>20000*O131</f>
        <v>20000</v>
      </c>
      <c r="AB131" s="1109">
        <f>AA131-X131</f>
        <v>11781.4</v>
      </c>
      <c r="AC131" s="1112">
        <f>6700*O131</f>
        <v>6700</v>
      </c>
      <c r="AD131" s="1112">
        <f>X131-AC131</f>
        <v>1518.6000000000004</v>
      </c>
      <c r="AE131" s="436">
        <f t="shared" si="25"/>
        <v>6322</v>
      </c>
      <c r="AF131" s="436">
        <f t="shared" si="26"/>
        <v>0</v>
      </c>
      <c r="AG131" s="436">
        <f t="shared" si="27"/>
        <v>6322</v>
      </c>
      <c r="AH131" s="436">
        <f t="shared" si="28"/>
        <v>0</v>
      </c>
      <c r="AI131" s="436">
        <f t="shared" si="29"/>
        <v>0</v>
      </c>
      <c r="AJ131" s="436">
        <f t="shared" si="29"/>
        <v>0</v>
      </c>
      <c r="AK131" s="437">
        <f t="shared" si="30"/>
        <v>1896.6</v>
      </c>
      <c r="AL131" s="437">
        <f t="shared" si="31"/>
        <v>0</v>
      </c>
      <c r="AM131" s="437">
        <f t="shared" si="32"/>
        <v>0</v>
      </c>
      <c r="AN131" s="437">
        <f>S131*O131</f>
        <v>0</v>
      </c>
      <c r="AO131" s="437">
        <f>S131*P131</f>
        <v>0</v>
      </c>
      <c r="AP131" s="437">
        <f t="shared" si="35"/>
        <v>6322</v>
      </c>
      <c r="AQ131" s="437">
        <f t="shared" si="35"/>
        <v>0</v>
      </c>
      <c r="AR131" s="436"/>
      <c r="AS131" s="437">
        <f t="shared" si="36"/>
        <v>6322</v>
      </c>
    </row>
    <row r="132" spans="1:45" s="438" customFormat="1" ht="24.95" customHeight="1">
      <c r="A132" s="1134"/>
      <c r="B132" s="1134"/>
      <c r="C132" s="1139"/>
      <c r="D132" s="1134"/>
      <c r="E132" s="1134"/>
      <c r="F132" s="1134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34"/>
      <c r="U132" s="1138"/>
      <c r="V132" s="1112"/>
      <c r="W132" s="1112"/>
      <c r="X132" s="1112"/>
      <c r="Y132" s="1112"/>
      <c r="Z132" s="1112"/>
      <c r="AA132" s="1109"/>
      <c r="AB132" s="1109"/>
      <c r="AC132" s="1112"/>
      <c r="AD132" s="1112"/>
      <c r="AE132" s="436">
        <f t="shared" si="25"/>
        <v>0</v>
      </c>
      <c r="AF132" s="436">
        <f t="shared" si="26"/>
        <v>0</v>
      </c>
      <c r="AG132" s="436">
        <f t="shared" si="27"/>
        <v>0</v>
      </c>
      <c r="AH132" s="436">
        <f t="shared" si="28"/>
        <v>0</v>
      </c>
      <c r="AI132" s="436">
        <f t="shared" si="29"/>
        <v>0</v>
      </c>
      <c r="AJ132" s="436">
        <f t="shared" si="29"/>
        <v>0</v>
      </c>
      <c r="AK132" s="437">
        <f t="shared" si="30"/>
        <v>0</v>
      </c>
      <c r="AL132" s="437">
        <f t="shared" si="31"/>
        <v>0</v>
      </c>
      <c r="AM132" s="437">
        <f t="shared" si="32"/>
        <v>0</v>
      </c>
      <c r="AN132" s="437">
        <f t="shared" ref="AN132:AN192" si="48">S132*O132</f>
        <v>0</v>
      </c>
      <c r="AO132" s="437">
        <f t="shared" ref="AO132:AO192" si="49">S132*P132</f>
        <v>0</v>
      </c>
      <c r="AP132" s="437">
        <f t="shared" si="35"/>
        <v>0</v>
      </c>
      <c r="AQ132" s="437">
        <f t="shared" si="35"/>
        <v>0</v>
      </c>
      <c r="AR132" s="436"/>
      <c r="AS132" s="437">
        <f t="shared" si="36"/>
        <v>0</v>
      </c>
    </row>
    <row r="133" spans="1:45" s="446" customFormat="1" ht="24.95" customHeight="1">
      <c r="A133" s="441"/>
      <c r="B133" s="441"/>
      <c r="C133" s="442" t="s">
        <v>318</v>
      </c>
      <c r="D133" s="443"/>
      <c r="E133" s="441"/>
      <c r="F133" s="441"/>
      <c r="G133" s="444">
        <f>SUM(G129:G132)</f>
        <v>13091</v>
      </c>
      <c r="H133" s="444">
        <f>H130</f>
        <v>676.90000000000009</v>
      </c>
      <c r="I133" s="441"/>
      <c r="J133" s="441"/>
      <c r="K133" s="441"/>
      <c r="L133" s="441"/>
      <c r="M133" s="441"/>
      <c r="N133" s="444">
        <f>SUM(N129:N131)</f>
        <v>13767.9</v>
      </c>
      <c r="O133" s="444">
        <f>SUM(O129:O131)</f>
        <v>2</v>
      </c>
      <c r="P133" s="444">
        <f>SUM(P129:P131)</f>
        <v>0</v>
      </c>
      <c r="Q133" s="444"/>
      <c r="R133" s="444"/>
      <c r="S133" s="444"/>
      <c r="T133" s="444"/>
      <c r="U133" s="444"/>
      <c r="V133" s="444">
        <f t="shared" ref="V133:AD133" si="50">SUM(V129:V131)</f>
        <v>4130.37</v>
      </c>
      <c r="W133" s="444">
        <f t="shared" si="50"/>
        <v>0</v>
      </c>
      <c r="X133" s="444">
        <f t="shared" si="50"/>
        <v>17898.27</v>
      </c>
      <c r="Y133" s="444">
        <f t="shared" si="50"/>
        <v>22101.73</v>
      </c>
      <c r="Z133" s="444">
        <f t="shared" si="50"/>
        <v>40000</v>
      </c>
      <c r="AA133" s="499">
        <f t="shared" si="50"/>
        <v>40000</v>
      </c>
      <c r="AB133" s="499">
        <f t="shared" si="50"/>
        <v>22101.73</v>
      </c>
      <c r="AC133" s="444">
        <f t="shared" si="50"/>
        <v>13400</v>
      </c>
      <c r="AD133" s="444">
        <f t="shared" si="50"/>
        <v>4498.2700000000004</v>
      </c>
      <c r="AE133" s="436"/>
      <c r="AF133" s="436"/>
      <c r="AG133" s="436"/>
      <c r="AH133" s="436"/>
      <c r="AI133" s="436"/>
      <c r="AJ133" s="436"/>
      <c r="AK133" s="437"/>
      <c r="AL133" s="437"/>
      <c r="AM133" s="437"/>
      <c r="AN133" s="437"/>
      <c r="AO133" s="437"/>
      <c r="AP133" s="437">
        <f t="shared" si="35"/>
        <v>0</v>
      </c>
      <c r="AQ133" s="437">
        <f t="shared" si="35"/>
        <v>0</v>
      </c>
      <c r="AR133" s="436"/>
      <c r="AS133" s="437">
        <f t="shared" si="36"/>
        <v>0</v>
      </c>
    </row>
    <row r="134" spans="1:45" s="446" customFormat="1" ht="24.95" customHeight="1">
      <c r="A134" s="441"/>
      <c r="B134" s="441"/>
      <c r="C134" s="1136" t="s">
        <v>1031</v>
      </c>
      <c r="D134" s="1136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503"/>
      <c r="AB134" s="503"/>
      <c r="AC134" s="441"/>
      <c r="AD134" s="441"/>
      <c r="AE134" s="436">
        <f t="shared" si="25"/>
        <v>0</v>
      </c>
      <c r="AF134" s="436">
        <f t="shared" si="26"/>
        <v>0</v>
      </c>
      <c r="AG134" s="436">
        <f t="shared" si="27"/>
        <v>0</v>
      </c>
      <c r="AH134" s="436">
        <f t="shared" si="28"/>
        <v>0</v>
      </c>
      <c r="AI134" s="436">
        <f t="shared" si="29"/>
        <v>0</v>
      </c>
      <c r="AJ134" s="436">
        <f t="shared" si="29"/>
        <v>0</v>
      </c>
      <c r="AK134" s="437">
        <f t="shared" si="30"/>
        <v>0</v>
      </c>
      <c r="AL134" s="437">
        <f t="shared" si="31"/>
        <v>0</v>
      </c>
      <c r="AM134" s="437">
        <f t="shared" si="32"/>
        <v>0</v>
      </c>
      <c r="AN134" s="437">
        <f t="shared" si="48"/>
        <v>0</v>
      </c>
      <c r="AO134" s="437">
        <f t="shared" si="49"/>
        <v>0</v>
      </c>
      <c r="AP134" s="437">
        <f t="shared" si="35"/>
        <v>0</v>
      </c>
      <c r="AQ134" s="437">
        <f t="shared" si="35"/>
        <v>0</v>
      </c>
      <c r="AR134" s="436"/>
      <c r="AS134" s="437">
        <f t="shared" si="36"/>
        <v>0</v>
      </c>
    </row>
    <row r="135" spans="1:45" s="438" customFormat="1" ht="24.95" customHeight="1">
      <c r="A135" s="1134"/>
      <c r="B135" s="1134"/>
      <c r="C135" s="1139" t="s">
        <v>516</v>
      </c>
      <c r="D135" s="1134" t="s">
        <v>1032</v>
      </c>
      <c r="E135" s="1134" t="s">
        <v>507</v>
      </c>
      <c r="F135" s="1134">
        <v>11</v>
      </c>
      <c r="G135" s="1112">
        <v>5875</v>
      </c>
      <c r="H135" s="435">
        <v>0.1</v>
      </c>
      <c r="I135" s="1134"/>
      <c r="J135" s="1134"/>
      <c r="K135" s="1134"/>
      <c r="L135" s="1134"/>
      <c r="M135" s="1134"/>
      <c r="N135" s="1112">
        <f>G135+H136+I136+L136</f>
        <v>6462.5</v>
      </c>
      <c r="O135" s="1112">
        <v>1</v>
      </c>
      <c r="P135" s="1134"/>
      <c r="Q135" s="1134"/>
      <c r="R135" s="1134"/>
      <c r="S135" s="1134"/>
      <c r="T135" s="1134">
        <v>6</v>
      </c>
      <c r="U135" s="1138">
        <v>0.1</v>
      </c>
      <c r="V135" s="1112">
        <f>N135*U135</f>
        <v>646.25</v>
      </c>
      <c r="W135" s="1112"/>
      <c r="X135" s="1112">
        <f>N135+V135+W135</f>
        <v>7108.75</v>
      </c>
      <c r="Y135" s="1112">
        <f>AB135</f>
        <v>12891.25</v>
      </c>
      <c r="Z135" s="1112">
        <f>X135+Y135</f>
        <v>20000</v>
      </c>
      <c r="AA135" s="1109">
        <f>20000*O135</f>
        <v>20000</v>
      </c>
      <c r="AB135" s="1109">
        <f>AA135-X135</f>
        <v>12891.25</v>
      </c>
      <c r="AC135" s="1112">
        <f>6700*O135</f>
        <v>6700</v>
      </c>
      <c r="AD135" s="1112">
        <f>X135-AC135</f>
        <v>408.75</v>
      </c>
      <c r="AE135" s="436">
        <f>G135*O135</f>
        <v>5875</v>
      </c>
      <c r="AF135" s="436">
        <f>G135*P135</f>
        <v>0</v>
      </c>
      <c r="AG135" s="436">
        <f>N135*O135</f>
        <v>6462.5</v>
      </c>
      <c r="AH135" s="436">
        <f>N135*P135</f>
        <v>0</v>
      </c>
      <c r="AI135" s="436">
        <f>AG135-AE135</f>
        <v>587.5</v>
      </c>
      <c r="AJ135" s="436">
        <f>AH135-AF135</f>
        <v>0</v>
      </c>
      <c r="AK135" s="437">
        <f>V135*O135</f>
        <v>646.25</v>
      </c>
      <c r="AL135" s="437">
        <f>V135*P135</f>
        <v>0</v>
      </c>
      <c r="AM135" s="437">
        <f>W135</f>
        <v>0</v>
      </c>
      <c r="AN135" s="437">
        <f>S135*O135</f>
        <v>0</v>
      </c>
      <c r="AO135" s="437">
        <f>S135*P135</f>
        <v>0</v>
      </c>
      <c r="AP135" s="437">
        <f>AG135</f>
        <v>6462.5</v>
      </c>
      <c r="AQ135" s="437">
        <f>AH135</f>
        <v>0</v>
      </c>
      <c r="AR135" s="436"/>
      <c r="AS135" s="437">
        <f>AP135+AQ135-AR135</f>
        <v>6462.5</v>
      </c>
    </row>
    <row r="136" spans="1:45" s="438" customFormat="1" ht="24.95" customHeight="1">
      <c r="A136" s="1134"/>
      <c r="B136" s="1134"/>
      <c r="C136" s="1139"/>
      <c r="D136" s="1134"/>
      <c r="E136" s="1134"/>
      <c r="F136" s="1134"/>
      <c r="G136" s="1112"/>
      <c r="H136" s="439">
        <f>G135*H135</f>
        <v>587.5</v>
      </c>
      <c r="I136" s="1134"/>
      <c r="J136" s="1134"/>
      <c r="K136" s="1134"/>
      <c r="L136" s="1134"/>
      <c r="M136" s="1134"/>
      <c r="N136" s="1112"/>
      <c r="O136" s="1165"/>
      <c r="P136" s="1134"/>
      <c r="Q136" s="1134"/>
      <c r="R136" s="1134"/>
      <c r="S136" s="1134"/>
      <c r="T136" s="1134"/>
      <c r="U136" s="1138"/>
      <c r="V136" s="1112"/>
      <c r="W136" s="1112"/>
      <c r="X136" s="1112"/>
      <c r="Y136" s="1112"/>
      <c r="Z136" s="1112"/>
      <c r="AA136" s="1109"/>
      <c r="AB136" s="1109"/>
      <c r="AC136" s="1112"/>
      <c r="AD136" s="1112"/>
      <c r="AE136" s="436">
        <f>G136*O136</f>
        <v>0</v>
      </c>
      <c r="AF136" s="436">
        <f>G136*P136</f>
        <v>0</v>
      </c>
      <c r="AG136" s="436">
        <f>N136*O136</f>
        <v>0</v>
      </c>
      <c r="AH136" s="436">
        <f>N136*P136</f>
        <v>0</v>
      </c>
      <c r="AI136" s="436">
        <f>AG136-AE136</f>
        <v>0</v>
      </c>
      <c r="AJ136" s="436">
        <f>AH136-AF136</f>
        <v>0</v>
      </c>
      <c r="AK136" s="437">
        <f>V136*O136</f>
        <v>0</v>
      </c>
      <c r="AL136" s="437">
        <f>V136*P136</f>
        <v>0</v>
      </c>
      <c r="AM136" s="437">
        <f>W136</f>
        <v>0</v>
      </c>
      <c r="AN136" s="437">
        <f>S136*O136</f>
        <v>0</v>
      </c>
      <c r="AO136" s="437">
        <f>S136*P136</f>
        <v>0</v>
      </c>
      <c r="AP136" s="437">
        <f>AG136</f>
        <v>0</v>
      </c>
      <c r="AQ136" s="437">
        <f>AH136</f>
        <v>0</v>
      </c>
      <c r="AR136" s="436"/>
      <c r="AS136" s="437">
        <f>AP136+AQ136-AR136</f>
        <v>0</v>
      </c>
    </row>
    <row r="137" spans="1:45" s="438" customFormat="1" ht="24.95" customHeight="1">
      <c r="A137" s="1134"/>
      <c r="B137" s="1134"/>
      <c r="C137" s="1139" t="s">
        <v>506</v>
      </c>
      <c r="D137" s="1134" t="s">
        <v>1033</v>
      </c>
      <c r="E137" s="1134" t="s">
        <v>554</v>
      </c>
      <c r="F137" s="1134">
        <v>10</v>
      </c>
      <c r="G137" s="1112">
        <v>5427</v>
      </c>
      <c r="H137" s="1134"/>
      <c r="I137" s="1134"/>
      <c r="J137" s="1134"/>
      <c r="K137" s="1134"/>
      <c r="L137" s="1134"/>
      <c r="M137" s="1134"/>
      <c r="N137" s="1112">
        <f>G137+H138+I138+L138</f>
        <v>5427</v>
      </c>
      <c r="O137" s="1112">
        <v>1</v>
      </c>
      <c r="P137" s="1134"/>
      <c r="Q137" s="1134"/>
      <c r="R137" s="1134"/>
      <c r="S137" s="1134"/>
      <c r="T137" s="1134">
        <v>2</v>
      </c>
      <c r="U137" s="1138">
        <v>0</v>
      </c>
      <c r="V137" s="1112">
        <f>N137*U137</f>
        <v>0</v>
      </c>
      <c r="W137" s="1112">
        <v>1273</v>
      </c>
      <c r="X137" s="1112">
        <f>N137+V137+W137</f>
        <v>6700</v>
      </c>
      <c r="Y137" s="1112">
        <f>AB137</f>
        <v>13300</v>
      </c>
      <c r="Z137" s="1112">
        <f>X137+Y137</f>
        <v>20000</v>
      </c>
      <c r="AA137" s="1109">
        <f>20000*O137</f>
        <v>20000</v>
      </c>
      <c r="AB137" s="1109">
        <f>AA137-X137</f>
        <v>13300</v>
      </c>
      <c r="AC137" s="1112">
        <f>6700*O137</f>
        <v>6700</v>
      </c>
      <c r="AD137" s="1112">
        <f>X137-AC137</f>
        <v>0</v>
      </c>
      <c r="AE137" s="436">
        <f t="shared" si="25"/>
        <v>5427</v>
      </c>
      <c r="AF137" s="436">
        <f t="shared" si="26"/>
        <v>0</v>
      </c>
      <c r="AG137" s="436">
        <f t="shared" si="27"/>
        <v>5427</v>
      </c>
      <c r="AH137" s="436">
        <f t="shared" si="28"/>
        <v>0</v>
      </c>
      <c r="AI137" s="436">
        <f t="shared" si="29"/>
        <v>0</v>
      </c>
      <c r="AJ137" s="436">
        <f t="shared" si="29"/>
        <v>0</v>
      </c>
      <c r="AK137" s="437">
        <f t="shared" si="30"/>
        <v>0</v>
      </c>
      <c r="AL137" s="437">
        <f t="shared" si="31"/>
        <v>0</v>
      </c>
      <c r="AM137" s="437">
        <f t="shared" si="32"/>
        <v>1273</v>
      </c>
      <c r="AN137" s="437">
        <f t="shared" si="48"/>
        <v>0</v>
      </c>
      <c r="AO137" s="437">
        <f t="shared" si="49"/>
        <v>0</v>
      </c>
      <c r="AP137" s="437">
        <f t="shared" si="35"/>
        <v>5427</v>
      </c>
      <c r="AQ137" s="437">
        <f t="shared" si="35"/>
        <v>0</v>
      </c>
      <c r="AR137" s="436"/>
      <c r="AS137" s="437">
        <f t="shared" si="36"/>
        <v>5427</v>
      </c>
    </row>
    <row r="138" spans="1:45" s="438" customFormat="1" ht="24.95" customHeight="1">
      <c r="A138" s="1134"/>
      <c r="B138" s="1134"/>
      <c r="C138" s="1139"/>
      <c r="D138" s="1134"/>
      <c r="E138" s="1134"/>
      <c r="F138" s="1134"/>
      <c r="G138" s="1112"/>
      <c r="H138" s="1134"/>
      <c r="I138" s="1134"/>
      <c r="J138" s="1134"/>
      <c r="K138" s="1134"/>
      <c r="L138" s="1134"/>
      <c r="M138" s="1134"/>
      <c r="N138" s="1112"/>
      <c r="O138" s="1165"/>
      <c r="P138" s="1134"/>
      <c r="Q138" s="1134"/>
      <c r="R138" s="1134"/>
      <c r="S138" s="1134"/>
      <c r="T138" s="1134"/>
      <c r="U138" s="1138"/>
      <c r="V138" s="1112"/>
      <c r="W138" s="1112"/>
      <c r="X138" s="1112"/>
      <c r="Y138" s="1112"/>
      <c r="Z138" s="1112"/>
      <c r="AA138" s="1109"/>
      <c r="AB138" s="1109"/>
      <c r="AC138" s="1112"/>
      <c r="AD138" s="1112"/>
      <c r="AE138" s="436">
        <f t="shared" si="25"/>
        <v>0</v>
      </c>
      <c r="AF138" s="436">
        <f t="shared" si="26"/>
        <v>0</v>
      </c>
      <c r="AG138" s="436">
        <f t="shared" si="27"/>
        <v>0</v>
      </c>
      <c r="AH138" s="436">
        <f t="shared" si="28"/>
        <v>0</v>
      </c>
      <c r="AI138" s="436">
        <f t="shared" si="29"/>
        <v>0</v>
      </c>
      <c r="AJ138" s="436">
        <f t="shared" si="29"/>
        <v>0</v>
      </c>
      <c r="AK138" s="437">
        <f t="shared" si="30"/>
        <v>0</v>
      </c>
      <c r="AL138" s="437">
        <f t="shared" si="31"/>
        <v>0</v>
      </c>
      <c r="AM138" s="437">
        <f t="shared" si="32"/>
        <v>0</v>
      </c>
      <c r="AN138" s="437">
        <f t="shared" si="48"/>
        <v>0</v>
      </c>
      <c r="AO138" s="437">
        <f t="shared" si="49"/>
        <v>0</v>
      </c>
      <c r="AP138" s="437">
        <f t="shared" si="35"/>
        <v>0</v>
      </c>
      <c r="AQ138" s="437">
        <f t="shared" si="35"/>
        <v>0</v>
      </c>
      <c r="AR138" s="436"/>
      <c r="AS138" s="437">
        <f t="shared" si="36"/>
        <v>0</v>
      </c>
    </row>
    <row r="139" spans="1:45" s="446" customFormat="1" ht="24.95" customHeight="1">
      <c r="A139" s="441"/>
      <c r="B139" s="441"/>
      <c r="C139" s="442" t="s">
        <v>318</v>
      </c>
      <c r="D139" s="443"/>
      <c r="E139" s="441"/>
      <c r="F139" s="441"/>
      <c r="G139" s="444">
        <f>SUM(G135:G138)</f>
        <v>11302</v>
      </c>
      <c r="H139" s="444">
        <f>SUM(H135:H138)</f>
        <v>587.6</v>
      </c>
      <c r="I139" s="441"/>
      <c r="J139" s="441"/>
      <c r="K139" s="441"/>
      <c r="L139" s="441"/>
      <c r="M139" s="441"/>
      <c r="N139" s="444">
        <f>SUM(N135:N138)</f>
        <v>11889.5</v>
      </c>
      <c r="O139" s="444">
        <f>SUM(O135:O138)</f>
        <v>2</v>
      </c>
      <c r="P139" s="444">
        <f>SUM(P135:P138)</f>
        <v>0</v>
      </c>
      <c r="Q139" s="444"/>
      <c r="R139" s="444"/>
      <c r="S139" s="444"/>
      <c r="T139" s="444"/>
      <c r="U139" s="444"/>
      <c r="V139" s="444">
        <f t="shared" ref="V139:AD139" si="51">SUM(V135:V138)</f>
        <v>646.25</v>
      </c>
      <c r="W139" s="444">
        <f t="shared" si="51"/>
        <v>1273</v>
      </c>
      <c r="X139" s="444">
        <f t="shared" si="51"/>
        <v>13808.75</v>
      </c>
      <c r="Y139" s="444">
        <f t="shared" si="51"/>
        <v>26191.25</v>
      </c>
      <c r="Z139" s="444">
        <f t="shared" si="51"/>
        <v>40000</v>
      </c>
      <c r="AA139" s="499">
        <f t="shared" si="51"/>
        <v>40000</v>
      </c>
      <c r="AB139" s="499">
        <f t="shared" si="51"/>
        <v>26191.25</v>
      </c>
      <c r="AC139" s="444">
        <f t="shared" si="51"/>
        <v>13400</v>
      </c>
      <c r="AD139" s="444">
        <f t="shared" si="51"/>
        <v>408.75</v>
      </c>
      <c r="AE139" s="436"/>
      <c r="AF139" s="436"/>
      <c r="AG139" s="436"/>
      <c r="AH139" s="436"/>
      <c r="AI139" s="436"/>
      <c r="AJ139" s="436"/>
      <c r="AK139" s="437"/>
      <c r="AL139" s="437"/>
      <c r="AM139" s="437"/>
      <c r="AN139" s="437"/>
      <c r="AO139" s="437"/>
      <c r="AP139" s="437">
        <f t="shared" si="35"/>
        <v>0</v>
      </c>
      <c r="AQ139" s="437">
        <f t="shared" si="35"/>
        <v>0</v>
      </c>
      <c r="AR139" s="436"/>
      <c r="AS139" s="437">
        <f t="shared" si="36"/>
        <v>0</v>
      </c>
    </row>
    <row r="140" spans="1:45" s="446" customFormat="1" ht="24.95" customHeight="1">
      <c r="A140" s="441"/>
      <c r="B140" s="441"/>
      <c r="C140" s="1136" t="s">
        <v>1034</v>
      </c>
      <c r="D140" s="1136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  <c r="O140" s="441"/>
      <c r="P140" s="441"/>
      <c r="Q140" s="441"/>
      <c r="R140" s="441"/>
      <c r="S140" s="441"/>
      <c r="T140" s="441"/>
      <c r="U140" s="441"/>
      <c r="V140" s="441"/>
      <c r="W140" s="441"/>
      <c r="X140" s="441"/>
      <c r="Y140" s="441"/>
      <c r="Z140" s="441"/>
      <c r="AA140" s="503"/>
      <c r="AB140" s="503"/>
      <c r="AC140" s="441"/>
      <c r="AD140" s="441"/>
      <c r="AE140" s="436">
        <f t="shared" si="25"/>
        <v>0</v>
      </c>
      <c r="AF140" s="436">
        <f t="shared" si="26"/>
        <v>0</v>
      </c>
      <c r="AG140" s="436">
        <f t="shared" si="27"/>
        <v>0</v>
      </c>
      <c r="AH140" s="436">
        <f t="shared" si="28"/>
        <v>0</v>
      </c>
      <c r="AI140" s="436">
        <f t="shared" si="29"/>
        <v>0</v>
      </c>
      <c r="AJ140" s="436">
        <f t="shared" si="29"/>
        <v>0</v>
      </c>
      <c r="AK140" s="437">
        <f t="shared" si="30"/>
        <v>0</v>
      </c>
      <c r="AL140" s="437">
        <f t="shared" si="31"/>
        <v>0</v>
      </c>
      <c r="AM140" s="437">
        <f t="shared" si="32"/>
        <v>0</v>
      </c>
      <c r="AN140" s="437">
        <f t="shared" si="48"/>
        <v>0</v>
      </c>
      <c r="AO140" s="437">
        <f t="shared" si="49"/>
        <v>0</v>
      </c>
      <c r="AP140" s="437">
        <f t="shared" si="35"/>
        <v>0</v>
      </c>
      <c r="AQ140" s="437">
        <f t="shared" si="35"/>
        <v>0</v>
      </c>
      <c r="AR140" s="436"/>
      <c r="AS140" s="437">
        <f t="shared" si="36"/>
        <v>0</v>
      </c>
    </row>
    <row r="141" spans="1:45" s="438" customFormat="1" ht="24.95" customHeight="1">
      <c r="A141" s="1134"/>
      <c r="B141" s="1134"/>
      <c r="C141" s="1139" t="s">
        <v>517</v>
      </c>
      <c r="D141" s="1134" t="s">
        <v>315</v>
      </c>
      <c r="E141" s="1134" t="s">
        <v>316</v>
      </c>
      <c r="F141" s="1134">
        <v>14</v>
      </c>
      <c r="G141" s="1112">
        <v>7216</v>
      </c>
      <c r="H141" s="435">
        <v>0.25</v>
      </c>
      <c r="I141" s="435">
        <v>0.4</v>
      </c>
      <c r="J141" s="1134"/>
      <c r="K141" s="1134"/>
      <c r="L141" s="1134"/>
      <c r="M141" s="1134"/>
      <c r="N141" s="1112">
        <f>G141+H142+I142+L142</f>
        <v>12628</v>
      </c>
      <c r="O141" s="1112">
        <v>1</v>
      </c>
      <c r="P141" s="1112"/>
      <c r="Q141" s="1134"/>
      <c r="R141" s="1134"/>
      <c r="S141" s="1134"/>
      <c r="T141" s="1134">
        <v>30</v>
      </c>
      <c r="U141" s="1138">
        <v>0.3</v>
      </c>
      <c r="V141" s="1112">
        <f>N141*U141</f>
        <v>3788.3999999999996</v>
      </c>
      <c r="W141" s="1112"/>
      <c r="X141" s="1112">
        <f>N141+V141</f>
        <v>16416.400000000001</v>
      </c>
      <c r="Y141" s="1112">
        <f>AB141</f>
        <v>3583.5999999999985</v>
      </c>
      <c r="Z141" s="1112">
        <f>X141+Y141</f>
        <v>20000</v>
      </c>
      <c r="AA141" s="1109">
        <f>20000*O141</f>
        <v>20000</v>
      </c>
      <c r="AB141" s="1109">
        <f>AA141-X141</f>
        <v>3583.5999999999985</v>
      </c>
      <c r="AC141" s="1112">
        <f>6700*O141</f>
        <v>6700</v>
      </c>
      <c r="AD141" s="1112">
        <f>X141-AC141</f>
        <v>9716.4000000000015</v>
      </c>
      <c r="AE141" s="436">
        <f t="shared" si="25"/>
        <v>7216</v>
      </c>
      <c r="AF141" s="436">
        <f t="shared" si="26"/>
        <v>0</v>
      </c>
      <c r="AG141" s="436">
        <f t="shared" si="27"/>
        <v>12628</v>
      </c>
      <c r="AH141" s="436">
        <f t="shared" si="28"/>
        <v>0</v>
      </c>
      <c r="AI141" s="436">
        <f t="shared" si="29"/>
        <v>5412</v>
      </c>
      <c r="AJ141" s="436">
        <f t="shared" si="29"/>
        <v>0</v>
      </c>
      <c r="AK141" s="437">
        <f t="shared" si="30"/>
        <v>3788.3999999999996</v>
      </c>
      <c r="AL141" s="437">
        <f t="shared" si="31"/>
        <v>0</v>
      </c>
      <c r="AM141" s="437">
        <f t="shared" si="32"/>
        <v>0</v>
      </c>
      <c r="AN141" s="437">
        <f t="shared" si="48"/>
        <v>0</v>
      </c>
      <c r="AO141" s="437">
        <f t="shared" si="49"/>
        <v>0</v>
      </c>
      <c r="AP141" s="437">
        <f t="shared" si="35"/>
        <v>12628</v>
      </c>
      <c r="AQ141" s="437">
        <f t="shared" si="35"/>
        <v>0</v>
      </c>
      <c r="AR141" s="436"/>
      <c r="AS141" s="437">
        <f t="shared" si="36"/>
        <v>12628</v>
      </c>
    </row>
    <row r="142" spans="1:45" s="438" customFormat="1" ht="24.95" customHeight="1">
      <c r="A142" s="1134"/>
      <c r="B142" s="1134"/>
      <c r="C142" s="1139"/>
      <c r="D142" s="1134"/>
      <c r="E142" s="1134"/>
      <c r="F142" s="1134"/>
      <c r="G142" s="1112"/>
      <c r="H142" s="449">
        <f>G141*H141</f>
        <v>1804</v>
      </c>
      <c r="I142" s="450">
        <f>(G141+H142)*I141</f>
        <v>3608</v>
      </c>
      <c r="J142" s="1134"/>
      <c r="K142" s="1134"/>
      <c r="L142" s="1134"/>
      <c r="M142" s="1134"/>
      <c r="N142" s="1112"/>
      <c r="O142" s="1112"/>
      <c r="P142" s="1112"/>
      <c r="Q142" s="1134"/>
      <c r="R142" s="1134"/>
      <c r="S142" s="1134"/>
      <c r="T142" s="1134"/>
      <c r="U142" s="1138"/>
      <c r="V142" s="1112"/>
      <c r="W142" s="1112"/>
      <c r="X142" s="1112"/>
      <c r="Y142" s="1112"/>
      <c r="Z142" s="1112"/>
      <c r="AA142" s="1109"/>
      <c r="AB142" s="1109"/>
      <c r="AC142" s="1112"/>
      <c r="AD142" s="1112"/>
      <c r="AE142" s="436">
        <f t="shared" ref="AE142:AE185" si="52">G142*O142</f>
        <v>0</v>
      </c>
      <c r="AF142" s="436">
        <f t="shared" ref="AF142:AF185" si="53">G142*P142</f>
        <v>0</v>
      </c>
      <c r="AG142" s="436">
        <f t="shared" ref="AG142:AG185" si="54">N142*O142</f>
        <v>0</v>
      </c>
      <c r="AH142" s="436">
        <f t="shared" ref="AH142:AH185" si="55">N142*P142</f>
        <v>0</v>
      </c>
      <c r="AI142" s="436">
        <f t="shared" ref="AI142:AJ185" si="56">AG142-AE142</f>
        <v>0</v>
      </c>
      <c r="AJ142" s="436">
        <f t="shared" si="56"/>
        <v>0</v>
      </c>
      <c r="AK142" s="437">
        <f t="shared" ref="AK142:AK185" si="57">V142*O142</f>
        <v>0</v>
      </c>
      <c r="AL142" s="437">
        <f t="shared" ref="AL142:AL185" si="58">V142*P142</f>
        <v>0</v>
      </c>
      <c r="AM142" s="437">
        <f t="shared" ref="AM142:AM185" si="59">W142</f>
        <v>0</v>
      </c>
      <c r="AN142" s="437">
        <f t="shared" si="48"/>
        <v>0</v>
      </c>
      <c r="AO142" s="437">
        <f t="shared" si="49"/>
        <v>0</v>
      </c>
      <c r="AP142" s="437">
        <f t="shared" si="35"/>
        <v>0</v>
      </c>
      <c r="AQ142" s="437">
        <f t="shared" si="35"/>
        <v>0</v>
      </c>
      <c r="AR142" s="436"/>
      <c r="AS142" s="437">
        <f t="shared" si="36"/>
        <v>0</v>
      </c>
    </row>
    <row r="143" spans="1:45" s="438" customFormat="1" ht="24.95" customHeight="1">
      <c r="A143" s="1134"/>
      <c r="B143" s="1134"/>
      <c r="C143" s="1139" t="s">
        <v>518</v>
      </c>
      <c r="D143" s="1134" t="s">
        <v>1035</v>
      </c>
      <c r="E143" s="1134" t="s">
        <v>519</v>
      </c>
      <c r="F143" s="1134">
        <v>11</v>
      </c>
      <c r="G143" s="1112">
        <v>5875</v>
      </c>
      <c r="H143" s="1134"/>
      <c r="I143" s="435">
        <v>0.25</v>
      </c>
      <c r="J143" s="1134"/>
      <c r="K143" s="1134"/>
      <c r="L143" s="1134"/>
      <c r="M143" s="1134"/>
      <c r="N143" s="1112">
        <f>G143+H144+I144+L144</f>
        <v>7343.75</v>
      </c>
      <c r="O143" s="1112">
        <f>0.25+0.5+0.25</f>
        <v>1</v>
      </c>
      <c r="P143" s="1112"/>
      <c r="Q143" s="1134"/>
      <c r="R143" s="1134"/>
      <c r="S143" s="1134"/>
      <c r="T143" s="1134">
        <v>1</v>
      </c>
      <c r="U143" s="1138">
        <v>0</v>
      </c>
      <c r="V143" s="1112">
        <f>N143*U143</f>
        <v>0</v>
      </c>
      <c r="W143" s="1112"/>
      <c r="X143" s="1112">
        <f>(N143+V143)*O143</f>
        <v>7343.75</v>
      </c>
      <c r="Y143" s="1112">
        <f>AB143</f>
        <v>12656.25</v>
      </c>
      <c r="Z143" s="1112">
        <f>X143+Y143</f>
        <v>20000</v>
      </c>
      <c r="AA143" s="1109">
        <f>20000*O143</f>
        <v>20000</v>
      </c>
      <c r="AB143" s="1109">
        <f>AA143-X143</f>
        <v>12656.25</v>
      </c>
      <c r="AC143" s="1112">
        <f>6700*O143</f>
        <v>6700</v>
      </c>
      <c r="AD143" s="1112">
        <f>X143-AC143</f>
        <v>643.75</v>
      </c>
      <c r="AE143" s="436">
        <f t="shared" si="52"/>
        <v>5875</v>
      </c>
      <c r="AF143" s="436">
        <f t="shared" si="53"/>
        <v>0</v>
      </c>
      <c r="AG143" s="436">
        <f t="shared" si="54"/>
        <v>7343.75</v>
      </c>
      <c r="AH143" s="436">
        <f t="shared" si="55"/>
        <v>0</v>
      </c>
      <c r="AI143" s="436">
        <f t="shared" si="56"/>
        <v>1468.75</v>
      </c>
      <c r="AJ143" s="436">
        <f t="shared" si="56"/>
        <v>0</v>
      </c>
      <c r="AK143" s="437">
        <f t="shared" si="57"/>
        <v>0</v>
      </c>
      <c r="AL143" s="437">
        <f t="shared" si="58"/>
        <v>0</v>
      </c>
      <c r="AM143" s="437">
        <f t="shared" si="59"/>
        <v>0</v>
      </c>
      <c r="AN143" s="437">
        <f t="shared" si="48"/>
        <v>0</v>
      </c>
      <c r="AO143" s="437">
        <f t="shared" si="49"/>
        <v>0</v>
      </c>
      <c r="AP143" s="437">
        <f t="shared" si="35"/>
        <v>7343.75</v>
      </c>
      <c r="AQ143" s="437">
        <f t="shared" si="35"/>
        <v>0</v>
      </c>
      <c r="AR143" s="436"/>
      <c r="AS143" s="437">
        <f t="shared" si="36"/>
        <v>7343.75</v>
      </c>
    </row>
    <row r="144" spans="1:45" s="438" customFormat="1" ht="24.95" customHeight="1">
      <c r="A144" s="1134"/>
      <c r="B144" s="1134"/>
      <c r="C144" s="1139"/>
      <c r="D144" s="1134"/>
      <c r="E144" s="1134"/>
      <c r="F144" s="1134"/>
      <c r="G144" s="1112"/>
      <c r="H144" s="1134"/>
      <c r="I144" s="450">
        <f>G143*I143</f>
        <v>1468.75</v>
      </c>
      <c r="J144" s="1134"/>
      <c r="K144" s="1134"/>
      <c r="L144" s="1134"/>
      <c r="M144" s="1134"/>
      <c r="N144" s="1112"/>
      <c r="O144" s="1112"/>
      <c r="P144" s="1112"/>
      <c r="Q144" s="1134"/>
      <c r="R144" s="1134"/>
      <c r="S144" s="1134"/>
      <c r="T144" s="1134"/>
      <c r="U144" s="1138"/>
      <c r="V144" s="1112"/>
      <c r="W144" s="1112"/>
      <c r="X144" s="1112"/>
      <c r="Y144" s="1112"/>
      <c r="Z144" s="1112"/>
      <c r="AA144" s="1109"/>
      <c r="AB144" s="1109"/>
      <c r="AC144" s="1112"/>
      <c r="AD144" s="1112"/>
      <c r="AE144" s="436">
        <f t="shared" si="52"/>
        <v>0</v>
      </c>
      <c r="AF144" s="436">
        <f t="shared" si="53"/>
        <v>0</v>
      </c>
      <c r="AG144" s="436">
        <f t="shared" si="54"/>
        <v>0</v>
      </c>
      <c r="AH144" s="436">
        <f t="shared" si="55"/>
        <v>0</v>
      </c>
      <c r="AI144" s="436">
        <f t="shared" si="56"/>
        <v>0</v>
      </c>
      <c r="AJ144" s="436">
        <f t="shared" si="56"/>
        <v>0</v>
      </c>
      <c r="AK144" s="437">
        <f t="shared" si="57"/>
        <v>0</v>
      </c>
      <c r="AL144" s="437">
        <f t="shared" si="58"/>
        <v>0</v>
      </c>
      <c r="AM144" s="437">
        <f t="shared" si="59"/>
        <v>0</v>
      </c>
      <c r="AN144" s="437">
        <f t="shared" si="48"/>
        <v>0</v>
      </c>
      <c r="AO144" s="437">
        <f t="shared" si="49"/>
        <v>0</v>
      </c>
      <c r="AP144" s="437">
        <f t="shared" si="35"/>
        <v>0</v>
      </c>
      <c r="AQ144" s="437">
        <f t="shared" si="35"/>
        <v>0</v>
      </c>
      <c r="AR144" s="436"/>
      <c r="AS144" s="437">
        <f t="shared" si="36"/>
        <v>0</v>
      </c>
    </row>
    <row r="145" spans="1:45" s="438" customFormat="1" ht="24.95" customHeight="1">
      <c r="A145" s="1134"/>
      <c r="B145" s="1134"/>
      <c r="C145" s="1139" t="s">
        <v>518</v>
      </c>
      <c r="D145" s="1134" t="s">
        <v>520</v>
      </c>
      <c r="E145" s="1134" t="s">
        <v>521</v>
      </c>
      <c r="F145" s="1134">
        <v>13</v>
      </c>
      <c r="G145" s="1112">
        <v>6769</v>
      </c>
      <c r="H145" s="1134"/>
      <c r="I145" s="435">
        <v>0.25</v>
      </c>
      <c r="J145" s="1134"/>
      <c r="K145" s="1134"/>
      <c r="L145" s="1112"/>
      <c r="M145" s="1112"/>
      <c r="N145" s="1112">
        <f>G145+H146+I146+L146</f>
        <v>8461.25</v>
      </c>
      <c r="O145" s="1112">
        <v>0.5</v>
      </c>
      <c r="P145" s="1112"/>
      <c r="Q145" s="1112"/>
      <c r="R145" s="1112"/>
      <c r="S145" s="1112"/>
      <c r="T145" s="1134">
        <v>25</v>
      </c>
      <c r="U145" s="1138">
        <v>0.3</v>
      </c>
      <c r="V145" s="1112">
        <f>N145*U145</f>
        <v>2538.375</v>
      </c>
      <c r="W145" s="1112"/>
      <c r="X145" s="1112">
        <f>(N145+V145)*O145</f>
        <v>5499.8125</v>
      </c>
      <c r="Y145" s="1112">
        <f>AB145</f>
        <v>4500.1875</v>
      </c>
      <c r="Z145" s="1112">
        <f>X145+Y145</f>
        <v>10000</v>
      </c>
      <c r="AA145" s="1109">
        <f>20000*O145</f>
        <v>10000</v>
      </c>
      <c r="AB145" s="1109">
        <f>AA145-X145</f>
        <v>4500.1875</v>
      </c>
      <c r="AC145" s="1112">
        <f>6700*O145</f>
        <v>3350</v>
      </c>
      <c r="AD145" s="1112">
        <f>X145-AC145</f>
        <v>2149.8125</v>
      </c>
      <c r="AE145" s="436">
        <f t="shared" si="52"/>
        <v>3384.5</v>
      </c>
      <c r="AF145" s="436">
        <f t="shared" si="53"/>
        <v>0</v>
      </c>
      <c r="AG145" s="436">
        <f t="shared" si="54"/>
        <v>4230.625</v>
      </c>
      <c r="AH145" s="436">
        <f t="shared" si="55"/>
        <v>0</v>
      </c>
      <c r="AI145" s="436">
        <f t="shared" si="56"/>
        <v>846.125</v>
      </c>
      <c r="AJ145" s="436">
        <f t="shared" si="56"/>
        <v>0</v>
      </c>
      <c r="AK145" s="437">
        <f t="shared" si="57"/>
        <v>1269.1875</v>
      </c>
      <c r="AL145" s="437">
        <f t="shared" si="58"/>
        <v>0</v>
      </c>
      <c r="AM145" s="437">
        <f t="shared" si="59"/>
        <v>0</v>
      </c>
      <c r="AN145" s="437">
        <f t="shared" si="48"/>
        <v>0</v>
      </c>
      <c r="AO145" s="437">
        <f t="shared" si="49"/>
        <v>0</v>
      </c>
      <c r="AP145" s="437">
        <f t="shared" si="35"/>
        <v>4230.625</v>
      </c>
      <c r="AQ145" s="437">
        <f t="shared" si="35"/>
        <v>0</v>
      </c>
      <c r="AR145" s="436"/>
      <c r="AS145" s="437">
        <f t="shared" si="36"/>
        <v>4230.625</v>
      </c>
    </row>
    <row r="146" spans="1:45" s="438" customFormat="1" ht="24.95" customHeight="1">
      <c r="A146" s="1134"/>
      <c r="B146" s="1134"/>
      <c r="C146" s="1139"/>
      <c r="D146" s="1134"/>
      <c r="E146" s="1134"/>
      <c r="F146" s="1134"/>
      <c r="G146" s="1112"/>
      <c r="H146" s="1134"/>
      <c r="I146" s="449">
        <f>G145*I145</f>
        <v>1692.25</v>
      </c>
      <c r="J146" s="1134"/>
      <c r="K146" s="1134"/>
      <c r="L146" s="1112"/>
      <c r="M146" s="1112"/>
      <c r="N146" s="1112"/>
      <c r="O146" s="1112"/>
      <c r="P146" s="1112"/>
      <c r="Q146" s="1112"/>
      <c r="R146" s="1112"/>
      <c r="S146" s="1112"/>
      <c r="T146" s="1134"/>
      <c r="U146" s="1138"/>
      <c r="V146" s="1112"/>
      <c r="W146" s="1112"/>
      <c r="X146" s="1112"/>
      <c r="Y146" s="1112"/>
      <c r="Z146" s="1112"/>
      <c r="AA146" s="1109"/>
      <c r="AB146" s="1109"/>
      <c r="AC146" s="1112"/>
      <c r="AD146" s="1112"/>
      <c r="AE146" s="436">
        <f t="shared" si="52"/>
        <v>0</v>
      </c>
      <c r="AF146" s="436">
        <f t="shared" si="53"/>
        <v>0</v>
      </c>
      <c r="AG146" s="436">
        <f t="shared" si="54"/>
        <v>0</v>
      </c>
      <c r="AH146" s="436">
        <f t="shared" si="55"/>
        <v>0</v>
      </c>
      <c r="AI146" s="436">
        <f t="shared" si="56"/>
        <v>0</v>
      </c>
      <c r="AJ146" s="436">
        <f t="shared" si="56"/>
        <v>0</v>
      </c>
      <c r="AK146" s="437">
        <f t="shared" si="57"/>
        <v>0</v>
      </c>
      <c r="AL146" s="437">
        <f t="shared" si="58"/>
        <v>0</v>
      </c>
      <c r="AM146" s="437">
        <f t="shared" si="59"/>
        <v>0</v>
      </c>
      <c r="AN146" s="437">
        <f t="shared" si="48"/>
        <v>0</v>
      </c>
      <c r="AO146" s="437">
        <f t="shared" si="49"/>
        <v>0</v>
      </c>
      <c r="AP146" s="437">
        <f t="shared" si="35"/>
        <v>0</v>
      </c>
      <c r="AQ146" s="437">
        <f t="shared" si="35"/>
        <v>0</v>
      </c>
      <c r="AR146" s="436"/>
      <c r="AS146" s="437">
        <f t="shared" si="36"/>
        <v>0</v>
      </c>
    </row>
    <row r="147" spans="1:45" s="438" customFormat="1" ht="24.95" customHeight="1">
      <c r="A147" s="1134"/>
      <c r="B147" s="1134"/>
      <c r="C147" s="1139" t="s">
        <v>522</v>
      </c>
      <c r="D147" s="1134" t="s">
        <v>520</v>
      </c>
      <c r="E147" s="1134" t="s">
        <v>521</v>
      </c>
      <c r="F147" s="1134">
        <v>13</v>
      </c>
      <c r="G147" s="1112">
        <v>6769</v>
      </c>
      <c r="H147" s="1134"/>
      <c r="I147" s="435">
        <v>0.25</v>
      </c>
      <c r="J147" s="1134"/>
      <c r="K147" s="1134"/>
      <c r="L147" s="1112"/>
      <c r="M147" s="1112"/>
      <c r="N147" s="1112">
        <f>G147+H148+I148+L148</f>
        <v>8461.25</v>
      </c>
      <c r="O147" s="1112">
        <v>0.5</v>
      </c>
      <c r="P147" s="1112"/>
      <c r="Q147" s="1112"/>
      <c r="R147" s="1112"/>
      <c r="S147" s="1112"/>
      <c r="T147" s="1134">
        <v>25</v>
      </c>
      <c r="U147" s="1138">
        <v>0.3</v>
      </c>
      <c r="V147" s="1112">
        <f>N147*U147</f>
        <v>2538.375</v>
      </c>
      <c r="W147" s="1112"/>
      <c r="X147" s="1112">
        <f>(N147+V147)*O147</f>
        <v>5499.8125</v>
      </c>
      <c r="Y147" s="1112">
        <f>AB147</f>
        <v>4500.1875</v>
      </c>
      <c r="Z147" s="1112">
        <f>X147+Y147</f>
        <v>10000</v>
      </c>
      <c r="AA147" s="1109">
        <f>20000*O147</f>
        <v>10000</v>
      </c>
      <c r="AB147" s="1109">
        <f>AA147-X147</f>
        <v>4500.1875</v>
      </c>
      <c r="AC147" s="1112">
        <f>6700*O147</f>
        <v>3350</v>
      </c>
      <c r="AD147" s="1112">
        <f>X147-AC147</f>
        <v>2149.8125</v>
      </c>
      <c r="AE147" s="436">
        <f>G147*O147</f>
        <v>3384.5</v>
      </c>
      <c r="AF147" s="436">
        <f>G147*P147</f>
        <v>0</v>
      </c>
      <c r="AG147" s="436">
        <f>N147*O147</f>
        <v>4230.625</v>
      </c>
      <c r="AH147" s="436">
        <f>N147*P147</f>
        <v>0</v>
      </c>
      <c r="AI147" s="436">
        <f t="shared" si="56"/>
        <v>846.125</v>
      </c>
      <c r="AJ147" s="436">
        <f t="shared" si="56"/>
        <v>0</v>
      </c>
      <c r="AK147" s="437">
        <f>V147*O147</f>
        <v>1269.1875</v>
      </c>
      <c r="AL147" s="437">
        <f>V147*P147</f>
        <v>0</v>
      </c>
      <c r="AM147" s="437">
        <f>W147</f>
        <v>0</v>
      </c>
      <c r="AN147" s="437">
        <f>S147*O147</f>
        <v>0</v>
      </c>
      <c r="AO147" s="437">
        <f>S147*P147</f>
        <v>0</v>
      </c>
      <c r="AP147" s="437">
        <f t="shared" ref="AP147:AQ190" si="60">AG147</f>
        <v>4230.625</v>
      </c>
      <c r="AQ147" s="437">
        <f t="shared" si="60"/>
        <v>0</v>
      </c>
      <c r="AR147" s="436"/>
      <c r="AS147" s="437">
        <f t="shared" si="36"/>
        <v>4230.625</v>
      </c>
    </row>
    <row r="148" spans="1:45" s="438" customFormat="1" ht="24.95" customHeight="1">
      <c r="A148" s="1134"/>
      <c r="B148" s="1134"/>
      <c r="C148" s="1139"/>
      <c r="D148" s="1134"/>
      <c r="E148" s="1134"/>
      <c r="F148" s="1134"/>
      <c r="G148" s="1112"/>
      <c r="H148" s="1134"/>
      <c r="I148" s="449">
        <f>G147*I147</f>
        <v>1692.25</v>
      </c>
      <c r="J148" s="1134"/>
      <c r="K148" s="1134"/>
      <c r="L148" s="1112"/>
      <c r="M148" s="1112"/>
      <c r="N148" s="1112"/>
      <c r="O148" s="1112"/>
      <c r="P148" s="1112"/>
      <c r="Q148" s="1112"/>
      <c r="R148" s="1112"/>
      <c r="S148" s="1112"/>
      <c r="T148" s="1134"/>
      <c r="U148" s="1138"/>
      <c r="V148" s="1112"/>
      <c r="W148" s="1112"/>
      <c r="X148" s="1112"/>
      <c r="Y148" s="1112"/>
      <c r="Z148" s="1112"/>
      <c r="AA148" s="1109"/>
      <c r="AB148" s="1109"/>
      <c r="AC148" s="1112"/>
      <c r="AD148" s="1112"/>
      <c r="AE148" s="436">
        <f>G148*O148</f>
        <v>0</v>
      </c>
      <c r="AF148" s="436">
        <f>G148*P148</f>
        <v>0</v>
      </c>
      <c r="AG148" s="436">
        <f>N148*O148</f>
        <v>0</v>
      </c>
      <c r="AH148" s="436">
        <f>N148*P148</f>
        <v>0</v>
      </c>
      <c r="AI148" s="436">
        <f t="shared" si="56"/>
        <v>0</v>
      </c>
      <c r="AJ148" s="436">
        <f t="shared" si="56"/>
        <v>0</v>
      </c>
      <c r="AK148" s="437">
        <f>V148*O148</f>
        <v>0</v>
      </c>
      <c r="AL148" s="437">
        <f>V148*P148</f>
        <v>0</v>
      </c>
      <c r="AM148" s="437">
        <f>W148</f>
        <v>0</v>
      </c>
      <c r="AN148" s="437">
        <f>S148*O148</f>
        <v>0</v>
      </c>
      <c r="AO148" s="437">
        <f>S148*P148</f>
        <v>0</v>
      </c>
      <c r="AP148" s="437">
        <f t="shared" si="60"/>
        <v>0</v>
      </c>
      <c r="AQ148" s="437">
        <f t="shared" si="60"/>
        <v>0</v>
      </c>
      <c r="AR148" s="436"/>
      <c r="AS148" s="437">
        <f t="shared" si="36"/>
        <v>0</v>
      </c>
    </row>
    <row r="149" spans="1:45" s="438" customFormat="1" ht="24.95" customHeight="1">
      <c r="A149" s="1134"/>
      <c r="B149" s="1134"/>
      <c r="C149" s="1139" t="s">
        <v>522</v>
      </c>
      <c r="D149" s="1134" t="s">
        <v>1036</v>
      </c>
      <c r="E149" s="1134" t="s">
        <v>556</v>
      </c>
      <c r="F149" s="1134">
        <v>11</v>
      </c>
      <c r="G149" s="1112">
        <v>5875</v>
      </c>
      <c r="H149" s="1134"/>
      <c r="I149" s="435">
        <v>0.25</v>
      </c>
      <c r="J149" s="1134"/>
      <c r="K149" s="1134"/>
      <c r="L149" s="1112"/>
      <c r="M149" s="1112"/>
      <c r="N149" s="1112">
        <f>G149+H150+I150+L150</f>
        <v>7343.75</v>
      </c>
      <c r="O149" s="1112">
        <v>1</v>
      </c>
      <c r="P149" s="1112"/>
      <c r="Q149" s="1112"/>
      <c r="R149" s="1112"/>
      <c r="S149" s="1112"/>
      <c r="T149" s="1134">
        <v>3</v>
      </c>
      <c r="U149" s="1138">
        <v>0.1</v>
      </c>
      <c r="V149" s="1112">
        <f>N149*U149</f>
        <v>734.375</v>
      </c>
      <c r="W149" s="1112"/>
      <c r="X149" s="1112">
        <f>(N149+V149)*O149</f>
        <v>8078.125</v>
      </c>
      <c r="Y149" s="1112">
        <f>AB149</f>
        <v>11921.875</v>
      </c>
      <c r="Z149" s="1112">
        <f>X149+Y149</f>
        <v>20000</v>
      </c>
      <c r="AA149" s="1109">
        <f>20000*O149</f>
        <v>20000</v>
      </c>
      <c r="AB149" s="1109">
        <f>AA149-X149</f>
        <v>11921.875</v>
      </c>
      <c r="AC149" s="1112">
        <f>6700*O149</f>
        <v>6700</v>
      </c>
      <c r="AD149" s="1112">
        <f>X149-AC149</f>
        <v>1378.125</v>
      </c>
      <c r="AE149" s="436">
        <f>G149*O149</f>
        <v>5875</v>
      </c>
      <c r="AF149" s="436">
        <f>G149*P149</f>
        <v>0</v>
      </c>
      <c r="AG149" s="436">
        <f>N149*O149</f>
        <v>7343.75</v>
      </c>
      <c r="AH149" s="436">
        <f>N149*P149</f>
        <v>0</v>
      </c>
      <c r="AI149" s="436">
        <f t="shared" si="56"/>
        <v>1468.75</v>
      </c>
      <c r="AJ149" s="436">
        <f t="shared" si="56"/>
        <v>0</v>
      </c>
      <c r="AK149" s="437">
        <f>V149*O149</f>
        <v>734.375</v>
      </c>
      <c r="AL149" s="437">
        <f>V149*P149</f>
        <v>0</v>
      </c>
      <c r="AM149" s="437">
        <f>W149</f>
        <v>0</v>
      </c>
      <c r="AN149" s="437">
        <f>S149*O149</f>
        <v>0</v>
      </c>
      <c r="AO149" s="437">
        <f>S149*P149</f>
        <v>0</v>
      </c>
      <c r="AP149" s="437">
        <f t="shared" si="60"/>
        <v>7343.75</v>
      </c>
      <c r="AQ149" s="437">
        <f t="shared" si="60"/>
        <v>0</v>
      </c>
      <c r="AR149" s="436"/>
      <c r="AS149" s="437">
        <f t="shared" si="36"/>
        <v>7343.75</v>
      </c>
    </row>
    <row r="150" spans="1:45" s="438" customFormat="1" ht="24.95" customHeight="1">
      <c r="A150" s="1134"/>
      <c r="B150" s="1134"/>
      <c r="C150" s="1139"/>
      <c r="D150" s="1134"/>
      <c r="E150" s="1134"/>
      <c r="F150" s="1134"/>
      <c r="G150" s="1112"/>
      <c r="H150" s="1134"/>
      <c r="I150" s="449">
        <f>G149*I149</f>
        <v>1468.75</v>
      </c>
      <c r="J150" s="1134"/>
      <c r="K150" s="1134"/>
      <c r="L150" s="1112"/>
      <c r="M150" s="1112"/>
      <c r="N150" s="1112"/>
      <c r="O150" s="1112"/>
      <c r="P150" s="1112"/>
      <c r="Q150" s="1112"/>
      <c r="R150" s="1112"/>
      <c r="S150" s="1112"/>
      <c r="T150" s="1134"/>
      <c r="U150" s="1138"/>
      <c r="V150" s="1112"/>
      <c r="W150" s="1112"/>
      <c r="X150" s="1112"/>
      <c r="Y150" s="1112"/>
      <c r="Z150" s="1112"/>
      <c r="AA150" s="1109"/>
      <c r="AB150" s="1109"/>
      <c r="AC150" s="1112"/>
      <c r="AD150" s="1112"/>
      <c r="AE150" s="436">
        <f>G150*O150</f>
        <v>0</v>
      </c>
      <c r="AF150" s="436">
        <f>G150*P150</f>
        <v>0</v>
      </c>
      <c r="AG150" s="436">
        <f>N150*O150</f>
        <v>0</v>
      </c>
      <c r="AH150" s="436">
        <f>N150*P150</f>
        <v>0</v>
      </c>
      <c r="AI150" s="436">
        <f t="shared" si="56"/>
        <v>0</v>
      </c>
      <c r="AJ150" s="436">
        <f t="shared" si="56"/>
        <v>0</v>
      </c>
      <c r="AK150" s="437">
        <f>V150*O150</f>
        <v>0</v>
      </c>
      <c r="AL150" s="437">
        <f>V150*P150</f>
        <v>0</v>
      </c>
      <c r="AM150" s="437">
        <f>W150</f>
        <v>0</v>
      </c>
      <c r="AN150" s="437">
        <f>S150*O150</f>
        <v>0</v>
      </c>
      <c r="AO150" s="437">
        <f>S150*P150</f>
        <v>0</v>
      </c>
      <c r="AP150" s="437">
        <f t="shared" si="60"/>
        <v>0</v>
      </c>
      <c r="AQ150" s="437">
        <f t="shared" si="60"/>
        <v>0</v>
      </c>
      <c r="AR150" s="436"/>
      <c r="AS150" s="437">
        <f t="shared" si="36"/>
        <v>0</v>
      </c>
    </row>
    <row r="151" spans="1:45" s="438" customFormat="1" ht="24.95" customHeight="1">
      <c r="A151" s="1134"/>
      <c r="B151" s="1134"/>
      <c r="C151" s="1139" t="s">
        <v>522</v>
      </c>
      <c r="D151" s="1134" t="s">
        <v>523</v>
      </c>
      <c r="E151" s="1134" t="s">
        <v>524</v>
      </c>
      <c r="F151" s="1134">
        <v>13</v>
      </c>
      <c r="G151" s="1112">
        <v>6769</v>
      </c>
      <c r="H151" s="1134"/>
      <c r="I151" s="435">
        <v>0.25</v>
      </c>
      <c r="J151" s="1134"/>
      <c r="K151" s="1134"/>
      <c r="L151" s="1112"/>
      <c r="M151" s="1112"/>
      <c r="N151" s="1112">
        <f>G151+H152+I152+L152</f>
        <v>8461.25</v>
      </c>
      <c r="O151" s="1112">
        <v>1</v>
      </c>
      <c r="P151" s="1112"/>
      <c r="Q151" s="1112"/>
      <c r="R151" s="1112"/>
      <c r="S151" s="1112"/>
      <c r="T151" s="1134">
        <v>12</v>
      </c>
      <c r="U151" s="1138">
        <v>0.2</v>
      </c>
      <c r="V151" s="1112">
        <f>N151*U151</f>
        <v>1692.25</v>
      </c>
      <c r="W151" s="1112"/>
      <c r="X151" s="1112">
        <f>(N151+V151)*O151</f>
        <v>10153.5</v>
      </c>
      <c r="Y151" s="1112">
        <f>AB151</f>
        <v>9846.5</v>
      </c>
      <c r="Z151" s="1112">
        <f>X151+Y151</f>
        <v>20000</v>
      </c>
      <c r="AA151" s="1109">
        <f>20000*O151</f>
        <v>20000</v>
      </c>
      <c r="AB151" s="1109">
        <f>AA151-X151</f>
        <v>9846.5</v>
      </c>
      <c r="AC151" s="1112">
        <f>6700*O151</f>
        <v>6700</v>
      </c>
      <c r="AD151" s="1112">
        <f>X151-AC151</f>
        <v>3453.5</v>
      </c>
      <c r="AE151" s="436">
        <f t="shared" si="52"/>
        <v>6769</v>
      </c>
      <c r="AF151" s="436">
        <f t="shared" si="53"/>
        <v>0</v>
      </c>
      <c r="AG151" s="436">
        <f t="shared" si="54"/>
        <v>8461.25</v>
      </c>
      <c r="AH151" s="436">
        <f t="shared" si="55"/>
        <v>0</v>
      </c>
      <c r="AI151" s="436">
        <f t="shared" si="56"/>
        <v>1692.25</v>
      </c>
      <c r="AJ151" s="436">
        <f t="shared" si="56"/>
        <v>0</v>
      </c>
      <c r="AK151" s="437">
        <f t="shared" si="57"/>
        <v>1692.25</v>
      </c>
      <c r="AL151" s="437">
        <f t="shared" si="58"/>
        <v>0</v>
      </c>
      <c r="AM151" s="437">
        <f t="shared" si="59"/>
        <v>0</v>
      </c>
      <c r="AN151" s="437">
        <f t="shared" si="48"/>
        <v>0</v>
      </c>
      <c r="AO151" s="437">
        <f t="shared" si="49"/>
        <v>0</v>
      </c>
      <c r="AP151" s="437">
        <f t="shared" si="60"/>
        <v>8461.25</v>
      </c>
      <c r="AQ151" s="437">
        <f t="shared" si="60"/>
        <v>0</v>
      </c>
      <c r="AR151" s="436"/>
      <c r="AS151" s="437">
        <f t="shared" si="36"/>
        <v>8461.25</v>
      </c>
    </row>
    <row r="152" spans="1:45" s="438" customFormat="1" ht="24.95" customHeight="1">
      <c r="A152" s="1134"/>
      <c r="B152" s="1134"/>
      <c r="C152" s="1139"/>
      <c r="D152" s="1134"/>
      <c r="E152" s="1134"/>
      <c r="F152" s="1134"/>
      <c r="G152" s="1112"/>
      <c r="H152" s="1134"/>
      <c r="I152" s="449">
        <f>G151*I151</f>
        <v>1692.25</v>
      </c>
      <c r="J152" s="1134"/>
      <c r="K152" s="1134"/>
      <c r="L152" s="1112"/>
      <c r="M152" s="1112"/>
      <c r="N152" s="1112"/>
      <c r="O152" s="1112"/>
      <c r="P152" s="1112"/>
      <c r="Q152" s="1112"/>
      <c r="R152" s="1112"/>
      <c r="S152" s="1112"/>
      <c r="T152" s="1134"/>
      <c r="U152" s="1138"/>
      <c r="V152" s="1112"/>
      <c r="W152" s="1112"/>
      <c r="X152" s="1112"/>
      <c r="Y152" s="1112"/>
      <c r="Z152" s="1112"/>
      <c r="AA152" s="1109"/>
      <c r="AB152" s="1109"/>
      <c r="AC152" s="1112"/>
      <c r="AD152" s="1112"/>
      <c r="AE152" s="436">
        <f t="shared" si="52"/>
        <v>0</v>
      </c>
      <c r="AF152" s="436">
        <f t="shared" si="53"/>
        <v>0</v>
      </c>
      <c r="AG152" s="436">
        <f t="shared" si="54"/>
        <v>0</v>
      </c>
      <c r="AH152" s="436">
        <f t="shared" si="55"/>
        <v>0</v>
      </c>
      <c r="AI152" s="436">
        <f t="shared" si="56"/>
        <v>0</v>
      </c>
      <c r="AJ152" s="436">
        <f t="shared" si="56"/>
        <v>0</v>
      </c>
      <c r="AK152" s="437">
        <f t="shared" si="57"/>
        <v>0</v>
      </c>
      <c r="AL152" s="437">
        <f t="shared" si="58"/>
        <v>0</v>
      </c>
      <c r="AM152" s="437">
        <f t="shared" si="59"/>
        <v>0</v>
      </c>
      <c r="AN152" s="437">
        <f t="shared" si="48"/>
        <v>0</v>
      </c>
      <c r="AO152" s="437">
        <f t="shared" si="49"/>
        <v>0</v>
      </c>
      <c r="AP152" s="437">
        <f t="shared" si="60"/>
        <v>0</v>
      </c>
      <c r="AQ152" s="437">
        <f t="shared" si="60"/>
        <v>0</v>
      </c>
      <c r="AR152" s="436"/>
      <c r="AS152" s="437">
        <f t="shared" si="36"/>
        <v>0</v>
      </c>
    </row>
    <row r="153" spans="1:45" s="438" customFormat="1" ht="24.95" customHeight="1">
      <c r="A153" s="1134"/>
      <c r="B153" s="1134"/>
      <c r="C153" s="1139" t="s">
        <v>522</v>
      </c>
      <c r="D153" s="1134" t="s">
        <v>1036</v>
      </c>
      <c r="E153" s="1134" t="s">
        <v>557</v>
      </c>
      <c r="F153" s="1134">
        <v>11</v>
      </c>
      <c r="G153" s="1112">
        <v>5875</v>
      </c>
      <c r="H153" s="1134"/>
      <c r="I153" s="435">
        <v>0.25</v>
      </c>
      <c r="J153" s="1134"/>
      <c r="K153" s="1134"/>
      <c r="L153" s="1134"/>
      <c r="M153" s="1134"/>
      <c r="N153" s="1112">
        <f>G153+H154+I154+L154</f>
        <v>7343.75</v>
      </c>
      <c r="O153" s="1112">
        <v>1</v>
      </c>
      <c r="P153" s="1112"/>
      <c r="Q153" s="1134"/>
      <c r="R153" s="1134"/>
      <c r="S153" s="1134"/>
      <c r="T153" s="1134">
        <v>3</v>
      </c>
      <c r="U153" s="1138">
        <v>0.1</v>
      </c>
      <c r="V153" s="1112">
        <f>N153*U153</f>
        <v>734.375</v>
      </c>
      <c r="W153" s="1112"/>
      <c r="X153" s="1112">
        <f>(N153+V153)*O153</f>
        <v>8078.125</v>
      </c>
      <c r="Y153" s="1112">
        <f>AB153</f>
        <v>11921.875</v>
      </c>
      <c r="Z153" s="1112">
        <f>X153+Y153</f>
        <v>20000</v>
      </c>
      <c r="AA153" s="1109">
        <f>20000*O153</f>
        <v>20000</v>
      </c>
      <c r="AB153" s="1109">
        <f>AA153-X153</f>
        <v>11921.875</v>
      </c>
      <c r="AC153" s="1112">
        <f>6700*O153</f>
        <v>6700</v>
      </c>
      <c r="AD153" s="1112">
        <f>X153-AC153</f>
        <v>1378.125</v>
      </c>
      <c r="AE153" s="436">
        <f t="shared" si="52"/>
        <v>5875</v>
      </c>
      <c r="AF153" s="436">
        <f t="shared" si="53"/>
        <v>0</v>
      </c>
      <c r="AG153" s="436">
        <f t="shared" si="54"/>
        <v>7343.75</v>
      </c>
      <c r="AH153" s="436">
        <f t="shared" si="55"/>
        <v>0</v>
      </c>
      <c r="AI153" s="436">
        <f t="shared" si="56"/>
        <v>1468.75</v>
      </c>
      <c r="AJ153" s="436">
        <f t="shared" si="56"/>
        <v>0</v>
      </c>
      <c r="AK153" s="437">
        <f t="shared" si="57"/>
        <v>734.375</v>
      </c>
      <c r="AL153" s="437">
        <f t="shared" si="58"/>
        <v>0</v>
      </c>
      <c r="AM153" s="437">
        <f t="shared" si="59"/>
        <v>0</v>
      </c>
      <c r="AN153" s="437">
        <f t="shared" si="48"/>
        <v>0</v>
      </c>
      <c r="AO153" s="437">
        <f t="shared" si="49"/>
        <v>0</v>
      </c>
      <c r="AP153" s="437">
        <f t="shared" si="60"/>
        <v>7343.75</v>
      </c>
      <c r="AQ153" s="437">
        <f t="shared" si="60"/>
        <v>0</v>
      </c>
      <c r="AR153" s="436"/>
      <c r="AS153" s="437">
        <f t="shared" si="36"/>
        <v>7343.75</v>
      </c>
    </row>
    <row r="154" spans="1:45" s="438" customFormat="1" ht="24.95" customHeight="1">
      <c r="A154" s="1134"/>
      <c r="B154" s="1134"/>
      <c r="C154" s="1139"/>
      <c r="D154" s="1134"/>
      <c r="E154" s="1134"/>
      <c r="F154" s="1134"/>
      <c r="G154" s="1112"/>
      <c r="H154" s="1134"/>
      <c r="I154" s="449">
        <f>G153*I153</f>
        <v>1468.75</v>
      </c>
      <c r="J154" s="1134"/>
      <c r="K154" s="1134"/>
      <c r="L154" s="1134"/>
      <c r="M154" s="1134"/>
      <c r="N154" s="1112"/>
      <c r="O154" s="1112"/>
      <c r="P154" s="1112"/>
      <c r="Q154" s="1134"/>
      <c r="R154" s="1134"/>
      <c r="S154" s="1134"/>
      <c r="T154" s="1134"/>
      <c r="U154" s="1138"/>
      <c r="V154" s="1112"/>
      <c r="W154" s="1112"/>
      <c r="X154" s="1112"/>
      <c r="Y154" s="1112"/>
      <c r="Z154" s="1112"/>
      <c r="AA154" s="1109"/>
      <c r="AB154" s="1109"/>
      <c r="AC154" s="1112"/>
      <c r="AD154" s="1112"/>
      <c r="AE154" s="436">
        <f t="shared" si="52"/>
        <v>0</v>
      </c>
      <c r="AF154" s="436">
        <f t="shared" si="53"/>
        <v>0</v>
      </c>
      <c r="AG154" s="436">
        <f t="shared" si="54"/>
        <v>0</v>
      </c>
      <c r="AH154" s="436">
        <f t="shared" si="55"/>
        <v>0</v>
      </c>
      <c r="AI154" s="436">
        <f t="shared" si="56"/>
        <v>0</v>
      </c>
      <c r="AJ154" s="436">
        <f t="shared" si="56"/>
        <v>0</v>
      </c>
      <c r="AK154" s="437">
        <f t="shared" si="57"/>
        <v>0</v>
      </c>
      <c r="AL154" s="437">
        <f t="shared" si="58"/>
        <v>0</v>
      </c>
      <c r="AM154" s="437">
        <f t="shared" si="59"/>
        <v>0</v>
      </c>
      <c r="AN154" s="437">
        <f t="shared" si="48"/>
        <v>0</v>
      </c>
      <c r="AO154" s="437">
        <f t="shared" si="49"/>
        <v>0</v>
      </c>
      <c r="AP154" s="437">
        <f t="shared" si="60"/>
        <v>0</v>
      </c>
      <c r="AQ154" s="437">
        <f t="shared" si="60"/>
        <v>0</v>
      </c>
      <c r="AR154" s="436"/>
      <c r="AS154" s="437">
        <f t="shared" si="36"/>
        <v>0</v>
      </c>
    </row>
    <row r="155" spans="1:45" s="438" customFormat="1" ht="23.25" customHeight="1">
      <c r="A155" s="1134"/>
      <c r="B155" s="1134"/>
      <c r="C155" s="1139" t="s">
        <v>522</v>
      </c>
      <c r="D155" s="1171" t="s">
        <v>525</v>
      </c>
      <c r="E155" s="1171" t="s">
        <v>491</v>
      </c>
      <c r="F155" s="1134">
        <v>12</v>
      </c>
      <c r="G155" s="1112">
        <v>6322</v>
      </c>
      <c r="H155" s="1134"/>
      <c r="I155" s="435">
        <v>0.25</v>
      </c>
      <c r="J155" s="1134"/>
      <c r="K155" s="1134"/>
      <c r="L155" s="1112"/>
      <c r="M155" s="1112"/>
      <c r="N155" s="1112">
        <f>G155+H156+I156+L156</f>
        <v>7902.5</v>
      </c>
      <c r="O155" s="1112"/>
      <c r="P155" s="1112">
        <v>0.25</v>
      </c>
      <c r="Q155" s="1112"/>
      <c r="R155" s="1112"/>
      <c r="S155" s="1112"/>
      <c r="T155" s="1134">
        <v>8</v>
      </c>
      <c r="U155" s="1138">
        <v>0.1</v>
      </c>
      <c r="V155" s="1112">
        <f>N155*U155</f>
        <v>790.25</v>
      </c>
      <c r="W155" s="1112"/>
      <c r="X155" s="1112">
        <f>(N155+V155)*P155</f>
        <v>2173.1875</v>
      </c>
      <c r="Y155" s="1113">
        <f>AB155</f>
        <v>2826.8125</v>
      </c>
      <c r="Z155" s="1113">
        <f>X155+Y155</f>
        <v>5000</v>
      </c>
      <c r="AA155" s="1110">
        <f>20000*P155</f>
        <v>5000</v>
      </c>
      <c r="AB155" s="1110">
        <f>AA155-X155</f>
        <v>2826.8125</v>
      </c>
      <c r="AC155" s="1112">
        <f>6700*P155</f>
        <v>1675</v>
      </c>
      <c r="AD155" s="1112">
        <f>X155-AC155</f>
        <v>498.1875</v>
      </c>
      <c r="AE155" s="436">
        <f t="shared" si="52"/>
        <v>0</v>
      </c>
      <c r="AF155" s="436">
        <f t="shared" si="53"/>
        <v>1580.5</v>
      </c>
      <c r="AG155" s="436">
        <f t="shared" si="54"/>
        <v>0</v>
      </c>
      <c r="AH155" s="436">
        <f t="shared" si="55"/>
        <v>1975.625</v>
      </c>
      <c r="AI155" s="436">
        <f t="shared" si="56"/>
        <v>0</v>
      </c>
      <c r="AJ155" s="436">
        <f t="shared" si="56"/>
        <v>395.125</v>
      </c>
      <c r="AK155" s="437">
        <f t="shared" si="57"/>
        <v>0</v>
      </c>
      <c r="AL155" s="437">
        <f t="shared" si="58"/>
        <v>197.5625</v>
      </c>
      <c r="AM155" s="437">
        <f t="shared" si="59"/>
        <v>0</v>
      </c>
      <c r="AN155" s="437">
        <f t="shared" si="48"/>
        <v>0</v>
      </c>
      <c r="AO155" s="437">
        <f t="shared" si="49"/>
        <v>0</v>
      </c>
      <c r="AP155" s="437">
        <f t="shared" si="60"/>
        <v>0</v>
      </c>
      <c r="AQ155" s="437">
        <f t="shared" si="60"/>
        <v>1975.625</v>
      </c>
      <c r="AR155" s="436"/>
      <c r="AS155" s="437">
        <f t="shared" si="36"/>
        <v>1975.625</v>
      </c>
    </row>
    <row r="156" spans="1:45" s="438" customFormat="1">
      <c r="A156" s="1134"/>
      <c r="B156" s="1134"/>
      <c r="C156" s="1139"/>
      <c r="D156" s="1172"/>
      <c r="E156" s="1172"/>
      <c r="F156" s="1134"/>
      <c r="G156" s="1112"/>
      <c r="H156" s="1134"/>
      <c r="I156" s="449">
        <f>G155*I155</f>
        <v>1580.5</v>
      </c>
      <c r="J156" s="1134"/>
      <c r="K156" s="1134"/>
      <c r="L156" s="1112"/>
      <c r="M156" s="1112"/>
      <c r="N156" s="1112"/>
      <c r="O156" s="1112"/>
      <c r="P156" s="1112"/>
      <c r="Q156" s="1112"/>
      <c r="R156" s="1112"/>
      <c r="S156" s="1112"/>
      <c r="T156" s="1134"/>
      <c r="U156" s="1138"/>
      <c r="V156" s="1112"/>
      <c r="W156" s="1112"/>
      <c r="X156" s="1112"/>
      <c r="Y156" s="1114"/>
      <c r="Z156" s="1114"/>
      <c r="AA156" s="1111"/>
      <c r="AB156" s="1111"/>
      <c r="AC156" s="1112"/>
      <c r="AD156" s="1112"/>
      <c r="AE156" s="436">
        <f t="shared" si="52"/>
        <v>0</v>
      </c>
      <c r="AF156" s="436">
        <f t="shared" si="53"/>
        <v>0</v>
      </c>
      <c r="AG156" s="436">
        <f t="shared" si="54"/>
        <v>0</v>
      </c>
      <c r="AH156" s="436">
        <f t="shared" si="55"/>
        <v>0</v>
      </c>
      <c r="AI156" s="436">
        <f t="shared" si="56"/>
        <v>0</v>
      </c>
      <c r="AJ156" s="436">
        <f t="shared" si="56"/>
        <v>0</v>
      </c>
      <c r="AK156" s="437">
        <f t="shared" si="57"/>
        <v>0</v>
      </c>
      <c r="AL156" s="437">
        <f t="shared" si="58"/>
        <v>0</v>
      </c>
      <c r="AM156" s="437">
        <f t="shared" si="59"/>
        <v>0</v>
      </c>
      <c r="AN156" s="437">
        <f t="shared" si="48"/>
        <v>0</v>
      </c>
      <c r="AO156" s="437">
        <f t="shared" si="49"/>
        <v>0</v>
      </c>
      <c r="AP156" s="437">
        <f t="shared" si="60"/>
        <v>0</v>
      </c>
      <c r="AQ156" s="437">
        <f t="shared" si="60"/>
        <v>0</v>
      </c>
      <c r="AR156" s="436"/>
      <c r="AS156" s="437">
        <f t="shared" si="36"/>
        <v>0</v>
      </c>
    </row>
    <row r="157" spans="1:45" s="438" customFormat="1" ht="23.25" customHeight="1">
      <c r="A157" s="1134"/>
      <c r="B157" s="1134"/>
      <c r="C157" s="1139" t="s">
        <v>522</v>
      </c>
      <c r="D157" s="1134" t="s">
        <v>526</v>
      </c>
      <c r="E157" s="1134" t="s">
        <v>527</v>
      </c>
      <c r="F157" s="1134">
        <v>13</v>
      </c>
      <c r="G157" s="1112">
        <v>6769</v>
      </c>
      <c r="H157" s="1134"/>
      <c r="I157" s="435">
        <v>0.25</v>
      </c>
      <c r="J157" s="1134"/>
      <c r="K157" s="1134"/>
      <c r="L157" s="1112"/>
      <c r="M157" s="1112"/>
      <c r="N157" s="1112">
        <f>G157+H158+I158+L158</f>
        <v>8461.25</v>
      </c>
      <c r="O157" s="1112"/>
      <c r="P157" s="1112">
        <v>0.25</v>
      </c>
      <c r="Q157" s="1112"/>
      <c r="R157" s="1112"/>
      <c r="S157" s="1112"/>
      <c r="T157" s="1134">
        <v>7</v>
      </c>
      <c r="U157" s="1138">
        <v>0.1</v>
      </c>
      <c r="V157" s="1112">
        <f>N157*U157</f>
        <v>846.125</v>
      </c>
      <c r="W157" s="1112"/>
      <c r="X157" s="1112">
        <f>(N157+V157)*P157</f>
        <v>2326.84375</v>
      </c>
      <c r="Y157" s="1113">
        <f>AB157</f>
        <v>2673.15625</v>
      </c>
      <c r="Z157" s="1113">
        <f>X157+Y157</f>
        <v>5000</v>
      </c>
      <c r="AA157" s="1110">
        <f>20000*P157</f>
        <v>5000</v>
      </c>
      <c r="AB157" s="1110">
        <f>AA157-X157</f>
        <v>2673.15625</v>
      </c>
      <c r="AC157" s="1112">
        <f>6700*P157</f>
        <v>1675</v>
      </c>
      <c r="AD157" s="1112">
        <f>X157-AC157</f>
        <v>651.84375</v>
      </c>
      <c r="AE157" s="436">
        <f t="shared" si="52"/>
        <v>0</v>
      </c>
      <c r="AF157" s="436">
        <f t="shared" si="53"/>
        <v>1692.25</v>
      </c>
      <c r="AG157" s="436">
        <f t="shared" si="54"/>
        <v>0</v>
      </c>
      <c r="AH157" s="436">
        <f t="shared" si="55"/>
        <v>2115.3125</v>
      </c>
      <c r="AI157" s="436">
        <f t="shared" si="56"/>
        <v>0</v>
      </c>
      <c r="AJ157" s="436">
        <f t="shared" si="56"/>
        <v>423.0625</v>
      </c>
      <c r="AK157" s="437">
        <f t="shared" si="57"/>
        <v>0</v>
      </c>
      <c r="AL157" s="437">
        <f t="shared" si="58"/>
        <v>211.53125</v>
      </c>
      <c r="AM157" s="437">
        <f t="shared" si="59"/>
        <v>0</v>
      </c>
      <c r="AN157" s="437">
        <f t="shared" si="48"/>
        <v>0</v>
      </c>
      <c r="AO157" s="437">
        <f t="shared" si="49"/>
        <v>0</v>
      </c>
      <c r="AP157" s="437">
        <f t="shared" si="60"/>
        <v>0</v>
      </c>
      <c r="AQ157" s="437">
        <f t="shared" si="60"/>
        <v>2115.3125</v>
      </c>
      <c r="AR157" s="436"/>
      <c r="AS157" s="437">
        <f t="shared" si="36"/>
        <v>2115.3125</v>
      </c>
    </row>
    <row r="158" spans="1:45" s="438" customFormat="1">
      <c r="A158" s="1134"/>
      <c r="B158" s="1134"/>
      <c r="C158" s="1139"/>
      <c r="D158" s="1134"/>
      <c r="E158" s="1134"/>
      <c r="F158" s="1134"/>
      <c r="G158" s="1112"/>
      <c r="H158" s="1134"/>
      <c r="I158" s="452">
        <f>G157*I157</f>
        <v>1692.25</v>
      </c>
      <c r="J158" s="1134"/>
      <c r="K158" s="1134"/>
      <c r="L158" s="1112"/>
      <c r="M158" s="1112"/>
      <c r="N158" s="1112"/>
      <c r="O158" s="1112"/>
      <c r="P158" s="1112"/>
      <c r="Q158" s="1112"/>
      <c r="R158" s="1112"/>
      <c r="S158" s="1112"/>
      <c r="T158" s="1134"/>
      <c r="U158" s="1138"/>
      <c r="V158" s="1112"/>
      <c r="W158" s="1112"/>
      <c r="X158" s="1112"/>
      <c r="Y158" s="1114"/>
      <c r="Z158" s="1114"/>
      <c r="AA158" s="1111"/>
      <c r="AB158" s="1111"/>
      <c r="AC158" s="1112"/>
      <c r="AD158" s="1112"/>
      <c r="AE158" s="436">
        <f t="shared" si="52"/>
        <v>0</v>
      </c>
      <c r="AF158" s="436">
        <f t="shared" si="53"/>
        <v>0</v>
      </c>
      <c r="AG158" s="436">
        <f t="shared" si="54"/>
        <v>0</v>
      </c>
      <c r="AH158" s="436">
        <f t="shared" si="55"/>
        <v>0</v>
      </c>
      <c r="AI158" s="436">
        <f t="shared" si="56"/>
        <v>0</v>
      </c>
      <c r="AJ158" s="436">
        <f t="shared" si="56"/>
        <v>0</v>
      </c>
      <c r="AK158" s="437">
        <f t="shared" si="57"/>
        <v>0</v>
      </c>
      <c r="AL158" s="437">
        <f t="shared" si="58"/>
        <v>0</v>
      </c>
      <c r="AM158" s="437">
        <f t="shared" si="59"/>
        <v>0</v>
      </c>
      <c r="AN158" s="437">
        <f t="shared" si="48"/>
        <v>0</v>
      </c>
      <c r="AO158" s="437">
        <f t="shared" si="49"/>
        <v>0</v>
      </c>
      <c r="AP158" s="437">
        <f t="shared" si="60"/>
        <v>0</v>
      </c>
      <c r="AQ158" s="437">
        <f t="shared" si="60"/>
        <v>0</v>
      </c>
      <c r="AR158" s="436"/>
      <c r="AS158" s="437">
        <f t="shared" ref="AS158:AS221" si="61">AP158+AQ158-AR158</f>
        <v>0</v>
      </c>
    </row>
    <row r="159" spans="1:45" s="446" customFormat="1" ht="24.95" customHeight="1">
      <c r="A159" s="441"/>
      <c r="B159" s="441"/>
      <c r="C159" s="442" t="s">
        <v>318</v>
      </c>
      <c r="D159" s="443"/>
      <c r="E159" s="441"/>
      <c r="F159" s="441"/>
      <c r="G159" s="444">
        <f>SUM(G141:G158)</f>
        <v>58239</v>
      </c>
      <c r="H159" s="441">
        <f>H142</f>
        <v>1804</v>
      </c>
      <c r="I159" s="445">
        <f>I142+I144+I146+I148+I150+I152+I154+I156+I158</f>
        <v>16363.75</v>
      </c>
      <c r="J159" s="441"/>
      <c r="K159" s="441"/>
      <c r="L159" s="441"/>
      <c r="M159" s="441"/>
      <c r="N159" s="444">
        <f>SUM(N141:N158)</f>
        <v>76406.75</v>
      </c>
      <c r="O159" s="444">
        <f>SUM(O141:O158)</f>
        <v>6</v>
      </c>
      <c r="P159" s="444">
        <f>SUM(P141:P158)</f>
        <v>0.5</v>
      </c>
      <c r="Q159" s="444"/>
      <c r="R159" s="444"/>
      <c r="S159" s="444"/>
      <c r="T159" s="444"/>
      <c r="U159" s="444"/>
      <c r="V159" s="444">
        <f t="shared" ref="V159:AD159" si="62">SUM(V141:V158)</f>
        <v>13662.525</v>
      </c>
      <c r="W159" s="444">
        <f t="shared" si="62"/>
        <v>0</v>
      </c>
      <c r="X159" s="444">
        <f t="shared" si="62"/>
        <v>65569.556249999994</v>
      </c>
      <c r="Y159" s="444">
        <f t="shared" si="62"/>
        <v>64430.443749999999</v>
      </c>
      <c r="Z159" s="444">
        <f t="shared" si="62"/>
        <v>130000</v>
      </c>
      <c r="AA159" s="499">
        <f t="shared" si="62"/>
        <v>130000</v>
      </c>
      <c r="AB159" s="499">
        <f t="shared" si="62"/>
        <v>64430.443749999999</v>
      </c>
      <c r="AC159" s="444">
        <f t="shared" si="62"/>
        <v>43550</v>
      </c>
      <c r="AD159" s="444">
        <f t="shared" si="62"/>
        <v>22019.556250000001</v>
      </c>
      <c r="AE159" s="436"/>
      <c r="AF159" s="436"/>
      <c r="AG159" s="436"/>
      <c r="AH159" s="436"/>
      <c r="AI159" s="436"/>
      <c r="AJ159" s="436"/>
      <c r="AK159" s="437"/>
      <c r="AL159" s="437"/>
      <c r="AM159" s="437"/>
      <c r="AN159" s="437"/>
      <c r="AO159" s="437"/>
      <c r="AP159" s="437">
        <f t="shared" si="60"/>
        <v>0</v>
      </c>
      <c r="AQ159" s="437">
        <f t="shared" si="60"/>
        <v>0</v>
      </c>
      <c r="AR159" s="436"/>
      <c r="AS159" s="437">
        <f t="shared" si="61"/>
        <v>0</v>
      </c>
    </row>
    <row r="160" spans="1:45" s="446" customFormat="1" ht="24.95" customHeight="1">
      <c r="A160" s="441"/>
      <c r="B160" s="441"/>
      <c r="C160" s="1136" t="s">
        <v>528</v>
      </c>
      <c r="D160" s="1136"/>
      <c r="E160" s="441"/>
      <c r="F160" s="441"/>
      <c r="G160" s="441"/>
      <c r="H160" s="441"/>
      <c r="I160" s="441"/>
      <c r="J160" s="441"/>
      <c r="K160" s="441"/>
      <c r="L160" s="441"/>
      <c r="M160" s="441"/>
      <c r="N160" s="441"/>
      <c r="O160" s="441"/>
      <c r="P160" s="441"/>
      <c r="Q160" s="441"/>
      <c r="R160" s="441"/>
      <c r="S160" s="441"/>
      <c r="T160" s="441"/>
      <c r="U160" s="441"/>
      <c r="V160" s="441"/>
      <c r="W160" s="441"/>
      <c r="X160" s="441"/>
      <c r="Y160" s="441"/>
      <c r="Z160" s="441"/>
      <c r="AA160" s="503"/>
      <c r="AB160" s="503"/>
      <c r="AC160" s="441"/>
      <c r="AD160" s="441"/>
      <c r="AE160" s="436">
        <f t="shared" si="52"/>
        <v>0</v>
      </c>
      <c r="AF160" s="436">
        <f t="shared" si="53"/>
        <v>0</v>
      </c>
      <c r="AG160" s="436">
        <f t="shared" si="54"/>
        <v>0</v>
      </c>
      <c r="AH160" s="436">
        <f t="shared" si="55"/>
        <v>0</v>
      </c>
      <c r="AI160" s="436">
        <f t="shared" si="56"/>
        <v>0</v>
      </c>
      <c r="AJ160" s="436">
        <f t="shared" si="56"/>
        <v>0</v>
      </c>
      <c r="AK160" s="437">
        <f t="shared" si="57"/>
        <v>0</v>
      </c>
      <c r="AL160" s="437">
        <f t="shared" si="58"/>
        <v>0</v>
      </c>
      <c r="AM160" s="437">
        <f t="shared" si="59"/>
        <v>0</v>
      </c>
      <c r="AN160" s="437">
        <f t="shared" si="48"/>
        <v>0</v>
      </c>
      <c r="AO160" s="437">
        <f t="shared" si="49"/>
        <v>0</v>
      </c>
      <c r="AP160" s="437">
        <f t="shared" si="60"/>
        <v>0</v>
      </c>
      <c r="AQ160" s="437">
        <f t="shared" si="60"/>
        <v>0</v>
      </c>
      <c r="AR160" s="436"/>
      <c r="AS160" s="437">
        <f t="shared" si="61"/>
        <v>0</v>
      </c>
    </row>
    <row r="161" spans="1:45" s="438" customFormat="1" ht="24.95" customHeight="1">
      <c r="A161" s="1134"/>
      <c r="B161" s="1134"/>
      <c r="C161" s="1139" t="s">
        <v>1037</v>
      </c>
      <c r="D161" s="1134" t="s">
        <v>337</v>
      </c>
      <c r="E161" s="1134" t="s">
        <v>1038</v>
      </c>
      <c r="F161" s="1134">
        <v>10</v>
      </c>
      <c r="G161" s="1112">
        <v>5427</v>
      </c>
      <c r="H161" s="1134"/>
      <c r="I161" s="1134"/>
      <c r="J161" s="1134"/>
      <c r="K161" s="1134"/>
      <c r="L161" s="435">
        <v>0.15</v>
      </c>
      <c r="M161" s="1138"/>
      <c r="N161" s="1112">
        <f>G161+H162+I162+L162</f>
        <v>6241.05</v>
      </c>
      <c r="O161" s="1112"/>
      <c r="P161" s="1112">
        <v>0.5</v>
      </c>
      <c r="Q161" s="1134"/>
      <c r="R161" s="1138"/>
      <c r="S161" s="1134"/>
      <c r="T161" s="1134">
        <v>4</v>
      </c>
      <c r="U161" s="1138">
        <v>0.1</v>
      </c>
      <c r="V161" s="1112">
        <f>N161*U161</f>
        <v>624.10500000000002</v>
      </c>
      <c r="W161" s="1112"/>
      <c r="X161" s="1112">
        <f>(N161+V161)*P161+W161</f>
        <v>3432.5775000000003</v>
      </c>
      <c r="Y161" s="1113">
        <f>AB161</f>
        <v>6567.4224999999997</v>
      </c>
      <c r="Z161" s="1113">
        <f>X161+Y161</f>
        <v>10000</v>
      </c>
      <c r="AA161" s="1110">
        <f>20000*P161</f>
        <v>10000</v>
      </c>
      <c r="AB161" s="1110">
        <f>AA161-X161</f>
        <v>6567.4224999999997</v>
      </c>
      <c r="AC161" s="1112">
        <f>6700*P161</f>
        <v>3350</v>
      </c>
      <c r="AD161" s="1112">
        <f>X161-AC161</f>
        <v>82.577500000000327</v>
      </c>
      <c r="AE161" s="436">
        <f t="shared" si="52"/>
        <v>0</v>
      </c>
      <c r="AF161" s="436">
        <f t="shared" si="53"/>
        <v>2713.5</v>
      </c>
      <c r="AG161" s="436">
        <f t="shared" si="54"/>
        <v>0</v>
      </c>
      <c r="AH161" s="436">
        <f t="shared" si="55"/>
        <v>3120.5250000000001</v>
      </c>
      <c r="AI161" s="436">
        <f t="shared" si="56"/>
        <v>0</v>
      </c>
      <c r="AJ161" s="436">
        <f t="shared" si="56"/>
        <v>407.02500000000009</v>
      </c>
      <c r="AK161" s="437">
        <f t="shared" si="57"/>
        <v>0</v>
      </c>
      <c r="AL161" s="437">
        <f t="shared" si="58"/>
        <v>312.05250000000001</v>
      </c>
      <c r="AM161" s="437">
        <f t="shared" si="59"/>
        <v>0</v>
      </c>
      <c r="AN161" s="437">
        <f t="shared" si="48"/>
        <v>0</v>
      </c>
      <c r="AO161" s="437">
        <f t="shared" si="49"/>
        <v>0</v>
      </c>
      <c r="AP161" s="437">
        <f t="shared" si="60"/>
        <v>0</v>
      </c>
      <c r="AQ161" s="437">
        <f t="shared" si="60"/>
        <v>3120.5250000000001</v>
      </c>
      <c r="AR161" s="436"/>
      <c r="AS161" s="437">
        <f t="shared" si="61"/>
        <v>3120.5250000000001</v>
      </c>
    </row>
    <row r="162" spans="1:45" s="438" customFormat="1" ht="24.95" customHeight="1">
      <c r="A162" s="1134"/>
      <c r="B162" s="1134"/>
      <c r="C162" s="1139"/>
      <c r="D162" s="1134"/>
      <c r="E162" s="1134"/>
      <c r="F162" s="1134"/>
      <c r="G162" s="1112"/>
      <c r="H162" s="1134"/>
      <c r="I162" s="1134"/>
      <c r="J162" s="1134"/>
      <c r="K162" s="1134"/>
      <c r="L162" s="439">
        <f>(G161+H162+I162)*L161</f>
        <v>814.05</v>
      </c>
      <c r="M162" s="1134"/>
      <c r="N162" s="1112"/>
      <c r="O162" s="1112"/>
      <c r="P162" s="1112"/>
      <c r="Q162" s="1134"/>
      <c r="R162" s="1134"/>
      <c r="S162" s="1134"/>
      <c r="T162" s="1134"/>
      <c r="U162" s="1138"/>
      <c r="V162" s="1112"/>
      <c r="W162" s="1112"/>
      <c r="X162" s="1112"/>
      <c r="Y162" s="1114"/>
      <c r="Z162" s="1114"/>
      <c r="AA162" s="1111"/>
      <c r="AB162" s="1111"/>
      <c r="AC162" s="1112"/>
      <c r="AD162" s="1112"/>
      <c r="AE162" s="436">
        <f t="shared" si="52"/>
        <v>0</v>
      </c>
      <c r="AF162" s="436">
        <f t="shared" si="53"/>
        <v>0</v>
      </c>
      <c r="AG162" s="436">
        <f t="shared" si="54"/>
        <v>0</v>
      </c>
      <c r="AH162" s="436">
        <f t="shared" si="55"/>
        <v>0</v>
      </c>
      <c r="AI162" s="436">
        <f t="shared" si="56"/>
        <v>0</v>
      </c>
      <c r="AJ162" s="436">
        <f t="shared" si="56"/>
        <v>0</v>
      </c>
      <c r="AK162" s="437">
        <f t="shared" si="57"/>
        <v>0</v>
      </c>
      <c r="AL162" s="437">
        <f t="shared" si="58"/>
        <v>0</v>
      </c>
      <c r="AM162" s="437">
        <f t="shared" si="59"/>
        <v>0</v>
      </c>
      <c r="AN162" s="437">
        <f t="shared" si="48"/>
        <v>0</v>
      </c>
      <c r="AO162" s="437">
        <f t="shared" si="49"/>
        <v>0</v>
      </c>
      <c r="AP162" s="437">
        <f t="shared" si="60"/>
        <v>0</v>
      </c>
      <c r="AQ162" s="437">
        <f t="shared" si="60"/>
        <v>0</v>
      </c>
      <c r="AR162" s="436"/>
      <c r="AS162" s="437">
        <f t="shared" si="61"/>
        <v>0</v>
      </c>
    </row>
    <row r="163" spans="1:45" s="438" customFormat="1" ht="24.95" customHeight="1">
      <c r="A163" s="1134"/>
      <c r="B163" s="1134"/>
      <c r="C163" s="1139" t="s">
        <v>504</v>
      </c>
      <c r="D163" s="1134" t="s">
        <v>531</v>
      </c>
      <c r="E163" s="1134" t="s">
        <v>532</v>
      </c>
      <c r="F163" s="1134">
        <v>14</v>
      </c>
      <c r="G163" s="1112">
        <v>7216</v>
      </c>
      <c r="H163" s="1134"/>
      <c r="I163" s="1134"/>
      <c r="J163" s="1134"/>
      <c r="K163" s="1134"/>
      <c r="L163" s="435">
        <v>0.15</v>
      </c>
      <c r="M163" s="1138"/>
      <c r="N163" s="1112">
        <f>G163+H164+I164+L164</f>
        <v>8298.4</v>
      </c>
      <c r="O163" s="1112"/>
      <c r="P163" s="1112">
        <v>0.5</v>
      </c>
      <c r="Q163" s="1134"/>
      <c r="R163" s="1138"/>
      <c r="S163" s="1134"/>
      <c r="T163" s="1134">
        <v>42</v>
      </c>
      <c r="U163" s="1138">
        <v>0.3</v>
      </c>
      <c r="V163" s="1112">
        <f>N163*U163</f>
        <v>2489.52</v>
      </c>
      <c r="W163" s="1112"/>
      <c r="X163" s="1112">
        <f>(N163+R164+V163)*P163</f>
        <v>5393.96</v>
      </c>
      <c r="Y163" s="1113">
        <f>AB163</f>
        <v>4606.04</v>
      </c>
      <c r="Z163" s="1113">
        <f>X163+Y163</f>
        <v>10000</v>
      </c>
      <c r="AA163" s="1110">
        <f>20000*P163</f>
        <v>10000</v>
      </c>
      <c r="AB163" s="1110">
        <f>AA163-X163</f>
        <v>4606.04</v>
      </c>
      <c r="AC163" s="1112">
        <f>6700*P163</f>
        <v>3350</v>
      </c>
      <c r="AD163" s="1112">
        <f>X163-AC163</f>
        <v>2043.96</v>
      </c>
      <c r="AE163" s="436">
        <f t="shared" si="52"/>
        <v>0</v>
      </c>
      <c r="AF163" s="436">
        <f t="shared" si="53"/>
        <v>3608</v>
      </c>
      <c r="AG163" s="436">
        <f t="shared" si="54"/>
        <v>0</v>
      </c>
      <c r="AH163" s="436">
        <f t="shared" si="55"/>
        <v>4149.2</v>
      </c>
      <c r="AI163" s="436">
        <f t="shared" si="56"/>
        <v>0</v>
      </c>
      <c r="AJ163" s="436">
        <f t="shared" si="56"/>
        <v>541.19999999999982</v>
      </c>
      <c r="AK163" s="437">
        <f t="shared" si="57"/>
        <v>0</v>
      </c>
      <c r="AL163" s="437">
        <f t="shared" si="58"/>
        <v>1244.76</v>
      </c>
      <c r="AM163" s="437">
        <f t="shared" si="59"/>
        <v>0</v>
      </c>
      <c r="AN163" s="437">
        <f t="shared" si="48"/>
        <v>0</v>
      </c>
      <c r="AO163" s="437">
        <f t="shared" si="49"/>
        <v>0</v>
      </c>
      <c r="AP163" s="437">
        <f t="shared" si="60"/>
        <v>0</v>
      </c>
      <c r="AQ163" s="437">
        <f t="shared" si="60"/>
        <v>4149.2</v>
      </c>
      <c r="AR163" s="436"/>
      <c r="AS163" s="437">
        <f t="shared" si="61"/>
        <v>4149.2</v>
      </c>
    </row>
    <row r="164" spans="1:45" s="438" customFormat="1" ht="24.95" customHeight="1">
      <c r="A164" s="1134"/>
      <c r="B164" s="1134"/>
      <c r="C164" s="1139"/>
      <c r="D164" s="1134"/>
      <c r="E164" s="1134"/>
      <c r="F164" s="1134"/>
      <c r="G164" s="1112"/>
      <c r="H164" s="1134"/>
      <c r="I164" s="1134"/>
      <c r="J164" s="1134"/>
      <c r="K164" s="1134"/>
      <c r="L164" s="439">
        <f>(G163+H164+I164)*L163</f>
        <v>1082.3999999999999</v>
      </c>
      <c r="M164" s="1134"/>
      <c r="N164" s="1112"/>
      <c r="O164" s="1112"/>
      <c r="P164" s="1112"/>
      <c r="Q164" s="1134"/>
      <c r="R164" s="1134"/>
      <c r="S164" s="1134"/>
      <c r="T164" s="1134"/>
      <c r="U164" s="1138"/>
      <c r="V164" s="1112"/>
      <c r="W164" s="1112"/>
      <c r="X164" s="1112"/>
      <c r="Y164" s="1114"/>
      <c r="Z164" s="1114"/>
      <c r="AA164" s="1111"/>
      <c r="AB164" s="1111"/>
      <c r="AC164" s="1112"/>
      <c r="AD164" s="1112"/>
      <c r="AE164" s="436">
        <f t="shared" si="52"/>
        <v>0</v>
      </c>
      <c r="AF164" s="436">
        <f t="shared" si="53"/>
        <v>0</v>
      </c>
      <c r="AG164" s="436">
        <f t="shared" si="54"/>
        <v>0</v>
      </c>
      <c r="AH164" s="436">
        <f t="shared" si="55"/>
        <v>0</v>
      </c>
      <c r="AI164" s="436">
        <f t="shared" si="56"/>
        <v>0</v>
      </c>
      <c r="AJ164" s="436">
        <f t="shared" si="56"/>
        <v>0</v>
      </c>
      <c r="AK164" s="437">
        <f t="shared" si="57"/>
        <v>0</v>
      </c>
      <c r="AL164" s="437">
        <f t="shared" si="58"/>
        <v>0</v>
      </c>
      <c r="AM164" s="437">
        <f t="shared" si="59"/>
        <v>0</v>
      </c>
      <c r="AN164" s="437">
        <f t="shared" si="48"/>
        <v>0</v>
      </c>
      <c r="AO164" s="437">
        <f t="shared" si="49"/>
        <v>0</v>
      </c>
      <c r="AP164" s="437">
        <f t="shared" si="60"/>
        <v>0</v>
      </c>
      <c r="AQ164" s="437">
        <f t="shared" si="60"/>
        <v>0</v>
      </c>
      <c r="AR164" s="436"/>
      <c r="AS164" s="437">
        <f t="shared" si="61"/>
        <v>0</v>
      </c>
    </row>
    <row r="165" spans="1:45" s="438" customFormat="1" ht="24.95" customHeight="1">
      <c r="A165" s="1134"/>
      <c r="B165" s="1134"/>
      <c r="C165" s="1139" t="s">
        <v>504</v>
      </c>
      <c r="D165" s="1134"/>
      <c r="E165" s="1134" t="s">
        <v>325</v>
      </c>
      <c r="F165" s="1134">
        <v>11</v>
      </c>
      <c r="G165" s="1112">
        <v>5875</v>
      </c>
      <c r="H165" s="1134"/>
      <c r="I165" s="1134"/>
      <c r="J165" s="1134"/>
      <c r="K165" s="1134"/>
      <c r="L165" s="435">
        <v>0.15</v>
      </c>
      <c r="M165" s="1138"/>
      <c r="N165" s="1112">
        <f>G165+H166+I166+L166</f>
        <v>6756.25</v>
      </c>
      <c r="O165" s="1112"/>
      <c r="P165" s="1112">
        <v>0.5</v>
      </c>
      <c r="Q165" s="1134"/>
      <c r="R165" s="1138"/>
      <c r="S165" s="1134"/>
      <c r="T165" s="1134">
        <v>0</v>
      </c>
      <c r="U165" s="1138">
        <v>0</v>
      </c>
      <c r="V165" s="1112">
        <f>N165*U165</f>
        <v>0</v>
      </c>
      <c r="W165" s="1112"/>
      <c r="X165" s="1112">
        <f>(N165+R166+V165)*P165</f>
        <v>3378.125</v>
      </c>
      <c r="Y165" s="1113">
        <f>AB165</f>
        <v>6621.875</v>
      </c>
      <c r="Z165" s="1113">
        <f>X165+Y165</f>
        <v>10000</v>
      </c>
      <c r="AA165" s="1110">
        <f>20000*P165</f>
        <v>10000</v>
      </c>
      <c r="AB165" s="1110">
        <f>AA165-X165</f>
        <v>6621.875</v>
      </c>
      <c r="AC165" s="1112">
        <f>6700*P165</f>
        <v>3350</v>
      </c>
      <c r="AD165" s="1112">
        <f>X165-AC165</f>
        <v>28.125</v>
      </c>
      <c r="AE165" s="436">
        <f t="shared" si="52"/>
        <v>0</v>
      </c>
      <c r="AF165" s="436">
        <f t="shared" si="53"/>
        <v>2937.5</v>
      </c>
      <c r="AG165" s="436">
        <f t="shared" si="54"/>
        <v>0</v>
      </c>
      <c r="AH165" s="436">
        <f t="shared" si="55"/>
        <v>3378.125</v>
      </c>
      <c r="AI165" s="436">
        <f t="shared" si="56"/>
        <v>0</v>
      </c>
      <c r="AJ165" s="436">
        <f t="shared" si="56"/>
        <v>440.625</v>
      </c>
      <c r="AK165" s="437">
        <f t="shared" si="57"/>
        <v>0</v>
      </c>
      <c r="AL165" s="437">
        <f t="shared" si="58"/>
        <v>0</v>
      </c>
      <c r="AM165" s="437">
        <f t="shared" si="59"/>
        <v>0</v>
      </c>
      <c r="AN165" s="437">
        <f t="shared" si="48"/>
        <v>0</v>
      </c>
      <c r="AO165" s="437">
        <f t="shared" si="49"/>
        <v>0</v>
      </c>
      <c r="AP165" s="437">
        <f t="shared" si="60"/>
        <v>0</v>
      </c>
      <c r="AQ165" s="437">
        <f t="shared" si="60"/>
        <v>3378.125</v>
      </c>
      <c r="AR165" s="436"/>
      <c r="AS165" s="437">
        <f t="shared" si="61"/>
        <v>3378.125</v>
      </c>
    </row>
    <row r="166" spans="1:45" s="438" customFormat="1" ht="24.95" customHeight="1">
      <c r="A166" s="1134"/>
      <c r="B166" s="1134"/>
      <c r="C166" s="1139"/>
      <c r="D166" s="1134"/>
      <c r="E166" s="1134"/>
      <c r="F166" s="1134"/>
      <c r="G166" s="1112"/>
      <c r="H166" s="1134"/>
      <c r="I166" s="1134"/>
      <c r="J166" s="1134"/>
      <c r="K166" s="1134"/>
      <c r="L166" s="439">
        <f>(G165+H166+I166)*L165</f>
        <v>881.25</v>
      </c>
      <c r="M166" s="1134"/>
      <c r="N166" s="1112"/>
      <c r="O166" s="1112"/>
      <c r="P166" s="1112"/>
      <c r="Q166" s="1134"/>
      <c r="R166" s="1134"/>
      <c r="S166" s="1134"/>
      <c r="T166" s="1134"/>
      <c r="U166" s="1138"/>
      <c r="V166" s="1112"/>
      <c r="W166" s="1112"/>
      <c r="X166" s="1112"/>
      <c r="Y166" s="1114"/>
      <c r="Z166" s="1114"/>
      <c r="AA166" s="1111"/>
      <c r="AB166" s="1111"/>
      <c r="AC166" s="1112"/>
      <c r="AD166" s="1112"/>
      <c r="AE166" s="436">
        <f t="shared" si="52"/>
        <v>0</v>
      </c>
      <c r="AF166" s="436">
        <f t="shared" si="53"/>
        <v>0</v>
      </c>
      <c r="AG166" s="436">
        <f t="shared" si="54"/>
        <v>0</v>
      </c>
      <c r="AH166" s="436">
        <f t="shared" si="55"/>
        <v>0</v>
      </c>
      <c r="AI166" s="436">
        <f t="shared" si="56"/>
        <v>0</v>
      </c>
      <c r="AJ166" s="436">
        <f t="shared" si="56"/>
        <v>0</v>
      </c>
      <c r="AK166" s="437">
        <f t="shared" si="57"/>
        <v>0</v>
      </c>
      <c r="AL166" s="437">
        <f t="shared" si="58"/>
        <v>0</v>
      </c>
      <c r="AM166" s="437">
        <f t="shared" si="59"/>
        <v>0</v>
      </c>
      <c r="AN166" s="437">
        <f t="shared" si="48"/>
        <v>0</v>
      </c>
      <c r="AO166" s="437">
        <f t="shared" si="49"/>
        <v>0</v>
      </c>
      <c r="AP166" s="437">
        <f t="shared" si="60"/>
        <v>0</v>
      </c>
      <c r="AQ166" s="437">
        <f t="shared" si="60"/>
        <v>0</v>
      </c>
      <c r="AR166" s="436"/>
      <c r="AS166" s="437">
        <f t="shared" si="61"/>
        <v>0</v>
      </c>
    </row>
    <row r="167" spans="1:45" s="438" customFormat="1" ht="24.95" customHeight="1">
      <c r="A167" s="1134"/>
      <c r="B167" s="1134"/>
      <c r="C167" s="1139" t="s">
        <v>504</v>
      </c>
      <c r="D167" s="1134" t="s">
        <v>1039</v>
      </c>
      <c r="E167" s="1134" t="s">
        <v>1040</v>
      </c>
      <c r="F167" s="1134">
        <v>11</v>
      </c>
      <c r="G167" s="1112">
        <v>5875</v>
      </c>
      <c r="H167" s="1134"/>
      <c r="I167" s="1134"/>
      <c r="J167" s="1134"/>
      <c r="K167" s="1134"/>
      <c r="L167" s="435">
        <v>0.15</v>
      </c>
      <c r="M167" s="1138"/>
      <c r="N167" s="1112">
        <f>G167+H168+I168+L168</f>
        <v>6756.25</v>
      </c>
      <c r="O167" s="1112">
        <v>1</v>
      </c>
      <c r="P167" s="1112"/>
      <c r="Q167" s="1134"/>
      <c r="R167" s="1138"/>
      <c r="S167" s="1134"/>
      <c r="T167" s="1134">
        <v>4</v>
      </c>
      <c r="U167" s="1138">
        <v>0.1</v>
      </c>
      <c r="V167" s="1112">
        <f>N167*U167</f>
        <v>675.625</v>
      </c>
      <c r="W167" s="1112"/>
      <c r="X167" s="1112">
        <f>N167+R168+V167</f>
        <v>7431.875</v>
      </c>
      <c r="Y167" s="1112">
        <f>AB167</f>
        <v>12568.125</v>
      </c>
      <c r="Z167" s="1112">
        <f>X167+Y167</f>
        <v>20000</v>
      </c>
      <c r="AA167" s="1109">
        <f>20000*O167</f>
        <v>20000</v>
      </c>
      <c r="AB167" s="1109">
        <f>AA167-X167</f>
        <v>12568.125</v>
      </c>
      <c r="AC167" s="1112">
        <f>6700*O167</f>
        <v>6700</v>
      </c>
      <c r="AD167" s="1112">
        <f>X167-AC167</f>
        <v>731.875</v>
      </c>
      <c r="AE167" s="436">
        <f t="shared" si="52"/>
        <v>5875</v>
      </c>
      <c r="AF167" s="436">
        <f t="shared" si="53"/>
        <v>0</v>
      </c>
      <c r="AG167" s="436">
        <f t="shared" si="54"/>
        <v>6756.25</v>
      </c>
      <c r="AH167" s="436">
        <f t="shared" si="55"/>
        <v>0</v>
      </c>
      <c r="AI167" s="436">
        <f t="shared" si="56"/>
        <v>881.25</v>
      </c>
      <c r="AJ167" s="436">
        <f t="shared" si="56"/>
        <v>0</v>
      </c>
      <c r="AK167" s="437">
        <f t="shared" si="57"/>
        <v>675.625</v>
      </c>
      <c r="AL167" s="437">
        <f t="shared" si="58"/>
        <v>0</v>
      </c>
      <c r="AM167" s="437">
        <f t="shared" si="59"/>
        <v>0</v>
      </c>
      <c r="AN167" s="437">
        <f t="shared" si="48"/>
        <v>0</v>
      </c>
      <c r="AO167" s="437">
        <f t="shared" si="49"/>
        <v>0</v>
      </c>
      <c r="AP167" s="437">
        <f t="shared" si="60"/>
        <v>6756.25</v>
      </c>
      <c r="AQ167" s="437">
        <f t="shared" si="60"/>
        <v>0</v>
      </c>
      <c r="AR167" s="436"/>
      <c r="AS167" s="437">
        <f t="shared" si="61"/>
        <v>6756.25</v>
      </c>
    </row>
    <row r="168" spans="1:45" s="438" customFormat="1" ht="24.95" customHeight="1">
      <c r="A168" s="1134"/>
      <c r="B168" s="1134"/>
      <c r="C168" s="1139"/>
      <c r="D168" s="1134"/>
      <c r="E168" s="1134"/>
      <c r="F168" s="1134"/>
      <c r="G168" s="1112"/>
      <c r="H168" s="1134"/>
      <c r="I168" s="1134"/>
      <c r="J168" s="1134"/>
      <c r="K168" s="1134"/>
      <c r="L168" s="439">
        <f>(G167+H168+I168)*L167</f>
        <v>881.25</v>
      </c>
      <c r="M168" s="1134"/>
      <c r="N168" s="1112"/>
      <c r="O168" s="1112"/>
      <c r="P168" s="1112"/>
      <c r="Q168" s="1134"/>
      <c r="R168" s="1134"/>
      <c r="S168" s="1134"/>
      <c r="T168" s="1134"/>
      <c r="U168" s="1138"/>
      <c r="V168" s="1112"/>
      <c r="W168" s="1112"/>
      <c r="X168" s="1112"/>
      <c r="Y168" s="1112"/>
      <c r="Z168" s="1112"/>
      <c r="AA168" s="1109"/>
      <c r="AB168" s="1109"/>
      <c r="AC168" s="1112"/>
      <c r="AD168" s="1112"/>
      <c r="AE168" s="436">
        <f t="shared" si="52"/>
        <v>0</v>
      </c>
      <c r="AF168" s="436">
        <f t="shared" si="53"/>
        <v>0</v>
      </c>
      <c r="AG168" s="436">
        <f t="shared" si="54"/>
        <v>0</v>
      </c>
      <c r="AH168" s="436">
        <f t="shared" si="55"/>
        <v>0</v>
      </c>
      <c r="AI168" s="436">
        <f t="shared" si="56"/>
        <v>0</v>
      </c>
      <c r="AJ168" s="436">
        <f t="shared" si="56"/>
        <v>0</v>
      </c>
      <c r="AK168" s="437">
        <f t="shared" si="57"/>
        <v>0</v>
      </c>
      <c r="AL168" s="437">
        <f t="shared" si="58"/>
        <v>0</v>
      </c>
      <c r="AM168" s="437">
        <f t="shared" si="59"/>
        <v>0</v>
      </c>
      <c r="AN168" s="437">
        <f t="shared" si="48"/>
        <v>0</v>
      </c>
      <c r="AO168" s="437">
        <f t="shared" si="49"/>
        <v>0</v>
      </c>
      <c r="AP168" s="437">
        <f t="shared" si="60"/>
        <v>0</v>
      </c>
      <c r="AQ168" s="437">
        <f t="shared" si="60"/>
        <v>0</v>
      </c>
      <c r="AR168" s="436"/>
      <c r="AS168" s="437">
        <f t="shared" si="61"/>
        <v>0</v>
      </c>
    </row>
    <row r="169" spans="1:45" s="446" customFormat="1" ht="24.95" customHeight="1">
      <c r="A169" s="441"/>
      <c r="B169" s="441"/>
      <c r="C169" s="442" t="s">
        <v>318</v>
      </c>
      <c r="D169" s="443"/>
      <c r="E169" s="441"/>
      <c r="F169" s="441"/>
      <c r="G169" s="444">
        <f>SUM(G161:G168)</f>
        <v>24393</v>
      </c>
      <c r="H169" s="444"/>
      <c r="I169" s="445"/>
      <c r="J169" s="441"/>
      <c r="K169" s="441"/>
      <c r="L169" s="451">
        <f>L162+L164+L166+L168</f>
        <v>3658.95</v>
      </c>
      <c r="M169" s="441"/>
      <c r="N169" s="444">
        <f>SUM(N161:N168)</f>
        <v>28051.95</v>
      </c>
      <c r="O169" s="444">
        <f t="shared" ref="O169:AD169" si="63">SUM(O161:O168)</f>
        <v>1</v>
      </c>
      <c r="P169" s="444">
        <f t="shared" si="63"/>
        <v>1.5</v>
      </c>
      <c r="Q169" s="444"/>
      <c r="R169" s="444"/>
      <c r="S169" s="444"/>
      <c r="T169" s="444"/>
      <c r="U169" s="444">
        <f t="shared" si="63"/>
        <v>0.5</v>
      </c>
      <c r="V169" s="444">
        <f t="shared" si="63"/>
        <v>3789.25</v>
      </c>
      <c r="W169" s="444">
        <f t="shared" si="63"/>
        <v>0</v>
      </c>
      <c r="X169" s="444">
        <f t="shared" si="63"/>
        <v>19636.537499999999</v>
      </c>
      <c r="Y169" s="444">
        <f t="shared" si="63"/>
        <v>30363.462500000001</v>
      </c>
      <c r="Z169" s="444">
        <f t="shared" si="63"/>
        <v>50000</v>
      </c>
      <c r="AA169" s="499">
        <f t="shared" si="63"/>
        <v>50000</v>
      </c>
      <c r="AB169" s="499">
        <f t="shared" si="63"/>
        <v>30363.462500000001</v>
      </c>
      <c r="AC169" s="444">
        <f t="shared" si="63"/>
        <v>16750</v>
      </c>
      <c r="AD169" s="444">
        <f t="shared" si="63"/>
        <v>2886.5375000000004</v>
      </c>
      <c r="AE169" s="436"/>
      <c r="AF169" s="436"/>
      <c r="AG169" s="436"/>
      <c r="AH169" s="436"/>
      <c r="AI169" s="436"/>
      <c r="AJ169" s="436"/>
      <c r="AK169" s="437"/>
      <c r="AL169" s="437"/>
      <c r="AM169" s="437"/>
      <c r="AN169" s="437"/>
      <c r="AO169" s="437"/>
      <c r="AP169" s="437">
        <f t="shared" si="60"/>
        <v>0</v>
      </c>
      <c r="AQ169" s="437">
        <f t="shared" si="60"/>
        <v>0</v>
      </c>
      <c r="AR169" s="436"/>
      <c r="AS169" s="437">
        <f t="shared" si="61"/>
        <v>0</v>
      </c>
    </row>
    <row r="170" spans="1:45" s="446" customFormat="1" ht="24.95" customHeight="1">
      <c r="A170" s="441"/>
      <c r="B170" s="441"/>
      <c r="C170" s="1136" t="s">
        <v>533</v>
      </c>
      <c r="D170" s="1136"/>
      <c r="E170" s="441"/>
      <c r="F170" s="441"/>
      <c r="G170" s="441"/>
      <c r="H170" s="441"/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  <c r="U170" s="441"/>
      <c r="V170" s="441"/>
      <c r="W170" s="441"/>
      <c r="X170" s="441"/>
      <c r="Y170" s="441"/>
      <c r="Z170" s="441"/>
      <c r="AA170" s="503"/>
      <c r="AB170" s="503"/>
      <c r="AC170" s="441"/>
      <c r="AD170" s="441"/>
      <c r="AE170" s="436">
        <f t="shared" si="52"/>
        <v>0</v>
      </c>
      <c r="AF170" s="436">
        <f t="shared" si="53"/>
        <v>0</v>
      </c>
      <c r="AG170" s="436">
        <f t="shared" si="54"/>
        <v>0</v>
      </c>
      <c r="AH170" s="436">
        <f t="shared" si="55"/>
        <v>0</v>
      </c>
      <c r="AI170" s="436">
        <f t="shared" si="56"/>
        <v>0</v>
      </c>
      <c r="AJ170" s="436">
        <f t="shared" si="56"/>
        <v>0</v>
      </c>
      <c r="AK170" s="437">
        <f t="shared" si="57"/>
        <v>0</v>
      </c>
      <c r="AL170" s="437">
        <f t="shared" si="58"/>
        <v>0</v>
      </c>
      <c r="AM170" s="437">
        <f t="shared" si="59"/>
        <v>0</v>
      </c>
      <c r="AN170" s="437">
        <f t="shared" si="48"/>
        <v>0</v>
      </c>
      <c r="AO170" s="437">
        <f t="shared" si="49"/>
        <v>0</v>
      </c>
      <c r="AP170" s="437">
        <f t="shared" si="60"/>
        <v>0</v>
      </c>
      <c r="AQ170" s="437">
        <f t="shared" si="60"/>
        <v>0</v>
      </c>
      <c r="AR170" s="436"/>
      <c r="AS170" s="437">
        <f t="shared" si="61"/>
        <v>0</v>
      </c>
    </row>
    <row r="171" spans="1:45" s="446" customFormat="1" ht="24.95" customHeight="1">
      <c r="A171" s="441"/>
      <c r="B171" s="441"/>
      <c r="C171" s="1136" t="s">
        <v>534</v>
      </c>
      <c r="D171" s="1136"/>
      <c r="E171" s="441"/>
      <c r="F171" s="441"/>
      <c r="G171" s="441"/>
      <c r="H171" s="441"/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  <c r="Y171" s="441"/>
      <c r="Z171" s="441"/>
      <c r="AA171" s="503"/>
      <c r="AB171" s="503"/>
      <c r="AC171" s="441"/>
      <c r="AD171" s="441"/>
      <c r="AE171" s="436">
        <f t="shared" si="52"/>
        <v>0</v>
      </c>
      <c r="AF171" s="436">
        <f t="shared" si="53"/>
        <v>0</v>
      </c>
      <c r="AG171" s="436">
        <f t="shared" si="54"/>
        <v>0</v>
      </c>
      <c r="AH171" s="436">
        <f t="shared" si="55"/>
        <v>0</v>
      </c>
      <c r="AI171" s="436">
        <f t="shared" si="56"/>
        <v>0</v>
      </c>
      <c r="AJ171" s="436">
        <f t="shared" si="56"/>
        <v>0</v>
      </c>
      <c r="AK171" s="437">
        <f t="shared" si="57"/>
        <v>0</v>
      </c>
      <c r="AL171" s="437">
        <f t="shared" si="58"/>
        <v>0</v>
      </c>
      <c r="AM171" s="437">
        <f t="shared" si="59"/>
        <v>0</v>
      </c>
      <c r="AN171" s="437">
        <f t="shared" si="48"/>
        <v>0</v>
      </c>
      <c r="AO171" s="437">
        <f t="shared" si="49"/>
        <v>0</v>
      </c>
      <c r="AP171" s="437">
        <f t="shared" si="60"/>
        <v>0</v>
      </c>
      <c r="AQ171" s="437">
        <f t="shared" si="60"/>
        <v>0</v>
      </c>
      <c r="AR171" s="436"/>
      <c r="AS171" s="437">
        <f t="shared" si="61"/>
        <v>0</v>
      </c>
    </row>
    <row r="172" spans="1:45" s="438" customFormat="1" ht="24.95" customHeight="1">
      <c r="A172" s="1134"/>
      <c r="B172" s="1134"/>
      <c r="C172" s="1139" t="s">
        <v>535</v>
      </c>
      <c r="D172" s="1134" t="s">
        <v>536</v>
      </c>
      <c r="E172" s="1134" t="s">
        <v>537</v>
      </c>
      <c r="F172" s="1134">
        <v>13</v>
      </c>
      <c r="G172" s="1112">
        <v>6769</v>
      </c>
      <c r="H172" s="435">
        <v>0.1</v>
      </c>
      <c r="I172" s="1134"/>
      <c r="J172" s="1134"/>
      <c r="K172" s="1134"/>
      <c r="L172" s="435">
        <v>0.15</v>
      </c>
      <c r="M172" s="1138"/>
      <c r="N172" s="1112">
        <f>G172+H173+I173+L173</f>
        <v>8562.7849999999999</v>
      </c>
      <c r="O172" s="1112">
        <v>1</v>
      </c>
      <c r="P172" s="1134"/>
      <c r="Q172" s="1134"/>
      <c r="R172" s="1134"/>
      <c r="S172" s="1134"/>
      <c r="T172" s="1134">
        <v>34</v>
      </c>
      <c r="U172" s="1138">
        <v>0.3</v>
      </c>
      <c r="V172" s="1112">
        <f>N172*U172</f>
        <v>2568.8354999999997</v>
      </c>
      <c r="W172" s="1112"/>
      <c r="X172" s="1112">
        <f>(N172+R173+V172)*O172</f>
        <v>11131.620499999999</v>
      </c>
      <c r="Y172" s="1112">
        <f>AB172</f>
        <v>8868.3795000000009</v>
      </c>
      <c r="Z172" s="1112">
        <f>X172+Y172</f>
        <v>20000</v>
      </c>
      <c r="AA172" s="1109">
        <f>20000*O172</f>
        <v>20000</v>
      </c>
      <c r="AB172" s="1109">
        <f>AA172-X172</f>
        <v>8868.3795000000009</v>
      </c>
      <c r="AC172" s="1112">
        <f>6700*O172</f>
        <v>6700</v>
      </c>
      <c r="AD172" s="1112">
        <f>X172-AC172</f>
        <v>4431.6204999999991</v>
      </c>
      <c r="AE172" s="436">
        <f t="shared" si="52"/>
        <v>6769</v>
      </c>
      <c r="AF172" s="436">
        <f t="shared" si="53"/>
        <v>0</v>
      </c>
      <c r="AG172" s="436">
        <f t="shared" si="54"/>
        <v>8562.7849999999999</v>
      </c>
      <c r="AH172" s="436">
        <f t="shared" si="55"/>
        <v>0</v>
      </c>
      <c r="AI172" s="436">
        <f t="shared" si="56"/>
        <v>1793.7849999999999</v>
      </c>
      <c r="AJ172" s="436">
        <f t="shared" si="56"/>
        <v>0</v>
      </c>
      <c r="AK172" s="437">
        <f t="shared" si="57"/>
        <v>2568.8354999999997</v>
      </c>
      <c r="AL172" s="437">
        <f t="shared" si="58"/>
        <v>0</v>
      </c>
      <c r="AM172" s="437">
        <f t="shared" si="59"/>
        <v>0</v>
      </c>
      <c r="AN172" s="437">
        <f t="shared" si="48"/>
        <v>0</v>
      </c>
      <c r="AO172" s="437">
        <f t="shared" si="49"/>
        <v>0</v>
      </c>
      <c r="AP172" s="437">
        <f t="shared" si="60"/>
        <v>8562.7849999999999</v>
      </c>
      <c r="AQ172" s="437">
        <f t="shared" si="60"/>
        <v>0</v>
      </c>
      <c r="AR172" s="436"/>
      <c r="AS172" s="437">
        <f t="shared" si="61"/>
        <v>8562.7849999999999</v>
      </c>
    </row>
    <row r="173" spans="1:45" s="438" customFormat="1" ht="24.95" customHeight="1">
      <c r="A173" s="1134"/>
      <c r="B173" s="1134"/>
      <c r="C173" s="1139"/>
      <c r="D173" s="1134"/>
      <c r="E173" s="1134"/>
      <c r="F173" s="1134"/>
      <c r="G173" s="1112"/>
      <c r="H173" s="439">
        <f>G172*H172</f>
        <v>676.90000000000009</v>
      </c>
      <c r="I173" s="1134"/>
      <c r="J173" s="1134"/>
      <c r="K173" s="1134"/>
      <c r="L173" s="439">
        <f>(G172+H173)*L172</f>
        <v>1116.885</v>
      </c>
      <c r="M173" s="1134"/>
      <c r="N173" s="1112"/>
      <c r="O173" s="1165"/>
      <c r="P173" s="1134"/>
      <c r="Q173" s="1134"/>
      <c r="R173" s="1134"/>
      <c r="S173" s="1134"/>
      <c r="T173" s="1134"/>
      <c r="U173" s="1138"/>
      <c r="V173" s="1112"/>
      <c r="W173" s="1112"/>
      <c r="X173" s="1112"/>
      <c r="Y173" s="1112"/>
      <c r="Z173" s="1112"/>
      <c r="AA173" s="1109"/>
      <c r="AB173" s="1109"/>
      <c r="AC173" s="1112"/>
      <c r="AD173" s="1112"/>
      <c r="AE173" s="436">
        <f t="shared" si="52"/>
        <v>0</v>
      </c>
      <c r="AF173" s="436">
        <f t="shared" si="53"/>
        <v>0</v>
      </c>
      <c r="AG173" s="436">
        <f t="shared" si="54"/>
        <v>0</v>
      </c>
      <c r="AH173" s="436">
        <f t="shared" si="55"/>
        <v>0</v>
      </c>
      <c r="AI173" s="436">
        <f t="shared" si="56"/>
        <v>0</v>
      </c>
      <c r="AJ173" s="436">
        <f t="shared" si="56"/>
        <v>0</v>
      </c>
      <c r="AK173" s="437">
        <f t="shared" si="57"/>
        <v>0</v>
      </c>
      <c r="AL173" s="437">
        <f t="shared" si="58"/>
        <v>0</v>
      </c>
      <c r="AM173" s="437">
        <f t="shared" si="59"/>
        <v>0</v>
      </c>
      <c r="AN173" s="437">
        <f t="shared" si="48"/>
        <v>0</v>
      </c>
      <c r="AO173" s="437">
        <f t="shared" si="49"/>
        <v>0</v>
      </c>
      <c r="AP173" s="437">
        <f t="shared" si="60"/>
        <v>0</v>
      </c>
      <c r="AQ173" s="437">
        <f t="shared" si="60"/>
        <v>0</v>
      </c>
      <c r="AR173" s="436"/>
      <c r="AS173" s="437">
        <f t="shared" si="61"/>
        <v>0</v>
      </c>
    </row>
    <row r="174" spans="1:45" s="438" customFormat="1" ht="24.95" customHeight="1">
      <c r="A174" s="1134"/>
      <c r="B174" s="1134"/>
      <c r="C174" s="1139" t="s">
        <v>538</v>
      </c>
      <c r="D174" s="1134" t="s">
        <v>539</v>
      </c>
      <c r="E174" s="1134" t="s">
        <v>540</v>
      </c>
      <c r="F174" s="1134">
        <v>13</v>
      </c>
      <c r="G174" s="1112">
        <v>6769</v>
      </c>
      <c r="H174" s="1134"/>
      <c r="I174" s="1134"/>
      <c r="J174" s="1134"/>
      <c r="K174" s="1134"/>
      <c r="L174" s="435">
        <v>0.15</v>
      </c>
      <c r="M174" s="1138"/>
      <c r="N174" s="1112">
        <f>G174+H175+I175+L175</f>
        <v>7784.35</v>
      </c>
      <c r="O174" s="1112">
        <v>1</v>
      </c>
      <c r="P174" s="1134"/>
      <c r="Q174" s="1134"/>
      <c r="R174" s="1134"/>
      <c r="S174" s="1134"/>
      <c r="T174" s="1134">
        <v>26</v>
      </c>
      <c r="U174" s="1138">
        <v>0.3</v>
      </c>
      <c r="V174" s="1112">
        <f>N174*U174</f>
        <v>2335.3049999999998</v>
      </c>
      <c r="W174" s="1112"/>
      <c r="X174" s="1112">
        <f>(N174+R175+V174)*O174</f>
        <v>10119.655000000001</v>
      </c>
      <c r="Y174" s="1112">
        <f>AB174</f>
        <v>9880.3449999999993</v>
      </c>
      <c r="Z174" s="1112">
        <f>X174+Y174</f>
        <v>20000</v>
      </c>
      <c r="AA174" s="1109">
        <f>20000*O174</f>
        <v>20000</v>
      </c>
      <c r="AB174" s="1109">
        <f>AA174-X174</f>
        <v>9880.3449999999993</v>
      </c>
      <c r="AC174" s="1112">
        <f>6700*O174</f>
        <v>6700</v>
      </c>
      <c r="AD174" s="1112">
        <f>X174-AC174</f>
        <v>3419.6550000000007</v>
      </c>
      <c r="AE174" s="436">
        <f t="shared" si="52"/>
        <v>6769</v>
      </c>
      <c r="AF174" s="436">
        <f t="shared" si="53"/>
        <v>0</v>
      </c>
      <c r="AG174" s="436">
        <f t="shared" si="54"/>
        <v>7784.35</v>
      </c>
      <c r="AH174" s="436">
        <f t="shared" si="55"/>
        <v>0</v>
      </c>
      <c r="AI174" s="436">
        <f t="shared" si="56"/>
        <v>1015.3500000000004</v>
      </c>
      <c r="AJ174" s="436">
        <f t="shared" si="56"/>
        <v>0</v>
      </c>
      <c r="AK174" s="437">
        <f t="shared" si="57"/>
        <v>2335.3049999999998</v>
      </c>
      <c r="AL174" s="437">
        <f t="shared" si="58"/>
        <v>0</v>
      </c>
      <c r="AM174" s="437">
        <f t="shared" si="59"/>
        <v>0</v>
      </c>
      <c r="AN174" s="437">
        <f t="shared" si="48"/>
        <v>0</v>
      </c>
      <c r="AO174" s="437">
        <f t="shared" si="49"/>
        <v>0</v>
      </c>
      <c r="AP174" s="437">
        <f t="shared" si="60"/>
        <v>7784.35</v>
      </c>
      <c r="AQ174" s="437">
        <f t="shared" si="60"/>
        <v>0</v>
      </c>
      <c r="AR174" s="436"/>
      <c r="AS174" s="437">
        <f t="shared" si="61"/>
        <v>7784.35</v>
      </c>
    </row>
    <row r="175" spans="1:45" s="438" customFormat="1" ht="24.95" customHeight="1">
      <c r="A175" s="1134"/>
      <c r="B175" s="1134"/>
      <c r="C175" s="1139"/>
      <c r="D175" s="1134"/>
      <c r="E175" s="1134"/>
      <c r="F175" s="1134"/>
      <c r="G175" s="1134"/>
      <c r="H175" s="1134"/>
      <c r="I175" s="1134"/>
      <c r="J175" s="1134"/>
      <c r="K175" s="1134"/>
      <c r="L175" s="452">
        <f>(G174+H175+I175)*L174</f>
        <v>1015.3499999999999</v>
      </c>
      <c r="M175" s="1134"/>
      <c r="N175" s="1112"/>
      <c r="O175" s="1134"/>
      <c r="P175" s="1134"/>
      <c r="Q175" s="1134"/>
      <c r="R175" s="1134"/>
      <c r="S175" s="1134"/>
      <c r="T175" s="1134"/>
      <c r="U175" s="1138"/>
      <c r="V175" s="1112"/>
      <c r="W175" s="1112"/>
      <c r="X175" s="1112"/>
      <c r="Y175" s="1112"/>
      <c r="Z175" s="1112"/>
      <c r="AA175" s="1109"/>
      <c r="AB175" s="1109"/>
      <c r="AC175" s="1112"/>
      <c r="AD175" s="1112"/>
      <c r="AE175" s="436">
        <f t="shared" si="52"/>
        <v>0</v>
      </c>
      <c r="AF175" s="436">
        <f t="shared" si="53"/>
        <v>0</v>
      </c>
      <c r="AG175" s="436">
        <f t="shared" si="54"/>
        <v>0</v>
      </c>
      <c r="AH175" s="436">
        <f t="shared" si="55"/>
        <v>0</v>
      </c>
      <c r="AI175" s="436">
        <f t="shared" si="56"/>
        <v>0</v>
      </c>
      <c r="AJ175" s="436">
        <f t="shared" si="56"/>
        <v>0</v>
      </c>
      <c r="AK175" s="437">
        <f t="shared" si="57"/>
        <v>0</v>
      </c>
      <c r="AL175" s="437">
        <f t="shared" si="58"/>
        <v>0</v>
      </c>
      <c r="AM175" s="437">
        <f t="shared" si="59"/>
        <v>0</v>
      </c>
      <c r="AN175" s="437">
        <f t="shared" si="48"/>
        <v>0</v>
      </c>
      <c r="AO175" s="437">
        <f t="shared" si="49"/>
        <v>0</v>
      </c>
      <c r="AP175" s="437">
        <f t="shared" si="60"/>
        <v>0</v>
      </c>
      <c r="AQ175" s="437">
        <f t="shared" si="60"/>
        <v>0</v>
      </c>
      <c r="AR175" s="436"/>
      <c r="AS175" s="437">
        <f t="shared" si="61"/>
        <v>0</v>
      </c>
    </row>
    <row r="176" spans="1:45" s="446" customFormat="1" ht="24.95" customHeight="1">
      <c r="A176" s="441"/>
      <c r="B176" s="441"/>
      <c r="C176" s="442" t="s">
        <v>318</v>
      </c>
      <c r="D176" s="443"/>
      <c r="E176" s="441"/>
      <c r="F176" s="441"/>
      <c r="G176" s="444">
        <f>SUM(G172:G175)</f>
        <v>13538</v>
      </c>
      <c r="H176" s="444">
        <f>H173</f>
        <v>676.90000000000009</v>
      </c>
      <c r="I176" s="441"/>
      <c r="J176" s="441"/>
      <c r="K176" s="441"/>
      <c r="L176" s="444">
        <f>L173+L175</f>
        <v>2132.2349999999997</v>
      </c>
      <c r="M176" s="441"/>
      <c r="N176" s="444">
        <f>SUM(N172:N175)</f>
        <v>16347.135</v>
      </c>
      <c r="O176" s="444">
        <f>SUM(O172:O175)</f>
        <v>2</v>
      </c>
      <c r="P176" s="444">
        <f>SUM(P172:P175)</f>
        <v>0</v>
      </c>
      <c r="Q176" s="444"/>
      <c r="R176" s="444"/>
      <c r="S176" s="444"/>
      <c r="T176" s="444"/>
      <c r="U176" s="444"/>
      <c r="V176" s="444">
        <f t="shared" ref="V176:AD176" si="64">SUM(V172:V175)</f>
        <v>4904.1404999999995</v>
      </c>
      <c r="W176" s="444">
        <f t="shared" si="64"/>
        <v>0</v>
      </c>
      <c r="X176" s="444">
        <f t="shared" si="64"/>
        <v>21251.2755</v>
      </c>
      <c r="Y176" s="444">
        <f t="shared" si="64"/>
        <v>18748.7245</v>
      </c>
      <c r="Z176" s="444">
        <f t="shared" si="64"/>
        <v>40000</v>
      </c>
      <c r="AA176" s="499">
        <f t="shared" si="64"/>
        <v>40000</v>
      </c>
      <c r="AB176" s="499">
        <f t="shared" si="64"/>
        <v>18748.7245</v>
      </c>
      <c r="AC176" s="444">
        <f t="shared" si="64"/>
        <v>13400</v>
      </c>
      <c r="AD176" s="444">
        <f t="shared" si="64"/>
        <v>7851.2754999999997</v>
      </c>
      <c r="AE176" s="436"/>
      <c r="AF176" s="436"/>
      <c r="AG176" s="436"/>
      <c r="AH176" s="436"/>
      <c r="AI176" s="436"/>
      <c r="AJ176" s="436"/>
      <c r="AK176" s="437"/>
      <c r="AL176" s="437"/>
      <c r="AM176" s="437"/>
      <c r="AN176" s="437"/>
      <c r="AO176" s="437"/>
      <c r="AP176" s="437">
        <f t="shared" si="60"/>
        <v>0</v>
      </c>
      <c r="AQ176" s="437">
        <f t="shared" si="60"/>
        <v>0</v>
      </c>
      <c r="AR176" s="436"/>
      <c r="AS176" s="437">
        <f t="shared" si="61"/>
        <v>0</v>
      </c>
    </row>
    <row r="177" spans="1:45" s="446" customFormat="1" ht="24.95" customHeight="1">
      <c r="A177" s="441"/>
      <c r="B177" s="441"/>
      <c r="C177" s="1136" t="s">
        <v>541</v>
      </c>
      <c r="D177" s="1136"/>
      <c r="E177" s="441"/>
      <c r="F177" s="441"/>
      <c r="G177" s="441"/>
      <c r="H177" s="441"/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  <c r="Y177" s="441"/>
      <c r="Z177" s="441"/>
      <c r="AA177" s="503"/>
      <c r="AB177" s="503"/>
      <c r="AC177" s="441"/>
      <c r="AD177" s="441"/>
      <c r="AE177" s="436">
        <f t="shared" si="52"/>
        <v>0</v>
      </c>
      <c r="AF177" s="436">
        <f t="shared" si="53"/>
        <v>0</v>
      </c>
      <c r="AG177" s="436">
        <f t="shared" si="54"/>
        <v>0</v>
      </c>
      <c r="AH177" s="436">
        <f t="shared" si="55"/>
        <v>0</v>
      </c>
      <c r="AI177" s="436">
        <f t="shared" si="56"/>
        <v>0</v>
      </c>
      <c r="AJ177" s="436">
        <f t="shared" si="56"/>
        <v>0</v>
      </c>
      <c r="AK177" s="437">
        <f t="shared" si="57"/>
        <v>0</v>
      </c>
      <c r="AL177" s="437">
        <f t="shared" si="58"/>
        <v>0</v>
      </c>
      <c r="AM177" s="437">
        <f t="shared" si="59"/>
        <v>0</v>
      </c>
      <c r="AN177" s="437">
        <f t="shared" si="48"/>
        <v>0</v>
      </c>
      <c r="AO177" s="437">
        <f t="shared" si="49"/>
        <v>0</v>
      </c>
      <c r="AP177" s="437">
        <f t="shared" si="60"/>
        <v>0</v>
      </c>
      <c r="AQ177" s="437">
        <f t="shared" si="60"/>
        <v>0</v>
      </c>
      <c r="AR177" s="436"/>
      <c r="AS177" s="437">
        <f t="shared" si="61"/>
        <v>0</v>
      </c>
    </row>
    <row r="178" spans="1:45" s="438" customFormat="1" ht="24.95" customHeight="1">
      <c r="A178" s="1134"/>
      <c r="B178" s="1134"/>
      <c r="C178" s="1139" t="s">
        <v>542</v>
      </c>
      <c r="D178" s="1134" t="s">
        <v>543</v>
      </c>
      <c r="E178" s="1134" t="s">
        <v>544</v>
      </c>
      <c r="F178" s="1134">
        <v>12</v>
      </c>
      <c r="G178" s="1112">
        <v>6322</v>
      </c>
      <c r="H178" s="1134"/>
      <c r="I178" s="1134"/>
      <c r="J178" s="1134"/>
      <c r="K178" s="1134"/>
      <c r="L178" s="435">
        <v>0.15</v>
      </c>
      <c r="M178" s="1138"/>
      <c r="N178" s="1112">
        <f>G178+H179+I179+L179</f>
        <v>7270.3</v>
      </c>
      <c r="O178" s="1112"/>
      <c r="P178" s="1112">
        <v>0.5</v>
      </c>
      <c r="Q178" s="1134"/>
      <c r="R178" s="1134"/>
      <c r="S178" s="1134"/>
      <c r="T178" s="1134">
        <v>12</v>
      </c>
      <c r="U178" s="1138">
        <v>0.2</v>
      </c>
      <c r="V178" s="1112">
        <f>N178*U178</f>
        <v>1454.0600000000002</v>
      </c>
      <c r="W178" s="1112"/>
      <c r="X178" s="1112">
        <f>(N178+R179+V178)*P178</f>
        <v>4362.18</v>
      </c>
      <c r="Y178" s="1113">
        <f>AB178</f>
        <v>5637.82</v>
      </c>
      <c r="Z178" s="1113">
        <f>X178+Y178</f>
        <v>10000</v>
      </c>
      <c r="AA178" s="1110">
        <f>20000*P178</f>
        <v>10000</v>
      </c>
      <c r="AB178" s="1110">
        <f>AA178-X178</f>
        <v>5637.82</v>
      </c>
      <c r="AC178" s="1112">
        <f>6700*P178</f>
        <v>3350</v>
      </c>
      <c r="AD178" s="1112">
        <f>X178-AC178</f>
        <v>1012.1800000000003</v>
      </c>
      <c r="AE178" s="436">
        <f t="shared" si="52"/>
        <v>0</v>
      </c>
      <c r="AF178" s="436">
        <f t="shared" si="53"/>
        <v>3161</v>
      </c>
      <c r="AG178" s="436">
        <f t="shared" si="54"/>
        <v>0</v>
      </c>
      <c r="AH178" s="436">
        <f t="shared" si="55"/>
        <v>3635.15</v>
      </c>
      <c r="AI178" s="436">
        <f t="shared" si="56"/>
        <v>0</v>
      </c>
      <c r="AJ178" s="436">
        <f t="shared" si="56"/>
        <v>474.15000000000009</v>
      </c>
      <c r="AK178" s="437">
        <f t="shared" si="57"/>
        <v>0</v>
      </c>
      <c r="AL178" s="437">
        <f t="shared" si="58"/>
        <v>727.03000000000009</v>
      </c>
      <c r="AM178" s="437">
        <f t="shared" si="59"/>
        <v>0</v>
      </c>
      <c r="AN178" s="437">
        <f t="shared" si="48"/>
        <v>0</v>
      </c>
      <c r="AO178" s="437">
        <f t="shared" si="49"/>
        <v>0</v>
      </c>
      <c r="AP178" s="437">
        <f t="shared" si="60"/>
        <v>0</v>
      </c>
      <c r="AQ178" s="437">
        <f t="shared" si="60"/>
        <v>3635.15</v>
      </c>
      <c r="AR178" s="436"/>
      <c r="AS178" s="437">
        <f t="shared" si="61"/>
        <v>3635.15</v>
      </c>
    </row>
    <row r="179" spans="1:45" s="438" customFormat="1" ht="24.95" customHeight="1">
      <c r="A179" s="1134"/>
      <c r="B179" s="1134"/>
      <c r="C179" s="1139"/>
      <c r="D179" s="1134"/>
      <c r="E179" s="1134"/>
      <c r="F179" s="1134"/>
      <c r="G179" s="1134"/>
      <c r="H179" s="1134"/>
      <c r="I179" s="1134"/>
      <c r="J179" s="1134"/>
      <c r="K179" s="1134"/>
      <c r="L179" s="449">
        <f>G178*L178</f>
        <v>948.3</v>
      </c>
      <c r="M179" s="1134"/>
      <c r="N179" s="1112"/>
      <c r="O179" s="1112"/>
      <c r="P179" s="1112"/>
      <c r="Q179" s="1134"/>
      <c r="R179" s="1134"/>
      <c r="S179" s="1134"/>
      <c r="T179" s="1134"/>
      <c r="U179" s="1138"/>
      <c r="V179" s="1112"/>
      <c r="W179" s="1112"/>
      <c r="X179" s="1112"/>
      <c r="Y179" s="1114"/>
      <c r="Z179" s="1114"/>
      <c r="AA179" s="1111"/>
      <c r="AB179" s="1111"/>
      <c r="AC179" s="1112"/>
      <c r="AD179" s="1112"/>
      <c r="AE179" s="436">
        <f t="shared" si="52"/>
        <v>0</v>
      </c>
      <c r="AF179" s="436">
        <f t="shared" si="53"/>
        <v>0</v>
      </c>
      <c r="AG179" s="436">
        <f t="shared" si="54"/>
        <v>0</v>
      </c>
      <c r="AH179" s="436">
        <f t="shared" si="55"/>
        <v>0</v>
      </c>
      <c r="AI179" s="436">
        <f t="shared" si="56"/>
        <v>0</v>
      </c>
      <c r="AJ179" s="436">
        <f t="shared" si="56"/>
        <v>0</v>
      </c>
      <c r="AK179" s="437">
        <f t="shared" si="57"/>
        <v>0</v>
      </c>
      <c r="AL179" s="437">
        <f t="shared" si="58"/>
        <v>0</v>
      </c>
      <c r="AM179" s="437">
        <f t="shared" si="59"/>
        <v>0</v>
      </c>
      <c r="AN179" s="437">
        <f t="shared" si="48"/>
        <v>0</v>
      </c>
      <c r="AO179" s="437">
        <f t="shared" si="49"/>
        <v>0</v>
      </c>
      <c r="AP179" s="437">
        <f t="shared" si="60"/>
        <v>0</v>
      </c>
      <c r="AQ179" s="437">
        <f t="shared" si="60"/>
        <v>0</v>
      </c>
      <c r="AR179" s="436"/>
      <c r="AS179" s="437">
        <f t="shared" si="61"/>
        <v>0</v>
      </c>
    </row>
    <row r="180" spans="1:45" s="446" customFormat="1" ht="24.95" customHeight="1">
      <c r="A180" s="441"/>
      <c r="B180" s="441"/>
      <c r="C180" s="442" t="s">
        <v>318</v>
      </c>
      <c r="D180" s="443"/>
      <c r="E180" s="441"/>
      <c r="F180" s="441"/>
      <c r="G180" s="444">
        <f>SUM(G178:G179)</f>
        <v>6322</v>
      </c>
      <c r="H180" s="444"/>
      <c r="I180" s="444"/>
      <c r="J180" s="444"/>
      <c r="K180" s="444"/>
      <c r="L180" s="444">
        <f>SUM(L178:L179)</f>
        <v>948.44999999999993</v>
      </c>
      <c r="M180" s="444"/>
      <c r="N180" s="444">
        <f>SUM(N178:N179)</f>
        <v>7270.3</v>
      </c>
      <c r="O180" s="444">
        <f>SUM(O178:O179)</f>
        <v>0</v>
      </c>
      <c r="P180" s="444">
        <f>SUM(P178:P179)</f>
        <v>0.5</v>
      </c>
      <c r="Q180" s="444"/>
      <c r="R180" s="444"/>
      <c r="S180" s="444"/>
      <c r="T180" s="444"/>
      <c r="U180" s="444"/>
      <c r="V180" s="444">
        <f t="shared" ref="V180:AD180" si="65">SUM(V178:V179)</f>
        <v>1454.0600000000002</v>
      </c>
      <c r="W180" s="444">
        <f t="shared" si="65"/>
        <v>0</v>
      </c>
      <c r="X180" s="444">
        <f t="shared" si="65"/>
        <v>4362.18</v>
      </c>
      <c r="Y180" s="444">
        <f t="shared" si="65"/>
        <v>5637.82</v>
      </c>
      <c r="Z180" s="444">
        <f t="shared" si="65"/>
        <v>10000</v>
      </c>
      <c r="AA180" s="499">
        <f t="shared" si="65"/>
        <v>10000</v>
      </c>
      <c r="AB180" s="499">
        <f t="shared" si="65"/>
        <v>5637.82</v>
      </c>
      <c r="AC180" s="444">
        <f t="shared" si="65"/>
        <v>3350</v>
      </c>
      <c r="AD180" s="444">
        <f t="shared" si="65"/>
        <v>1012.1800000000003</v>
      </c>
      <c r="AE180" s="436"/>
      <c r="AF180" s="436"/>
      <c r="AG180" s="436"/>
      <c r="AH180" s="436"/>
      <c r="AI180" s="436"/>
      <c r="AJ180" s="436"/>
      <c r="AK180" s="437"/>
      <c r="AL180" s="437"/>
      <c r="AM180" s="437"/>
      <c r="AN180" s="437"/>
      <c r="AO180" s="437"/>
      <c r="AP180" s="437">
        <f t="shared" si="60"/>
        <v>0</v>
      </c>
      <c r="AQ180" s="437">
        <f t="shared" si="60"/>
        <v>0</v>
      </c>
      <c r="AR180" s="436"/>
      <c r="AS180" s="437">
        <f t="shared" si="61"/>
        <v>0</v>
      </c>
    </row>
    <row r="181" spans="1:45" s="446" customFormat="1" ht="24.95" customHeight="1">
      <c r="A181" s="441"/>
      <c r="B181" s="441"/>
      <c r="C181" s="1136" t="s">
        <v>545</v>
      </c>
      <c r="D181" s="1136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503"/>
      <c r="AB181" s="503"/>
      <c r="AC181" s="441"/>
      <c r="AD181" s="441"/>
      <c r="AE181" s="436">
        <f t="shared" si="52"/>
        <v>0</v>
      </c>
      <c r="AF181" s="436">
        <f t="shared" si="53"/>
        <v>0</v>
      </c>
      <c r="AG181" s="436">
        <f t="shared" si="54"/>
        <v>0</v>
      </c>
      <c r="AH181" s="436">
        <f t="shared" si="55"/>
        <v>0</v>
      </c>
      <c r="AI181" s="436">
        <f t="shared" si="56"/>
        <v>0</v>
      </c>
      <c r="AJ181" s="436">
        <f t="shared" si="56"/>
        <v>0</v>
      </c>
      <c r="AK181" s="437">
        <f t="shared" si="57"/>
        <v>0</v>
      </c>
      <c r="AL181" s="437">
        <f t="shared" si="58"/>
        <v>0</v>
      </c>
      <c r="AM181" s="437">
        <f t="shared" si="59"/>
        <v>0</v>
      </c>
      <c r="AN181" s="437">
        <f t="shared" si="48"/>
        <v>0</v>
      </c>
      <c r="AO181" s="437">
        <f t="shared" si="49"/>
        <v>0</v>
      </c>
      <c r="AP181" s="437">
        <f t="shared" si="60"/>
        <v>0</v>
      </c>
      <c r="AQ181" s="437">
        <f t="shared" si="60"/>
        <v>0</v>
      </c>
      <c r="AR181" s="436"/>
      <c r="AS181" s="437">
        <f t="shared" si="61"/>
        <v>0</v>
      </c>
    </row>
    <row r="182" spans="1:45" s="438" customFormat="1" ht="24.95" customHeight="1">
      <c r="A182" s="1134"/>
      <c r="B182" s="1134"/>
      <c r="C182" s="1139" t="s">
        <v>546</v>
      </c>
      <c r="D182" s="1134" t="s">
        <v>1041</v>
      </c>
      <c r="E182" s="1134" t="s">
        <v>547</v>
      </c>
      <c r="F182" s="1134">
        <v>13</v>
      </c>
      <c r="G182" s="1112">
        <v>6769</v>
      </c>
      <c r="H182" s="435">
        <v>0.1</v>
      </c>
      <c r="I182" s="1134"/>
      <c r="J182" s="1134"/>
      <c r="K182" s="1134"/>
      <c r="L182" s="435">
        <v>0.15</v>
      </c>
      <c r="M182" s="1138"/>
      <c r="N182" s="1112">
        <f>G182+H183+I183+L183</f>
        <v>8562.7849999999999</v>
      </c>
      <c r="O182" s="1112">
        <v>1</v>
      </c>
      <c r="P182" s="1134"/>
      <c r="Q182" s="1134"/>
      <c r="R182" s="1134"/>
      <c r="S182" s="1134"/>
      <c r="T182" s="1134">
        <v>31</v>
      </c>
      <c r="U182" s="1138">
        <v>0.3</v>
      </c>
      <c r="V182" s="1112">
        <f>N182*U182</f>
        <v>2568.8354999999997</v>
      </c>
      <c r="W182" s="1112"/>
      <c r="X182" s="1112">
        <f>(N182+R183+V182)*O182</f>
        <v>11131.620499999999</v>
      </c>
      <c r="Y182" s="1112">
        <f>AB182</f>
        <v>8868.3795000000009</v>
      </c>
      <c r="Z182" s="1112">
        <f>X182+Y182</f>
        <v>20000</v>
      </c>
      <c r="AA182" s="1109">
        <f>20000*O182</f>
        <v>20000</v>
      </c>
      <c r="AB182" s="1109">
        <f>AA182-X182</f>
        <v>8868.3795000000009</v>
      </c>
      <c r="AC182" s="1112">
        <f>6700*O182</f>
        <v>6700</v>
      </c>
      <c r="AD182" s="1112">
        <f>X182-AC182</f>
        <v>4431.6204999999991</v>
      </c>
      <c r="AE182" s="436">
        <f t="shared" si="52"/>
        <v>6769</v>
      </c>
      <c r="AF182" s="436">
        <f t="shared" si="53"/>
        <v>0</v>
      </c>
      <c r="AG182" s="436">
        <f t="shared" si="54"/>
        <v>8562.7849999999999</v>
      </c>
      <c r="AH182" s="436">
        <f t="shared" si="55"/>
        <v>0</v>
      </c>
      <c r="AI182" s="436">
        <f t="shared" si="56"/>
        <v>1793.7849999999999</v>
      </c>
      <c r="AJ182" s="436">
        <f t="shared" si="56"/>
        <v>0</v>
      </c>
      <c r="AK182" s="437">
        <f t="shared" si="57"/>
        <v>2568.8354999999997</v>
      </c>
      <c r="AL182" s="437">
        <f t="shared" si="58"/>
        <v>0</v>
      </c>
      <c r="AM182" s="437">
        <f t="shared" si="59"/>
        <v>0</v>
      </c>
      <c r="AN182" s="437">
        <f t="shared" si="48"/>
        <v>0</v>
      </c>
      <c r="AO182" s="437">
        <f t="shared" si="49"/>
        <v>0</v>
      </c>
      <c r="AP182" s="437">
        <f t="shared" si="60"/>
        <v>8562.7849999999999</v>
      </c>
      <c r="AQ182" s="437">
        <f t="shared" si="60"/>
        <v>0</v>
      </c>
      <c r="AR182" s="436"/>
      <c r="AS182" s="437">
        <f t="shared" si="61"/>
        <v>8562.7849999999999</v>
      </c>
    </row>
    <row r="183" spans="1:45" s="438" customFormat="1" ht="24.95" customHeight="1">
      <c r="A183" s="1134"/>
      <c r="B183" s="1134"/>
      <c r="C183" s="1139"/>
      <c r="D183" s="1134"/>
      <c r="E183" s="1134"/>
      <c r="F183" s="1134"/>
      <c r="G183" s="1112"/>
      <c r="H183" s="439">
        <f>G182*H182</f>
        <v>676.90000000000009</v>
      </c>
      <c r="I183" s="1134"/>
      <c r="J183" s="1134"/>
      <c r="K183" s="1134"/>
      <c r="L183" s="439">
        <f>(G182+H183)*L182</f>
        <v>1116.885</v>
      </c>
      <c r="M183" s="1134"/>
      <c r="N183" s="1112"/>
      <c r="O183" s="1165"/>
      <c r="P183" s="1134"/>
      <c r="Q183" s="1134"/>
      <c r="R183" s="1134"/>
      <c r="S183" s="1134"/>
      <c r="T183" s="1134"/>
      <c r="U183" s="1138"/>
      <c r="V183" s="1112"/>
      <c r="W183" s="1112"/>
      <c r="X183" s="1112"/>
      <c r="Y183" s="1112"/>
      <c r="Z183" s="1112"/>
      <c r="AA183" s="1109"/>
      <c r="AB183" s="1109"/>
      <c r="AC183" s="1112"/>
      <c r="AD183" s="1112"/>
      <c r="AE183" s="436">
        <f t="shared" si="52"/>
        <v>0</v>
      </c>
      <c r="AF183" s="436">
        <f t="shared" si="53"/>
        <v>0</v>
      </c>
      <c r="AG183" s="436">
        <f t="shared" si="54"/>
        <v>0</v>
      </c>
      <c r="AH183" s="436">
        <f t="shared" si="55"/>
        <v>0</v>
      </c>
      <c r="AI183" s="436">
        <f t="shared" si="56"/>
        <v>0</v>
      </c>
      <c r="AJ183" s="436">
        <f t="shared" si="56"/>
        <v>0</v>
      </c>
      <c r="AK183" s="437">
        <f t="shared" si="57"/>
        <v>0</v>
      </c>
      <c r="AL183" s="437">
        <f t="shared" si="58"/>
        <v>0</v>
      </c>
      <c r="AM183" s="437">
        <f t="shared" si="59"/>
        <v>0</v>
      </c>
      <c r="AN183" s="437">
        <f t="shared" si="48"/>
        <v>0</v>
      </c>
      <c r="AO183" s="437">
        <f t="shared" si="49"/>
        <v>0</v>
      </c>
      <c r="AP183" s="437">
        <f t="shared" si="60"/>
        <v>0</v>
      </c>
      <c r="AQ183" s="437">
        <f t="shared" si="60"/>
        <v>0</v>
      </c>
      <c r="AR183" s="436"/>
      <c r="AS183" s="437">
        <f t="shared" si="61"/>
        <v>0</v>
      </c>
    </row>
    <row r="184" spans="1:45" s="446" customFormat="1" ht="24.95" customHeight="1">
      <c r="A184" s="441"/>
      <c r="B184" s="441"/>
      <c r="C184" s="442" t="s">
        <v>318</v>
      </c>
      <c r="D184" s="443"/>
      <c r="E184" s="441"/>
      <c r="F184" s="441"/>
      <c r="G184" s="444">
        <f>SUM(G182)</f>
        <v>6769</v>
      </c>
      <c r="H184" s="444">
        <f>H183</f>
        <v>676.90000000000009</v>
      </c>
      <c r="I184" s="441"/>
      <c r="J184" s="441"/>
      <c r="K184" s="441"/>
      <c r="L184" s="444">
        <f>L183</f>
        <v>1116.885</v>
      </c>
      <c r="M184" s="441"/>
      <c r="N184" s="444">
        <f>SUM(N182)</f>
        <v>8562.7849999999999</v>
      </c>
      <c r="O184" s="444">
        <f>SUM(O182)</f>
        <v>1</v>
      </c>
      <c r="P184" s="444">
        <f>SUM(P182)</f>
        <v>0</v>
      </c>
      <c r="Q184" s="444"/>
      <c r="R184" s="444"/>
      <c r="S184" s="444"/>
      <c r="T184" s="444"/>
      <c r="U184" s="444"/>
      <c r="V184" s="444">
        <f t="shared" ref="V184:AD184" si="66">SUM(V182)</f>
        <v>2568.8354999999997</v>
      </c>
      <c r="W184" s="444">
        <f t="shared" si="66"/>
        <v>0</v>
      </c>
      <c r="X184" s="444">
        <f t="shared" si="66"/>
        <v>11131.620499999999</v>
      </c>
      <c r="Y184" s="444">
        <f t="shared" si="66"/>
        <v>8868.3795000000009</v>
      </c>
      <c r="Z184" s="444">
        <f t="shared" si="66"/>
        <v>20000</v>
      </c>
      <c r="AA184" s="499">
        <f t="shared" si="66"/>
        <v>20000</v>
      </c>
      <c r="AB184" s="499">
        <f t="shared" si="66"/>
        <v>8868.3795000000009</v>
      </c>
      <c r="AC184" s="444">
        <f t="shared" si="66"/>
        <v>6700</v>
      </c>
      <c r="AD184" s="444">
        <f t="shared" si="66"/>
        <v>4431.6204999999991</v>
      </c>
      <c r="AE184" s="436"/>
      <c r="AF184" s="436"/>
      <c r="AG184" s="436"/>
      <c r="AH184" s="436"/>
      <c r="AI184" s="436"/>
      <c r="AJ184" s="436"/>
      <c r="AK184" s="437"/>
      <c r="AL184" s="437"/>
      <c r="AM184" s="437"/>
      <c r="AN184" s="437"/>
      <c r="AO184" s="437"/>
      <c r="AP184" s="437">
        <f t="shared" si="60"/>
        <v>0</v>
      </c>
      <c r="AQ184" s="437">
        <f t="shared" si="60"/>
        <v>0</v>
      </c>
      <c r="AR184" s="436"/>
      <c r="AS184" s="437">
        <f t="shared" si="61"/>
        <v>0</v>
      </c>
    </row>
    <row r="185" spans="1:45" s="446" customFormat="1" ht="24.95" customHeight="1">
      <c r="A185" s="441"/>
      <c r="B185" s="441"/>
      <c r="C185" s="1136" t="s">
        <v>548</v>
      </c>
      <c r="D185" s="1136"/>
      <c r="E185" s="441"/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503"/>
      <c r="AB185" s="503"/>
      <c r="AC185" s="441"/>
      <c r="AD185" s="441"/>
      <c r="AE185" s="436">
        <f t="shared" si="52"/>
        <v>0</v>
      </c>
      <c r="AF185" s="436">
        <f t="shared" si="53"/>
        <v>0</v>
      </c>
      <c r="AG185" s="436">
        <f t="shared" si="54"/>
        <v>0</v>
      </c>
      <c r="AH185" s="436">
        <f t="shared" si="55"/>
        <v>0</v>
      </c>
      <c r="AI185" s="436">
        <f t="shared" si="56"/>
        <v>0</v>
      </c>
      <c r="AJ185" s="436">
        <f t="shared" si="56"/>
        <v>0</v>
      </c>
      <c r="AK185" s="437">
        <f t="shared" si="57"/>
        <v>0</v>
      </c>
      <c r="AL185" s="437">
        <f t="shared" si="58"/>
        <v>0</v>
      </c>
      <c r="AM185" s="437">
        <f t="shared" si="59"/>
        <v>0</v>
      </c>
      <c r="AN185" s="437">
        <f t="shared" si="48"/>
        <v>0</v>
      </c>
      <c r="AO185" s="437">
        <f t="shared" si="49"/>
        <v>0</v>
      </c>
      <c r="AP185" s="437">
        <f t="shared" si="60"/>
        <v>0</v>
      </c>
      <c r="AQ185" s="437">
        <f t="shared" si="60"/>
        <v>0</v>
      </c>
      <c r="AR185" s="436"/>
      <c r="AS185" s="437">
        <f t="shared" si="61"/>
        <v>0</v>
      </c>
    </row>
    <row r="186" spans="1:45" s="446" customFormat="1" ht="24.95" customHeight="1">
      <c r="A186" s="1134"/>
      <c r="B186" s="1134"/>
      <c r="C186" s="1139"/>
      <c r="D186" s="1134"/>
      <c r="E186" s="1134"/>
      <c r="F186" s="1134"/>
      <c r="G186" s="1112"/>
      <c r="H186" s="1112"/>
      <c r="I186" s="1112"/>
      <c r="J186" s="1112"/>
      <c r="K186" s="1112"/>
      <c r="L186" s="1112"/>
      <c r="M186" s="1112"/>
      <c r="N186" s="1112"/>
      <c r="O186" s="1112"/>
      <c r="P186" s="1112"/>
      <c r="Q186" s="1112"/>
      <c r="R186" s="1112"/>
      <c r="S186" s="1112"/>
      <c r="T186" s="1134"/>
      <c r="U186" s="1138"/>
      <c r="V186" s="1112"/>
      <c r="W186" s="1112"/>
      <c r="X186" s="1112"/>
      <c r="Y186" s="1112"/>
      <c r="Z186" s="1112"/>
      <c r="AA186" s="1109"/>
      <c r="AB186" s="1109"/>
      <c r="AC186" s="1112"/>
      <c r="AD186" s="1112"/>
      <c r="AE186" s="453"/>
      <c r="AF186" s="453"/>
      <c r="AG186" s="453"/>
      <c r="AH186" s="453"/>
      <c r="AI186" s="453"/>
      <c r="AJ186" s="453"/>
      <c r="AK186" s="454"/>
      <c r="AL186" s="454"/>
      <c r="AM186" s="454"/>
      <c r="AN186" s="454"/>
      <c r="AO186" s="454"/>
      <c r="AP186" s="454"/>
      <c r="AQ186" s="454"/>
      <c r="AR186" s="453"/>
      <c r="AS186" s="454"/>
    </row>
    <row r="187" spans="1:45" s="438" customFormat="1" ht="24.95" customHeight="1">
      <c r="A187" s="1134"/>
      <c r="B187" s="1134"/>
      <c r="C187" s="1139"/>
      <c r="D187" s="1134"/>
      <c r="E187" s="1134"/>
      <c r="F187" s="1134"/>
      <c r="G187" s="1112"/>
      <c r="H187" s="1112"/>
      <c r="I187" s="1112"/>
      <c r="J187" s="1112"/>
      <c r="K187" s="1112"/>
      <c r="L187" s="1112"/>
      <c r="M187" s="1112"/>
      <c r="N187" s="1112"/>
      <c r="O187" s="1112"/>
      <c r="P187" s="1112"/>
      <c r="Q187" s="1112"/>
      <c r="R187" s="1112"/>
      <c r="S187" s="1112"/>
      <c r="T187" s="1134"/>
      <c r="U187" s="1138"/>
      <c r="V187" s="1112"/>
      <c r="W187" s="1112"/>
      <c r="X187" s="1112"/>
      <c r="Y187" s="1112"/>
      <c r="Z187" s="1112"/>
      <c r="AA187" s="1109"/>
      <c r="AB187" s="1109"/>
      <c r="AC187" s="1112"/>
      <c r="AD187" s="1112"/>
      <c r="AE187" s="436"/>
      <c r="AF187" s="436"/>
      <c r="AG187" s="436"/>
      <c r="AH187" s="436"/>
      <c r="AI187" s="436"/>
      <c r="AJ187" s="436"/>
      <c r="AK187" s="437"/>
      <c r="AL187" s="437"/>
      <c r="AM187" s="437"/>
      <c r="AN187" s="437"/>
      <c r="AO187" s="437"/>
      <c r="AP187" s="437"/>
      <c r="AQ187" s="437"/>
      <c r="AR187" s="436"/>
      <c r="AS187" s="437"/>
    </row>
    <row r="188" spans="1:45" s="446" customFormat="1" ht="24.95" customHeight="1">
      <c r="A188" s="441"/>
      <c r="B188" s="441"/>
      <c r="C188" s="442" t="s">
        <v>318</v>
      </c>
      <c r="D188" s="443"/>
      <c r="E188" s="441"/>
      <c r="F188" s="441"/>
      <c r="G188" s="444">
        <f>SUM(G186:G187)</f>
        <v>0</v>
      </c>
      <c r="H188" s="441"/>
      <c r="I188" s="441"/>
      <c r="J188" s="441"/>
      <c r="K188" s="441"/>
      <c r="L188" s="441"/>
      <c r="M188" s="441"/>
      <c r="N188" s="444">
        <f>SUM(N186:N187)</f>
        <v>0</v>
      </c>
      <c r="O188" s="444">
        <f>SUM(O186:O187)</f>
        <v>0</v>
      </c>
      <c r="P188" s="444">
        <f>SUM(P186:P187)</f>
        <v>0</v>
      </c>
      <c r="Q188" s="444"/>
      <c r="R188" s="444"/>
      <c r="S188" s="444"/>
      <c r="T188" s="444"/>
      <c r="U188" s="444"/>
      <c r="V188" s="444">
        <f t="shared" ref="V188:AB188" si="67">SUM(V186:V187)</f>
        <v>0</v>
      </c>
      <c r="W188" s="444">
        <f t="shared" si="67"/>
        <v>0</v>
      </c>
      <c r="X188" s="444">
        <f t="shared" si="67"/>
        <v>0</v>
      </c>
      <c r="Y188" s="444">
        <f t="shared" si="67"/>
        <v>0</v>
      </c>
      <c r="Z188" s="444">
        <f t="shared" si="67"/>
        <v>0</v>
      </c>
      <c r="AA188" s="499">
        <f t="shared" si="67"/>
        <v>0</v>
      </c>
      <c r="AB188" s="499">
        <f t="shared" si="67"/>
        <v>0</v>
      </c>
      <c r="AC188" s="444"/>
      <c r="AD188" s="444"/>
      <c r="AE188" s="436"/>
      <c r="AF188" s="436"/>
      <c r="AG188" s="436"/>
      <c r="AH188" s="436"/>
      <c r="AI188" s="436"/>
      <c r="AJ188" s="436"/>
      <c r="AK188" s="437"/>
      <c r="AL188" s="437"/>
      <c r="AM188" s="437"/>
      <c r="AN188" s="437"/>
      <c r="AO188" s="437"/>
      <c r="AP188" s="437">
        <f t="shared" si="60"/>
        <v>0</v>
      </c>
      <c r="AQ188" s="437">
        <f t="shared" si="60"/>
        <v>0</v>
      </c>
      <c r="AR188" s="436"/>
      <c r="AS188" s="437">
        <f t="shared" si="61"/>
        <v>0</v>
      </c>
    </row>
    <row r="189" spans="1:45" s="446" customFormat="1" ht="24.75" customHeight="1">
      <c r="A189" s="441"/>
      <c r="B189" s="441"/>
      <c r="C189" s="1136" t="s">
        <v>549</v>
      </c>
      <c r="D189" s="1137"/>
      <c r="E189" s="441"/>
      <c r="F189" s="441"/>
      <c r="G189" s="441"/>
      <c r="H189" s="441"/>
      <c r="I189" s="441"/>
      <c r="J189" s="441"/>
      <c r="K189" s="441"/>
      <c r="L189" s="441"/>
      <c r="M189" s="441"/>
      <c r="N189" s="444">
        <f>N23+N67+N95+N121+N127+N133+N139+N159+N169+N176+N180+N184</f>
        <v>571322.90010000009</v>
      </c>
      <c r="O189" s="444">
        <f>O23+O67+O95+O121+O127+O133+O139+O159+O169+O176+O180+O184+O188</f>
        <v>41.75</v>
      </c>
      <c r="P189" s="444">
        <f>P23+P67+P95+P121+P127+P133+P139+P159+P169+P176+P180+P184+P188</f>
        <v>10.25</v>
      </c>
      <c r="Q189" s="444"/>
      <c r="R189" s="444"/>
      <c r="S189" s="444"/>
      <c r="T189" s="444"/>
      <c r="U189" s="444"/>
      <c r="V189" s="444">
        <f t="shared" ref="V189:AD189" si="68">V23+V67+V95+V121+V127+V133+V139+V159+V169+V176+V180+V184+V188</f>
        <v>115979.72845999998</v>
      </c>
      <c r="W189" s="444">
        <f t="shared" si="68"/>
        <v>2546</v>
      </c>
      <c r="X189" s="444">
        <f t="shared" si="68"/>
        <v>516993.84481000004</v>
      </c>
      <c r="Y189" s="444">
        <f t="shared" si="68"/>
        <v>517682.78759999998</v>
      </c>
      <c r="Z189" s="444">
        <f t="shared" si="68"/>
        <v>1034676.63241</v>
      </c>
      <c r="AA189" s="499">
        <f t="shared" si="68"/>
        <v>1040000</v>
      </c>
      <c r="AB189" s="499">
        <f t="shared" si="68"/>
        <v>523006.15518999996</v>
      </c>
      <c r="AC189" s="444">
        <f t="shared" si="68"/>
        <v>239525</v>
      </c>
      <c r="AD189" s="444">
        <f t="shared" si="68"/>
        <v>106984.07900000001</v>
      </c>
      <c r="AE189" s="444"/>
      <c r="AF189" s="436"/>
      <c r="AG189" s="436"/>
      <c r="AH189" s="436"/>
      <c r="AI189" s="436"/>
      <c r="AJ189" s="436"/>
      <c r="AK189" s="437"/>
      <c r="AL189" s="437"/>
      <c r="AM189" s="437"/>
      <c r="AN189" s="437"/>
      <c r="AO189" s="437"/>
      <c r="AP189" s="437">
        <f t="shared" si="60"/>
        <v>0</v>
      </c>
      <c r="AQ189" s="437">
        <f t="shared" si="60"/>
        <v>0</v>
      </c>
      <c r="AR189" s="436"/>
      <c r="AS189" s="437">
        <f t="shared" si="61"/>
        <v>0</v>
      </c>
    </row>
    <row r="190" spans="1:45" s="456" customFormat="1" ht="24.95" customHeight="1">
      <c r="A190" s="455"/>
      <c r="B190" s="455"/>
      <c r="C190" s="1135" t="s">
        <v>550</v>
      </c>
      <c r="D190" s="1135"/>
      <c r="E190" s="455"/>
      <c r="F190" s="455"/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55"/>
      <c r="R190" s="455"/>
      <c r="S190" s="455"/>
      <c r="T190" s="455"/>
      <c r="U190" s="455"/>
      <c r="V190" s="455"/>
      <c r="W190" s="455"/>
      <c r="X190" s="455"/>
      <c r="Y190" s="455"/>
      <c r="Z190" s="455"/>
      <c r="AA190" s="504"/>
      <c r="AB190" s="504"/>
      <c r="AC190" s="455"/>
      <c r="AD190" s="455"/>
      <c r="AE190" s="436"/>
      <c r="AF190" s="436"/>
      <c r="AG190" s="436"/>
      <c r="AH190" s="436"/>
      <c r="AI190" s="436"/>
      <c r="AJ190" s="436"/>
      <c r="AK190" s="437"/>
      <c r="AL190" s="437"/>
      <c r="AM190" s="437"/>
      <c r="AN190" s="437"/>
      <c r="AO190" s="437"/>
      <c r="AP190" s="437">
        <f t="shared" si="60"/>
        <v>0</v>
      </c>
      <c r="AQ190" s="437">
        <f t="shared" si="60"/>
        <v>0</v>
      </c>
      <c r="AR190" s="436"/>
      <c r="AS190" s="437">
        <f t="shared" si="61"/>
        <v>0</v>
      </c>
    </row>
    <row r="191" spans="1:45" s="438" customFormat="1" ht="24.95" customHeight="1">
      <c r="A191" s="1134"/>
      <c r="B191" s="1134"/>
      <c r="C191" s="1139" t="s">
        <v>551</v>
      </c>
      <c r="D191" s="1134" t="s">
        <v>337</v>
      </c>
      <c r="E191" s="1134" t="s">
        <v>552</v>
      </c>
      <c r="F191" s="1134">
        <v>10</v>
      </c>
      <c r="G191" s="1112">
        <v>5427</v>
      </c>
      <c r="H191" s="1112"/>
      <c r="I191" s="1112"/>
      <c r="J191" s="1112"/>
      <c r="K191" s="1112"/>
      <c r="L191" s="435">
        <v>0.15</v>
      </c>
      <c r="M191" s="1138"/>
      <c r="N191" s="1112">
        <f>G191+I192+L192+K192</f>
        <v>6241.05</v>
      </c>
      <c r="O191" s="1112">
        <v>1</v>
      </c>
      <c r="P191" s="1112"/>
      <c r="Q191" s="1112"/>
      <c r="R191" s="1138"/>
      <c r="S191" s="1112"/>
      <c r="T191" s="1145">
        <v>1</v>
      </c>
      <c r="U191" s="1138">
        <v>0</v>
      </c>
      <c r="V191" s="1112">
        <f>N191*U191</f>
        <v>0</v>
      </c>
      <c r="W191" s="1112">
        <f>AD191</f>
        <v>458.94999999999982</v>
      </c>
      <c r="X191" s="1112">
        <f>(N191+V191)*O191+W191</f>
        <v>6700</v>
      </c>
      <c r="Y191" s="1112">
        <f>AB191</f>
        <v>13300</v>
      </c>
      <c r="Z191" s="1112">
        <f>X191+Y191</f>
        <v>20000</v>
      </c>
      <c r="AA191" s="1109">
        <f>20000*O191</f>
        <v>20000</v>
      </c>
      <c r="AB191" s="1109">
        <f>AA191-X191</f>
        <v>13300</v>
      </c>
      <c r="AC191" s="1112">
        <f>6700*O191</f>
        <v>6700</v>
      </c>
      <c r="AD191" s="1112">
        <f>AC191-(N191*O191)</f>
        <v>458.94999999999982</v>
      </c>
      <c r="AE191" s="436">
        <f>G191*O191</f>
        <v>5427</v>
      </c>
      <c r="AF191" s="436">
        <f>G191*P191</f>
        <v>0</v>
      </c>
      <c r="AG191" s="436">
        <f>N191*O191</f>
        <v>6241.05</v>
      </c>
      <c r="AH191" s="436">
        <f>N191*P191</f>
        <v>0</v>
      </c>
      <c r="AI191" s="436">
        <f>AG191-AE191</f>
        <v>814.05000000000018</v>
      </c>
      <c r="AJ191" s="436">
        <f t="shared" ref="AJ191:AJ225" si="69">AH191-AF191</f>
        <v>0</v>
      </c>
      <c r="AK191" s="437">
        <f>V191*O191</f>
        <v>0</v>
      </c>
      <c r="AL191" s="437">
        <f>V191*P191</f>
        <v>0</v>
      </c>
      <c r="AM191" s="437">
        <f>W191</f>
        <v>458.94999999999982</v>
      </c>
      <c r="AN191" s="437">
        <f t="shared" si="48"/>
        <v>0</v>
      </c>
      <c r="AO191" s="437">
        <f t="shared" si="49"/>
        <v>0</v>
      </c>
      <c r="AP191" s="437">
        <f t="shared" ref="AP191:AQ229" si="70">AG191</f>
        <v>6241.05</v>
      </c>
      <c r="AQ191" s="437">
        <f t="shared" si="70"/>
        <v>0</v>
      </c>
      <c r="AR191" s="436"/>
      <c r="AS191" s="437">
        <f t="shared" si="61"/>
        <v>6241.05</v>
      </c>
    </row>
    <row r="192" spans="1:45" s="438" customFormat="1" ht="24.95" customHeight="1">
      <c r="A192" s="1134"/>
      <c r="B192" s="1134"/>
      <c r="C192" s="1139"/>
      <c r="D192" s="1134"/>
      <c r="E192" s="1134"/>
      <c r="F192" s="1134"/>
      <c r="G192" s="1112"/>
      <c r="H192" s="1112"/>
      <c r="I192" s="1112"/>
      <c r="J192" s="1112"/>
      <c r="K192" s="1112"/>
      <c r="L192" s="439">
        <f>(G191+H192)*L191</f>
        <v>814.05</v>
      </c>
      <c r="M192" s="1134"/>
      <c r="N192" s="1112"/>
      <c r="O192" s="1112"/>
      <c r="P192" s="1112"/>
      <c r="Q192" s="1112"/>
      <c r="R192" s="1134"/>
      <c r="S192" s="1112"/>
      <c r="T192" s="1145"/>
      <c r="U192" s="1138"/>
      <c r="V192" s="1112"/>
      <c r="W192" s="1112"/>
      <c r="X192" s="1112"/>
      <c r="Y192" s="1112"/>
      <c r="Z192" s="1112"/>
      <c r="AA192" s="1109"/>
      <c r="AB192" s="1109"/>
      <c r="AC192" s="1112"/>
      <c r="AD192" s="1112"/>
      <c r="AE192" s="436">
        <f>G192*O192</f>
        <v>0</v>
      </c>
      <c r="AF192" s="436">
        <f>G192*P192</f>
        <v>0</v>
      </c>
      <c r="AG192" s="436">
        <f>N192*O192</f>
        <v>0</v>
      </c>
      <c r="AH192" s="436">
        <f>N192*P192</f>
        <v>0</v>
      </c>
      <c r="AI192" s="436">
        <f>AG192-AE192</f>
        <v>0</v>
      </c>
      <c r="AJ192" s="436">
        <f t="shared" si="69"/>
        <v>0</v>
      </c>
      <c r="AK192" s="437">
        <f>V192*O192</f>
        <v>0</v>
      </c>
      <c r="AL192" s="437">
        <f>V192*P192</f>
        <v>0</v>
      </c>
      <c r="AM192" s="437">
        <f>W192</f>
        <v>0</v>
      </c>
      <c r="AN192" s="437">
        <f t="shared" si="48"/>
        <v>0</v>
      </c>
      <c r="AO192" s="437">
        <f t="shared" si="49"/>
        <v>0</v>
      </c>
      <c r="AP192" s="437">
        <f t="shared" si="70"/>
        <v>0</v>
      </c>
      <c r="AQ192" s="437">
        <f t="shared" si="70"/>
        <v>0</v>
      </c>
      <c r="AR192" s="436"/>
      <c r="AS192" s="437">
        <f t="shared" si="61"/>
        <v>0</v>
      </c>
    </row>
    <row r="193" spans="1:45" s="446" customFormat="1" ht="24.95" customHeight="1">
      <c r="A193" s="441"/>
      <c r="B193" s="441"/>
      <c r="C193" s="442" t="s">
        <v>558</v>
      </c>
      <c r="D193" s="443"/>
      <c r="E193" s="441"/>
      <c r="F193" s="441"/>
      <c r="G193" s="444">
        <f>SUM(G191:G192)</f>
        <v>5427</v>
      </c>
      <c r="H193" s="444"/>
      <c r="I193" s="444"/>
      <c r="J193" s="444"/>
      <c r="K193" s="444"/>
      <c r="L193" s="444"/>
      <c r="M193" s="444"/>
      <c r="N193" s="444">
        <f>SUM(N191:N192)</f>
        <v>6241.05</v>
      </c>
      <c r="O193" s="444">
        <f>SUM(O191:O192)</f>
        <v>1</v>
      </c>
      <c r="P193" s="444"/>
      <c r="Q193" s="444"/>
      <c r="R193" s="444"/>
      <c r="S193" s="444"/>
      <c r="T193" s="444"/>
      <c r="U193" s="444"/>
      <c r="V193" s="444">
        <f t="shared" ref="V193:AD193" si="71">SUM(V191:V192)</f>
        <v>0</v>
      </c>
      <c r="W193" s="444">
        <f t="shared" si="71"/>
        <v>458.94999999999982</v>
      </c>
      <c r="X193" s="444">
        <f t="shared" si="71"/>
        <v>6700</v>
      </c>
      <c r="Y193" s="444">
        <f t="shared" si="71"/>
        <v>13300</v>
      </c>
      <c r="Z193" s="444">
        <f t="shared" si="71"/>
        <v>20000</v>
      </c>
      <c r="AA193" s="499">
        <f t="shared" si="71"/>
        <v>20000</v>
      </c>
      <c r="AB193" s="499">
        <f t="shared" si="71"/>
        <v>13300</v>
      </c>
      <c r="AC193" s="444">
        <f t="shared" si="71"/>
        <v>6700</v>
      </c>
      <c r="AD193" s="444">
        <f t="shared" si="71"/>
        <v>458.94999999999982</v>
      </c>
      <c r="AE193" s="436"/>
      <c r="AF193" s="436"/>
      <c r="AG193" s="436"/>
      <c r="AH193" s="436"/>
      <c r="AI193" s="436"/>
      <c r="AJ193" s="436"/>
      <c r="AK193" s="437"/>
      <c r="AL193" s="437"/>
      <c r="AM193" s="437"/>
      <c r="AN193" s="437"/>
      <c r="AO193" s="437"/>
      <c r="AP193" s="437">
        <f t="shared" si="70"/>
        <v>0</v>
      </c>
      <c r="AQ193" s="437">
        <f t="shared" si="70"/>
        <v>0</v>
      </c>
      <c r="AR193" s="436"/>
      <c r="AS193" s="437">
        <f t="shared" si="61"/>
        <v>0</v>
      </c>
    </row>
    <row r="194" spans="1:45" s="456" customFormat="1" ht="24.95" customHeight="1">
      <c r="A194" s="455"/>
      <c r="B194" s="455"/>
      <c r="C194" s="1135" t="s">
        <v>559</v>
      </c>
      <c r="D194" s="1135"/>
      <c r="E194" s="455"/>
      <c r="F194" s="455"/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504"/>
      <c r="AB194" s="504"/>
      <c r="AC194" s="455"/>
      <c r="AD194" s="455"/>
      <c r="AE194" s="436">
        <f t="shared" ref="AE194:AE201" si="72">G194*O194</f>
        <v>0</v>
      </c>
      <c r="AF194" s="436">
        <f t="shared" ref="AF194:AF201" si="73">G194*P194</f>
        <v>0</v>
      </c>
      <c r="AG194" s="436">
        <f t="shared" ref="AG194:AG201" si="74">N194*O194</f>
        <v>0</v>
      </c>
      <c r="AH194" s="436">
        <f t="shared" ref="AH194:AH201" si="75">N194*P194</f>
        <v>0</v>
      </c>
      <c r="AI194" s="436">
        <f t="shared" ref="AI194:AI201" si="76">AG194-AE194</f>
        <v>0</v>
      </c>
      <c r="AJ194" s="436">
        <f t="shared" si="69"/>
        <v>0</v>
      </c>
      <c r="AK194" s="437">
        <f t="shared" ref="AK194:AK201" si="77">V194*O194</f>
        <v>0</v>
      </c>
      <c r="AL194" s="437">
        <f t="shared" ref="AL194:AL201" si="78">V194*P194</f>
        <v>0</v>
      </c>
      <c r="AM194" s="437">
        <f t="shared" ref="AM194:AM201" si="79">W194</f>
        <v>0</v>
      </c>
      <c r="AN194" s="437">
        <f t="shared" ref="AN194:AN201" si="80">S194*O194</f>
        <v>0</v>
      </c>
      <c r="AO194" s="437">
        <f t="shared" ref="AO194:AO201" si="81">S194*P194</f>
        <v>0</v>
      </c>
      <c r="AP194" s="437">
        <f t="shared" si="70"/>
        <v>0</v>
      </c>
      <c r="AQ194" s="437">
        <f t="shared" si="70"/>
        <v>0</v>
      </c>
      <c r="AR194" s="436"/>
      <c r="AS194" s="437">
        <f t="shared" si="61"/>
        <v>0</v>
      </c>
    </row>
    <row r="195" spans="1:45" s="456" customFormat="1" ht="24.95" customHeight="1">
      <c r="A195" s="455"/>
      <c r="B195" s="455"/>
      <c r="C195" s="1136" t="s">
        <v>560</v>
      </c>
      <c r="D195" s="1136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504"/>
      <c r="AB195" s="504"/>
      <c r="AC195" s="455"/>
      <c r="AD195" s="455"/>
      <c r="AE195" s="436">
        <f t="shared" si="72"/>
        <v>0</v>
      </c>
      <c r="AF195" s="436">
        <f t="shared" si="73"/>
        <v>0</v>
      </c>
      <c r="AG195" s="436">
        <f t="shared" si="74"/>
        <v>0</v>
      </c>
      <c r="AH195" s="436">
        <f t="shared" si="75"/>
        <v>0</v>
      </c>
      <c r="AI195" s="436">
        <f t="shared" si="76"/>
        <v>0</v>
      </c>
      <c r="AJ195" s="436">
        <f t="shared" si="69"/>
        <v>0</v>
      </c>
      <c r="AK195" s="437">
        <f t="shared" si="77"/>
        <v>0</v>
      </c>
      <c r="AL195" s="437">
        <f t="shared" si="78"/>
        <v>0</v>
      </c>
      <c r="AM195" s="437">
        <f t="shared" si="79"/>
        <v>0</v>
      </c>
      <c r="AN195" s="437">
        <f t="shared" si="80"/>
        <v>0</v>
      </c>
      <c r="AO195" s="437">
        <f t="shared" si="81"/>
        <v>0</v>
      </c>
      <c r="AP195" s="437">
        <f t="shared" si="70"/>
        <v>0</v>
      </c>
      <c r="AQ195" s="437">
        <f t="shared" si="70"/>
        <v>0</v>
      </c>
      <c r="AR195" s="436"/>
      <c r="AS195" s="437">
        <f t="shared" si="61"/>
        <v>0</v>
      </c>
    </row>
    <row r="196" spans="1:45" s="438" customFormat="1" ht="24.95" customHeight="1">
      <c r="A196" s="1134"/>
      <c r="B196" s="1134"/>
      <c r="C196" s="1139" t="s">
        <v>561</v>
      </c>
      <c r="D196" s="1134" t="s">
        <v>1042</v>
      </c>
      <c r="E196" s="1134" t="s">
        <v>563</v>
      </c>
      <c r="F196" s="1134">
        <v>11</v>
      </c>
      <c r="G196" s="1112">
        <v>5875</v>
      </c>
      <c r="H196" s="434">
        <v>0.28299999999999997</v>
      </c>
      <c r="I196" s="1140"/>
      <c r="J196" s="1140"/>
      <c r="K196" s="435">
        <v>0.15</v>
      </c>
      <c r="L196" s="1140"/>
      <c r="M196" s="1140"/>
      <c r="N196" s="1112">
        <f>G196+H197+K197</f>
        <v>7574.9690000000001</v>
      </c>
      <c r="O196" s="1112">
        <v>1</v>
      </c>
      <c r="P196" s="1140"/>
      <c r="Q196" s="1140"/>
      <c r="R196" s="1140"/>
      <c r="S196" s="1140"/>
      <c r="T196" s="1134">
        <v>26</v>
      </c>
      <c r="U196" s="1138">
        <v>0.3</v>
      </c>
      <c r="V196" s="1112">
        <f>N196*U196*O196</f>
        <v>2272.4906999999998</v>
      </c>
      <c r="W196" s="1112"/>
      <c r="X196" s="1112">
        <f>(N196+V196)*O196</f>
        <v>9847.4596999999994</v>
      </c>
      <c r="Y196" s="1112">
        <f>AB196</f>
        <v>3652.5403000000006</v>
      </c>
      <c r="Z196" s="1112">
        <f>X196+Y196</f>
        <v>13500</v>
      </c>
      <c r="AA196" s="1109">
        <f>13500*O196</f>
        <v>13500</v>
      </c>
      <c r="AB196" s="1109">
        <f>AA196-X196</f>
        <v>3652.5403000000006</v>
      </c>
      <c r="AC196" s="1112">
        <f>6700*O196</f>
        <v>6700</v>
      </c>
      <c r="AD196" s="1112"/>
      <c r="AE196" s="436">
        <f t="shared" si="72"/>
        <v>5875</v>
      </c>
      <c r="AF196" s="436">
        <f t="shared" si="73"/>
        <v>0</v>
      </c>
      <c r="AG196" s="436">
        <f t="shared" si="74"/>
        <v>7574.9690000000001</v>
      </c>
      <c r="AH196" s="436">
        <f t="shared" si="75"/>
        <v>0</v>
      </c>
      <c r="AI196" s="436">
        <f t="shared" si="76"/>
        <v>1699.9690000000001</v>
      </c>
      <c r="AJ196" s="436">
        <f t="shared" si="69"/>
        <v>0</v>
      </c>
      <c r="AK196" s="437">
        <f t="shared" si="77"/>
        <v>2272.4906999999998</v>
      </c>
      <c r="AL196" s="437">
        <f t="shared" si="78"/>
        <v>0</v>
      </c>
      <c r="AM196" s="437">
        <f t="shared" si="79"/>
        <v>0</v>
      </c>
      <c r="AN196" s="437">
        <f t="shared" si="80"/>
        <v>0</v>
      </c>
      <c r="AO196" s="437">
        <f t="shared" si="81"/>
        <v>0</v>
      </c>
      <c r="AP196" s="437">
        <f t="shared" si="70"/>
        <v>7574.9690000000001</v>
      </c>
      <c r="AQ196" s="437">
        <f t="shared" si="70"/>
        <v>0</v>
      </c>
      <c r="AR196" s="436"/>
      <c r="AS196" s="437">
        <f t="shared" si="61"/>
        <v>7574.9690000000001</v>
      </c>
    </row>
    <row r="197" spans="1:45" s="438" customFormat="1" ht="24.95" customHeight="1">
      <c r="A197" s="1134"/>
      <c r="B197" s="1134"/>
      <c r="C197" s="1139"/>
      <c r="D197" s="1134"/>
      <c r="E197" s="1134"/>
      <c r="F197" s="1134"/>
      <c r="G197" s="1112"/>
      <c r="H197" s="439">
        <f>2893*H196</f>
        <v>818.71899999999994</v>
      </c>
      <c r="I197" s="1140"/>
      <c r="J197" s="1140"/>
      <c r="K197" s="449">
        <f>G196*K196</f>
        <v>881.25</v>
      </c>
      <c r="L197" s="1140"/>
      <c r="M197" s="1140"/>
      <c r="N197" s="1112"/>
      <c r="O197" s="1112"/>
      <c r="P197" s="1140"/>
      <c r="Q197" s="1140"/>
      <c r="R197" s="1140"/>
      <c r="S197" s="1140"/>
      <c r="T197" s="1134"/>
      <c r="U197" s="1138"/>
      <c r="V197" s="1112"/>
      <c r="W197" s="1112"/>
      <c r="X197" s="1112"/>
      <c r="Y197" s="1112"/>
      <c r="Z197" s="1112"/>
      <c r="AA197" s="1109"/>
      <c r="AB197" s="1109"/>
      <c r="AC197" s="1112"/>
      <c r="AD197" s="1112"/>
      <c r="AE197" s="436">
        <f t="shared" si="72"/>
        <v>0</v>
      </c>
      <c r="AF197" s="436">
        <f t="shared" si="73"/>
        <v>0</v>
      </c>
      <c r="AG197" s="436">
        <f t="shared" si="74"/>
        <v>0</v>
      </c>
      <c r="AH197" s="436">
        <f t="shared" si="75"/>
        <v>0</v>
      </c>
      <c r="AI197" s="436">
        <f t="shared" si="76"/>
        <v>0</v>
      </c>
      <c r="AJ197" s="436">
        <f t="shared" si="69"/>
        <v>0</v>
      </c>
      <c r="AK197" s="437">
        <f t="shared" si="77"/>
        <v>0</v>
      </c>
      <c r="AL197" s="437">
        <f t="shared" si="78"/>
        <v>0</v>
      </c>
      <c r="AM197" s="437">
        <f t="shared" si="79"/>
        <v>0</v>
      </c>
      <c r="AN197" s="437">
        <f t="shared" si="80"/>
        <v>0</v>
      </c>
      <c r="AO197" s="437">
        <f t="shared" si="81"/>
        <v>0</v>
      </c>
      <c r="AP197" s="437">
        <f t="shared" si="70"/>
        <v>0</v>
      </c>
      <c r="AQ197" s="437">
        <f t="shared" si="70"/>
        <v>0</v>
      </c>
      <c r="AR197" s="436"/>
      <c r="AS197" s="437">
        <f t="shared" si="61"/>
        <v>0</v>
      </c>
    </row>
    <row r="198" spans="1:45" s="438" customFormat="1" ht="24.95" customHeight="1">
      <c r="A198" s="1134"/>
      <c r="B198" s="1134"/>
      <c r="C198" s="1139" t="s">
        <v>564</v>
      </c>
      <c r="D198" s="1134" t="s">
        <v>337</v>
      </c>
      <c r="E198" s="1134" t="s">
        <v>565</v>
      </c>
      <c r="F198" s="1134">
        <v>6</v>
      </c>
      <c r="G198" s="1112">
        <v>4324</v>
      </c>
      <c r="H198" s="1112"/>
      <c r="I198" s="1112"/>
      <c r="J198" s="1112"/>
      <c r="K198" s="1112"/>
      <c r="L198" s="1112"/>
      <c r="M198" s="1112"/>
      <c r="N198" s="1112">
        <f>G198+H199</f>
        <v>4324</v>
      </c>
      <c r="O198" s="1112">
        <v>1</v>
      </c>
      <c r="P198" s="1112"/>
      <c r="Q198" s="1112"/>
      <c r="R198" s="1112"/>
      <c r="S198" s="1112"/>
      <c r="T198" s="1134">
        <v>2</v>
      </c>
      <c r="U198" s="1138">
        <v>0</v>
      </c>
      <c r="V198" s="1112">
        <f>N198*U198</f>
        <v>0</v>
      </c>
      <c r="W198" s="1112">
        <f>AD198</f>
        <v>2376</v>
      </c>
      <c r="X198" s="1112">
        <f>(N198+V198)*O198+W198</f>
        <v>6700</v>
      </c>
      <c r="Y198" s="1112">
        <f>AB198</f>
        <v>6800</v>
      </c>
      <c r="Z198" s="1112">
        <f>X198+Y198</f>
        <v>13500</v>
      </c>
      <c r="AA198" s="1109">
        <f>13500*O198</f>
        <v>13500</v>
      </c>
      <c r="AB198" s="1109">
        <f>AA198-X198</f>
        <v>6800</v>
      </c>
      <c r="AC198" s="1112">
        <f>6700*O198</f>
        <v>6700</v>
      </c>
      <c r="AD198" s="1112">
        <f>AC198-(N198*O198)-V198</f>
        <v>2376</v>
      </c>
      <c r="AE198" s="436">
        <f t="shared" si="72"/>
        <v>4324</v>
      </c>
      <c r="AF198" s="436">
        <f t="shared" si="73"/>
        <v>0</v>
      </c>
      <c r="AG198" s="436">
        <f t="shared" si="74"/>
        <v>4324</v>
      </c>
      <c r="AH198" s="436">
        <f t="shared" si="75"/>
        <v>0</v>
      </c>
      <c r="AI198" s="436">
        <f t="shared" si="76"/>
        <v>0</v>
      </c>
      <c r="AJ198" s="436">
        <f t="shared" si="69"/>
        <v>0</v>
      </c>
      <c r="AK198" s="437">
        <f t="shared" si="77"/>
        <v>0</v>
      </c>
      <c r="AL198" s="437">
        <f t="shared" si="78"/>
        <v>0</v>
      </c>
      <c r="AM198" s="437">
        <f t="shared" si="79"/>
        <v>2376</v>
      </c>
      <c r="AN198" s="437">
        <f t="shared" si="80"/>
        <v>0</v>
      </c>
      <c r="AO198" s="437">
        <f t="shared" si="81"/>
        <v>0</v>
      </c>
      <c r="AP198" s="437">
        <f t="shared" si="70"/>
        <v>4324</v>
      </c>
      <c r="AQ198" s="437">
        <f t="shared" si="70"/>
        <v>0</v>
      </c>
      <c r="AR198" s="436"/>
      <c r="AS198" s="437">
        <f t="shared" si="61"/>
        <v>4324</v>
      </c>
    </row>
    <row r="199" spans="1:45" s="438" customFormat="1" ht="24.95" customHeight="1">
      <c r="A199" s="1134"/>
      <c r="B199" s="1134"/>
      <c r="C199" s="1139"/>
      <c r="D199" s="1134"/>
      <c r="E199" s="1134"/>
      <c r="F199" s="1134"/>
      <c r="G199" s="1112"/>
      <c r="H199" s="1112"/>
      <c r="I199" s="1112"/>
      <c r="J199" s="1112"/>
      <c r="K199" s="1112"/>
      <c r="L199" s="1112"/>
      <c r="M199" s="1112"/>
      <c r="N199" s="1112"/>
      <c r="O199" s="1112"/>
      <c r="P199" s="1112"/>
      <c r="Q199" s="1112"/>
      <c r="R199" s="1112"/>
      <c r="S199" s="1112"/>
      <c r="T199" s="1134"/>
      <c r="U199" s="1138"/>
      <c r="V199" s="1112"/>
      <c r="W199" s="1112"/>
      <c r="X199" s="1112"/>
      <c r="Y199" s="1112"/>
      <c r="Z199" s="1112"/>
      <c r="AA199" s="1109"/>
      <c r="AB199" s="1109"/>
      <c r="AC199" s="1112"/>
      <c r="AD199" s="1112"/>
      <c r="AE199" s="436">
        <f t="shared" si="72"/>
        <v>0</v>
      </c>
      <c r="AF199" s="436">
        <f t="shared" si="73"/>
        <v>0</v>
      </c>
      <c r="AG199" s="436">
        <f t="shared" si="74"/>
        <v>0</v>
      </c>
      <c r="AH199" s="436">
        <f t="shared" si="75"/>
        <v>0</v>
      </c>
      <c r="AI199" s="436">
        <f t="shared" si="76"/>
        <v>0</v>
      </c>
      <c r="AJ199" s="436">
        <f t="shared" si="69"/>
        <v>0</v>
      </c>
      <c r="AK199" s="437">
        <f t="shared" si="77"/>
        <v>0</v>
      </c>
      <c r="AL199" s="437">
        <f t="shared" si="78"/>
        <v>0</v>
      </c>
      <c r="AM199" s="437">
        <f t="shared" si="79"/>
        <v>0</v>
      </c>
      <c r="AN199" s="437">
        <f t="shared" si="80"/>
        <v>0</v>
      </c>
      <c r="AO199" s="437">
        <f t="shared" si="81"/>
        <v>0</v>
      </c>
      <c r="AP199" s="437">
        <f t="shared" si="70"/>
        <v>0</v>
      </c>
      <c r="AQ199" s="437">
        <f t="shared" si="70"/>
        <v>0</v>
      </c>
      <c r="AR199" s="436"/>
      <c r="AS199" s="437">
        <f t="shared" si="61"/>
        <v>0</v>
      </c>
    </row>
    <row r="200" spans="1:45" s="438" customFormat="1" ht="24.95" customHeight="1">
      <c r="A200" s="1134"/>
      <c r="B200" s="1134"/>
      <c r="C200" s="1139" t="s">
        <v>566</v>
      </c>
      <c r="D200" s="1134" t="s">
        <v>337</v>
      </c>
      <c r="E200" s="1134" t="s">
        <v>567</v>
      </c>
      <c r="F200" s="1134">
        <v>6</v>
      </c>
      <c r="G200" s="1112">
        <v>4324</v>
      </c>
      <c r="H200" s="1112"/>
      <c r="I200" s="1112"/>
      <c r="J200" s="1112"/>
      <c r="K200" s="1112"/>
      <c r="L200" s="1112"/>
      <c r="M200" s="1112"/>
      <c r="N200" s="1112">
        <f>G200+I201+L201</f>
        <v>4324</v>
      </c>
      <c r="O200" s="1112"/>
      <c r="P200" s="1112">
        <v>0.5</v>
      </c>
      <c r="Q200" s="1112"/>
      <c r="R200" s="1112"/>
      <c r="S200" s="1112"/>
      <c r="T200" s="1140">
        <v>39</v>
      </c>
      <c r="U200" s="1138">
        <v>0.3</v>
      </c>
      <c r="V200" s="1112">
        <f>N200*U200</f>
        <v>1297.2</v>
      </c>
      <c r="W200" s="1112"/>
      <c r="X200" s="1112">
        <f>(N200+V200)*P200+W200</f>
        <v>2810.6</v>
      </c>
      <c r="Y200" s="1113">
        <f>AB200</f>
        <v>3939.4</v>
      </c>
      <c r="Z200" s="1113">
        <f>X200+Y200</f>
        <v>6750</v>
      </c>
      <c r="AA200" s="1110">
        <f>13500*P200</f>
        <v>6750</v>
      </c>
      <c r="AB200" s="1110">
        <f>AA200-X200</f>
        <v>3939.4</v>
      </c>
      <c r="AC200" s="1112">
        <f>6700*P200</f>
        <v>3350</v>
      </c>
      <c r="AD200" s="1112">
        <f>AC200-(N200*P200)-(V200*P200)</f>
        <v>539.4</v>
      </c>
      <c r="AE200" s="436">
        <f t="shared" si="72"/>
        <v>0</v>
      </c>
      <c r="AF200" s="436">
        <f t="shared" si="73"/>
        <v>2162</v>
      </c>
      <c r="AG200" s="436">
        <f t="shared" si="74"/>
        <v>0</v>
      </c>
      <c r="AH200" s="436">
        <f t="shared" si="75"/>
        <v>2162</v>
      </c>
      <c r="AI200" s="436">
        <f t="shared" si="76"/>
        <v>0</v>
      </c>
      <c r="AJ200" s="436">
        <f t="shared" si="69"/>
        <v>0</v>
      </c>
      <c r="AK200" s="437">
        <f t="shared" si="77"/>
        <v>0</v>
      </c>
      <c r="AL200" s="437">
        <f t="shared" si="78"/>
        <v>648.6</v>
      </c>
      <c r="AM200" s="437">
        <f t="shared" si="79"/>
        <v>0</v>
      </c>
      <c r="AN200" s="437">
        <f t="shared" si="80"/>
        <v>0</v>
      </c>
      <c r="AO200" s="437">
        <f t="shared" si="81"/>
        <v>0</v>
      </c>
      <c r="AP200" s="437">
        <f t="shared" si="70"/>
        <v>0</v>
      </c>
      <c r="AQ200" s="437">
        <f t="shared" si="70"/>
        <v>2162</v>
      </c>
      <c r="AR200" s="436"/>
      <c r="AS200" s="437">
        <f t="shared" si="61"/>
        <v>2162</v>
      </c>
    </row>
    <row r="201" spans="1:45" s="438" customFormat="1" ht="24.95" customHeight="1">
      <c r="A201" s="1134"/>
      <c r="B201" s="1134"/>
      <c r="C201" s="1139"/>
      <c r="D201" s="1134"/>
      <c r="E201" s="1134"/>
      <c r="F201" s="1134"/>
      <c r="G201" s="1112"/>
      <c r="H201" s="1112"/>
      <c r="I201" s="1112"/>
      <c r="J201" s="1112"/>
      <c r="K201" s="1112"/>
      <c r="L201" s="1112"/>
      <c r="M201" s="1112"/>
      <c r="N201" s="1112"/>
      <c r="O201" s="1112"/>
      <c r="P201" s="1112"/>
      <c r="Q201" s="1112"/>
      <c r="R201" s="1112"/>
      <c r="S201" s="1112"/>
      <c r="T201" s="1140"/>
      <c r="U201" s="1138"/>
      <c r="V201" s="1112"/>
      <c r="W201" s="1112"/>
      <c r="X201" s="1112"/>
      <c r="Y201" s="1114"/>
      <c r="Z201" s="1114"/>
      <c r="AA201" s="1111"/>
      <c r="AB201" s="1111"/>
      <c r="AC201" s="1112"/>
      <c r="AD201" s="1112"/>
      <c r="AE201" s="436">
        <f t="shared" si="72"/>
        <v>0</v>
      </c>
      <c r="AF201" s="436">
        <f t="shared" si="73"/>
        <v>0</v>
      </c>
      <c r="AG201" s="436">
        <f t="shared" si="74"/>
        <v>0</v>
      </c>
      <c r="AH201" s="436">
        <f t="shared" si="75"/>
        <v>0</v>
      </c>
      <c r="AI201" s="436">
        <f t="shared" si="76"/>
        <v>0</v>
      </c>
      <c r="AJ201" s="436">
        <f t="shared" si="69"/>
        <v>0</v>
      </c>
      <c r="AK201" s="437">
        <f t="shared" si="77"/>
        <v>0</v>
      </c>
      <c r="AL201" s="437">
        <f t="shared" si="78"/>
        <v>0</v>
      </c>
      <c r="AM201" s="437">
        <f t="shared" si="79"/>
        <v>0</v>
      </c>
      <c r="AN201" s="437">
        <f t="shared" si="80"/>
        <v>0</v>
      </c>
      <c r="AO201" s="437">
        <f t="shared" si="81"/>
        <v>0</v>
      </c>
      <c r="AP201" s="437">
        <f t="shared" si="70"/>
        <v>0</v>
      </c>
      <c r="AQ201" s="437">
        <f t="shared" si="70"/>
        <v>0</v>
      </c>
      <c r="AR201" s="436"/>
      <c r="AS201" s="437">
        <f t="shared" si="61"/>
        <v>0</v>
      </c>
    </row>
    <row r="202" spans="1:45" s="446" customFormat="1" ht="24.95" customHeight="1">
      <c r="A202" s="441"/>
      <c r="B202" s="441"/>
      <c r="C202" s="442" t="s">
        <v>318</v>
      </c>
      <c r="D202" s="443"/>
      <c r="E202" s="441"/>
      <c r="F202" s="441"/>
      <c r="G202" s="444">
        <f>SUM(G196:G201)</f>
        <v>14523</v>
      </c>
      <c r="H202" s="444">
        <f>H197</f>
        <v>818.71899999999994</v>
      </c>
      <c r="I202" s="441"/>
      <c r="J202" s="441"/>
      <c r="K202" s="441">
        <f>K197</f>
        <v>881.25</v>
      </c>
      <c r="L202" s="441"/>
      <c r="M202" s="441"/>
      <c r="N202" s="444">
        <f>SUM(N196:N201)</f>
        <v>16222.969000000001</v>
      </c>
      <c r="O202" s="444">
        <f>SUM(O196:O201)</f>
        <v>2</v>
      </c>
      <c r="P202" s="444">
        <f>SUM(P196:P201)</f>
        <v>0.5</v>
      </c>
      <c r="Q202" s="444"/>
      <c r="R202" s="444"/>
      <c r="S202" s="444"/>
      <c r="T202" s="444"/>
      <c r="U202" s="444"/>
      <c r="V202" s="444">
        <f t="shared" ref="V202:AD202" si="82">SUM(V196:V201)</f>
        <v>3569.6907000000001</v>
      </c>
      <c r="W202" s="444">
        <f t="shared" si="82"/>
        <v>2376</v>
      </c>
      <c r="X202" s="444">
        <f t="shared" si="82"/>
        <v>19358.059699999998</v>
      </c>
      <c r="Y202" s="444">
        <f t="shared" si="82"/>
        <v>14391.9403</v>
      </c>
      <c r="Z202" s="444">
        <f t="shared" si="82"/>
        <v>33750</v>
      </c>
      <c r="AA202" s="499">
        <f t="shared" si="82"/>
        <v>33750</v>
      </c>
      <c r="AB202" s="499">
        <f t="shared" si="82"/>
        <v>14391.9403</v>
      </c>
      <c r="AC202" s="444">
        <f t="shared" si="82"/>
        <v>16750</v>
      </c>
      <c r="AD202" s="444">
        <f t="shared" si="82"/>
        <v>2915.4</v>
      </c>
      <c r="AE202" s="436"/>
      <c r="AF202" s="436"/>
      <c r="AG202" s="436"/>
      <c r="AH202" s="436"/>
      <c r="AI202" s="436"/>
      <c r="AJ202" s="436"/>
      <c r="AK202" s="437"/>
      <c r="AL202" s="437"/>
      <c r="AM202" s="437"/>
      <c r="AN202" s="437"/>
      <c r="AO202" s="437"/>
      <c r="AP202" s="437">
        <f t="shared" si="70"/>
        <v>0</v>
      </c>
      <c r="AQ202" s="437">
        <f t="shared" si="70"/>
        <v>0</v>
      </c>
      <c r="AR202" s="436"/>
      <c r="AS202" s="437">
        <f t="shared" si="61"/>
        <v>0</v>
      </c>
    </row>
    <row r="203" spans="1:45" s="456" customFormat="1" ht="24.95" customHeight="1">
      <c r="A203" s="455"/>
      <c r="B203" s="455"/>
      <c r="C203" s="1135" t="s">
        <v>319</v>
      </c>
      <c r="D203" s="1135"/>
      <c r="E203" s="455"/>
      <c r="F203" s="455"/>
      <c r="G203" s="455"/>
      <c r="H203" s="455"/>
      <c r="I203" s="455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455"/>
      <c r="U203" s="455"/>
      <c r="V203" s="455"/>
      <c r="W203" s="455"/>
      <c r="X203" s="455"/>
      <c r="Y203" s="455"/>
      <c r="Z203" s="455"/>
      <c r="AA203" s="504"/>
      <c r="AB203" s="504"/>
      <c r="AC203" s="455"/>
      <c r="AD203" s="455"/>
      <c r="AE203" s="436">
        <f>G203*O203</f>
        <v>0</v>
      </c>
      <c r="AF203" s="436">
        <f>G203*P203</f>
        <v>0</v>
      </c>
      <c r="AG203" s="436">
        <f>N203*O203</f>
        <v>0</v>
      </c>
      <c r="AH203" s="436">
        <f>N203*P203</f>
        <v>0</v>
      </c>
      <c r="AI203" s="436">
        <f>AG203-AE203</f>
        <v>0</v>
      </c>
      <c r="AJ203" s="436">
        <f t="shared" si="69"/>
        <v>0</v>
      </c>
      <c r="AK203" s="437">
        <f>V203*O203</f>
        <v>0</v>
      </c>
      <c r="AL203" s="437">
        <f>V203*P203</f>
        <v>0</v>
      </c>
      <c r="AM203" s="437">
        <f>W203</f>
        <v>0</v>
      </c>
      <c r="AN203" s="437">
        <f t="shared" ref="AN203:AN225" si="83">S203*O203</f>
        <v>0</v>
      </c>
      <c r="AO203" s="437">
        <f t="shared" ref="AO203:AO225" si="84">S203*P203</f>
        <v>0</v>
      </c>
      <c r="AP203" s="437">
        <f t="shared" si="70"/>
        <v>0</v>
      </c>
      <c r="AQ203" s="437">
        <f t="shared" si="70"/>
        <v>0</v>
      </c>
      <c r="AR203" s="436"/>
      <c r="AS203" s="437">
        <f t="shared" si="61"/>
        <v>0</v>
      </c>
    </row>
    <row r="204" spans="1:45" s="438" customFormat="1" ht="24.95" customHeight="1">
      <c r="A204" s="1134"/>
      <c r="B204" s="1134"/>
      <c r="C204" s="1139" t="s">
        <v>568</v>
      </c>
      <c r="D204" s="1140" t="s">
        <v>1043</v>
      </c>
      <c r="E204" s="1140" t="s">
        <v>1044</v>
      </c>
      <c r="F204" s="1140">
        <v>7</v>
      </c>
      <c r="G204" s="1112">
        <v>4592</v>
      </c>
      <c r="H204" s="1112"/>
      <c r="I204" s="1112"/>
      <c r="J204" s="1112"/>
      <c r="K204" s="1112"/>
      <c r="L204" s="1112"/>
      <c r="M204" s="1112"/>
      <c r="N204" s="1112">
        <f>G204+H205</f>
        <v>4592</v>
      </c>
      <c r="O204" s="1112">
        <v>1</v>
      </c>
      <c r="P204" s="1112"/>
      <c r="Q204" s="1112"/>
      <c r="R204" s="1112"/>
      <c r="S204" s="1112"/>
      <c r="T204" s="1134">
        <v>20</v>
      </c>
      <c r="U204" s="1138">
        <v>0.3</v>
      </c>
      <c r="V204" s="1112">
        <f>N204*U204</f>
        <v>1377.6</v>
      </c>
      <c r="W204" s="1112">
        <f>AD204</f>
        <v>730.40000000000009</v>
      </c>
      <c r="X204" s="1112">
        <f>(N204+V204)*O204+W204</f>
        <v>6700</v>
      </c>
      <c r="Y204" s="1112">
        <f>AB204</f>
        <v>6800</v>
      </c>
      <c r="Z204" s="1112">
        <f>X204+Y204</f>
        <v>13500</v>
      </c>
      <c r="AA204" s="1109">
        <f>13500*O204</f>
        <v>13500</v>
      </c>
      <c r="AB204" s="1109">
        <f>AA204-X204</f>
        <v>6800</v>
      </c>
      <c r="AC204" s="1112">
        <f>6700*O204</f>
        <v>6700</v>
      </c>
      <c r="AD204" s="1112">
        <f>AC204-(N204*O204)-V204</f>
        <v>730.40000000000009</v>
      </c>
      <c r="AE204" s="436">
        <f>G204*O204</f>
        <v>4592</v>
      </c>
      <c r="AF204" s="436">
        <f>G204*P204</f>
        <v>0</v>
      </c>
      <c r="AG204" s="436">
        <f>N204*O204</f>
        <v>4592</v>
      </c>
      <c r="AH204" s="436">
        <f>N204*P204</f>
        <v>0</v>
      </c>
      <c r="AI204" s="436">
        <f>AG204-AE204</f>
        <v>0</v>
      </c>
      <c r="AJ204" s="436">
        <f t="shared" si="69"/>
        <v>0</v>
      </c>
      <c r="AK204" s="437">
        <f>V204*O204</f>
        <v>1377.6</v>
      </c>
      <c r="AL204" s="437">
        <f>V204*P204</f>
        <v>0</v>
      </c>
      <c r="AM204" s="437">
        <f>W204</f>
        <v>730.40000000000009</v>
      </c>
      <c r="AN204" s="437">
        <f t="shared" si="83"/>
        <v>0</v>
      </c>
      <c r="AO204" s="437">
        <f t="shared" si="84"/>
        <v>0</v>
      </c>
      <c r="AP204" s="437">
        <f t="shared" si="70"/>
        <v>4592</v>
      </c>
      <c r="AQ204" s="437">
        <f t="shared" si="70"/>
        <v>0</v>
      </c>
      <c r="AR204" s="436"/>
      <c r="AS204" s="437">
        <f t="shared" si="61"/>
        <v>4592</v>
      </c>
    </row>
    <row r="205" spans="1:45" s="438" customFormat="1" ht="24.95" customHeight="1">
      <c r="A205" s="1134"/>
      <c r="B205" s="1134"/>
      <c r="C205" s="1139"/>
      <c r="D205" s="1140"/>
      <c r="E205" s="1140"/>
      <c r="F205" s="1140"/>
      <c r="G205" s="1112"/>
      <c r="H205" s="1112"/>
      <c r="I205" s="1112"/>
      <c r="J205" s="1112"/>
      <c r="K205" s="1112"/>
      <c r="L205" s="1112"/>
      <c r="M205" s="1112"/>
      <c r="N205" s="1112"/>
      <c r="O205" s="1112"/>
      <c r="P205" s="1112"/>
      <c r="Q205" s="1112"/>
      <c r="R205" s="1112"/>
      <c r="S205" s="1112"/>
      <c r="T205" s="1134"/>
      <c r="U205" s="1138"/>
      <c r="V205" s="1112"/>
      <c r="W205" s="1112"/>
      <c r="X205" s="1112"/>
      <c r="Y205" s="1112"/>
      <c r="Z205" s="1112"/>
      <c r="AA205" s="1109"/>
      <c r="AB205" s="1109"/>
      <c r="AC205" s="1112"/>
      <c r="AD205" s="1112"/>
      <c r="AE205" s="436">
        <f>G205*O205</f>
        <v>0</v>
      </c>
      <c r="AF205" s="436">
        <f>G205*P205</f>
        <v>0</v>
      </c>
      <c r="AG205" s="436">
        <f>N205*O205</f>
        <v>0</v>
      </c>
      <c r="AH205" s="436">
        <f>N205*P205</f>
        <v>0</v>
      </c>
      <c r="AI205" s="436">
        <f>AG205-AE205</f>
        <v>0</v>
      </c>
      <c r="AJ205" s="436">
        <f t="shared" si="69"/>
        <v>0</v>
      </c>
      <c r="AK205" s="437">
        <f>V205*O205</f>
        <v>0</v>
      </c>
      <c r="AL205" s="437">
        <f>V205*P205</f>
        <v>0</v>
      </c>
      <c r="AM205" s="437">
        <f>W205</f>
        <v>0</v>
      </c>
      <c r="AN205" s="437">
        <f t="shared" si="83"/>
        <v>0</v>
      </c>
      <c r="AO205" s="437">
        <f t="shared" si="84"/>
        <v>0</v>
      </c>
      <c r="AP205" s="437">
        <f t="shared" si="70"/>
        <v>0</v>
      </c>
      <c r="AQ205" s="437">
        <f t="shared" si="70"/>
        <v>0</v>
      </c>
      <c r="AR205" s="436"/>
      <c r="AS205" s="437">
        <f t="shared" si="61"/>
        <v>0</v>
      </c>
    </row>
    <row r="206" spans="1:45" s="438" customFormat="1" ht="24.95" customHeight="1">
      <c r="A206" s="1134"/>
      <c r="B206" s="1134"/>
      <c r="C206" s="1139" t="s">
        <v>568</v>
      </c>
      <c r="D206" s="1134" t="s">
        <v>1045</v>
      </c>
      <c r="E206" s="1140" t="s">
        <v>611</v>
      </c>
      <c r="F206" s="1140">
        <v>9</v>
      </c>
      <c r="G206" s="1112">
        <v>5159</v>
      </c>
      <c r="H206" s="1112"/>
      <c r="I206" s="1112"/>
      <c r="J206" s="1112"/>
      <c r="K206" s="1112"/>
      <c r="L206" s="1112"/>
      <c r="M206" s="1112"/>
      <c r="N206" s="1112">
        <f>G206+H207</f>
        <v>5159</v>
      </c>
      <c r="O206" s="1112">
        <v>1</v>
      </c>
      <c r="P206" s="1112"/>
      <c r="Q206" s="1112"/>
      <c r="R206" s="1112"/>
      <c r="S206" s="1112"/>
      <c r="T206" s="1134">
        <v>14</v>
      </c>
      <c r="U206" s="1138">
        <v>0.2</v>
      </c>
      <c r="V206" s="1112">
        <f>N206*U206</f>
        <v>1031.8</v>
      </c>
      <c r="W206" s="1112">
        <f>AD206</f>
        <v>509.20000000000005</v>
      </c>
      <c r="X206" s="1112">
        <f>(N206+V206)*O206+W206</f>
        <v>6700</v>
      </c>
      <c r="Y206" s="1112">
        <f>AB206</f>
        <v>6800</v>
      </c>
      <c r="Z206" s="1112">
        <f>X206+Y206</f>
        <v>13500</v>
      </c>
      <c r="AA206" s="1109">
        <f>13500*O206</f>
        <v>13500</v>
      </c>
      <c r="AB206" s="1109">
        <f>AA206-X206</f>
        <v>6800</v>
      </c>
      <c r="AC206" s="1112">
        <f>6700*O206</f>
        <v>6700</v>
      </c>
      <c r="AD206" s="1112">
        <f>AC206-(N206*O206)-V206</f>
        <v>509.20000000000005</v>
      </c>
      <c r="AE206" s="436">
        <f>G206*O206</f>
        <v>5159</v>
      </c>
      <c r="AF206" s="436">
        <f>G206*P206</f>
        <v>0</v>
      </c>
      <c r="AG206" s="436">
        <f>N206*O206</f>
        <v>5159</v>
      </c>
      <c r="AH206" s="436">
        <f>N206*P206</f>
        <v>0</v>
      </c>
      <c r="AI206" s="436">
        <f>AG206-AE206</f>
        <v>0</v>
      </c>
      <c r="AJ206" s="436">
        <f>AH206-AF206</f>
        <v>0</v>
      </c>
      <c r="AK206" s="437">
        <f>V206*O206</f>
        <v>1031.8</v>
      </c>
      <c r="AL206" s="437">
        <f>V206*P206</f>
        <v>0</v>
      </c>
      <c r="AM206" s="437">
        <f>W206</f>
        <v>509.20000000000005</v>
      </c>
      <c r="AN206" s="437">
        <f>S206*O206</f>
        <v>0</v>
      </c>
      <c r="AO206" s="437">
        <f>S206*P206</f>
        <v>0</v>
      </c>
      <c r="AP206" s="437">
        <f>AG206</f>
        <v>5159</v>
      </c>
      <c r="AQ206" s="437">
        <f>AH206</f>
        <v>0</v>
      </c>
      <c r="AR206" s="436"/>
      <c r="AS206" s="437">
        <f t="shared" si="61"/>
        <v>5159</v>
      </c>
    </row>
    <row r="207" spans="1:45" s="438" customFormat="1" ht="24.95" customHeight="1">
      <c r="A207" s="1134"/>
      <c r="B207" s="1134"/>
      <c r="C207" s="1139"/>
      <c r="D207" s="1134"/>
      <c r="E207" s="1140"/>
      <c r="F207" s="1140"/>
      <c r="G207" s="1112"/>
      <c r="H207" s="1112"/>
      <c r="I207" s="1112"/>
      <c r="J207" s="1112"/>
      <c r="K207" s="1112"/>
      <c r="L207" s="1112"/>
      <c r="M207" s="1112"/>
      <c r="N207" s="1112"/>
      <c r="O207" s="1112"/>
      <c r="P207" s="1112"/>
      <c r="Q207" s="1112"/>
      <c r="R207" s="1112"/>
      <c r="S207" s="1112"/>
      <c r="T207" s="1134"/>
      <c r="U207" s="1138"/>
      <c r="V207" s="1112"/>
      <c r="W207" s="1112"/>
      <c r="X207" s="1112"/>
      <c r="Y207" s="1112"/>
      <c r="Z207" s="1112"/>
      <c r="AA207" s="1109"/>
      <c r="AB207" s="1109"/>
      <c r="AC207" s="1112"/>
      <c r="AD207" s="1112"/>
      <c r="AE207" s="436">
        <f>G207*O207</f>
        <v>0</v>
      </c>
      <c r="AF207" s="436">
        <f>G207*P207</f>
        <v>0</v>
      </c>
      <c r="AG207" s="436">
        <f>N207*O207</f>
        <v>0</v>
      </c>
      <c r="AH207" s="436">
        <f>N207*P207</f>
        <v>0</v>
      </c>
      <c r="AI207" s="436">
        <f>AG207-AE207</f>
        <v>0</v>
      </c>
      <c r="AJ207" s="436">
        <f>AH207-AF207</f>
        <v>0</v>
      </c>
      <c r="AK207" s="437">
        <f>V207*O207</f>
        <v>0</v>
      </c>
      <c r="AL207" s="437">
        <f>V207*P207</f>
        <v>0</v>
      </c>
      <c r="AM207" s="437">
        <f>W207</f>
        <v>0</v>
      </c>
      <c r="AN207" s="437">
        <f>S207*O207</f>
        <v>0</v>
      </c>
      <c r="AO207" s="437">
        <f>S207*P207</f>
        <v>0</v>
      </c>
      <c r="AP207" s="437">
        <f>AG207</f>
        <v>0</v>
      </c>
      <c r="AQ207" s="437">
        <f>AH207</f>
        <v>0</v>
      </c>
      <c r="AR207" s="436"/>
      <c r="AS207" s="437">
        <f t="shared" si="61"/>
        <v>0</v>
      </c>
    </row>
    <row r="208" spans="1:45" s="438" customFormat="1" ht="24.95" customHeight="1">
      <c r="A208" s="1134"/>
      <c r="B208" s="1134"/>
      <c r="C208" s="1139" t="s">
        <v>569</v>
      </c>
      <c r="D208" s="1134" t="s">
        <v>570</v>
      </c>
      <c r="E208" s="1134" t="s">
        <v>571</v>
      </c>
      <c r="F208" s="1134">
        <v>9</v>
      </c>
      <c r="G208" s="1112">
        <v>5159</v>
      </c>
      <c r="H208" s="1112"/>
      <c r="I208" s="1112"/>
      <c r="J208" s="1112"/>
      <c r="K208" s="1112"/>
      <c r="L208" s="1112"/>
      <c r="M208" s="1112"/>
      <c r="N208" s="1112">
        <f>G208+I209+L209</f>
        <v>5159</v>
      </c>
      <c r="O208" s="1112">
        <v>1</v>
      </c>
      <c r="P208" s="1112"/>
      <c r="Q208" s="1112"/>
      <c r="R208" s="1112"/>
      <c r="S208" s="1112"/>
      <c r="T208" s="1134">
        <v>20</v>
      </c>
      <c r="U208" s="1138">
        <v>0.3</v>
      </c>
      <c r="V208" s="1112">
        <f>N208*U208</f>
        <v>1547.7</v>
      </c>
      <c r="W208" s="1112"/>
      <c r="X208" s="1112">
        <f>(N208+V208)*O208+W208</f>
        <v>6706.7</v>
      </c>
      <c r="Y208" s="1112">
        <f>AB208</f>
        <v>6793.3</v>
      </c>
      <c r="Z208" s="1112">
        <f>X208+Y208</f>
        <v>13500</v>
      </c>
      <c r="AA208" s="1109">
        <f>13500*O208</f>
        <v>13500</v>
      </c>
      <c r="AB208" s="1109">
        <f>AA208-X208</f>
        <v>6793.3</v>
      </c>
      <c r="AC208" s="1112">
        <f>6700*O208</f>
        <v>6700</v>
      </c>
      <c r="AD208" s="1112"/>
      <c r="AE208" s="436">
        <f t="shared" ref="AE208:AE225" si="85">G208*O208</f>
        <v>5159</v>
      </c>
      <c r="AF208" s="436">
        <f t="shared" ref="AF208:AF225" si="86">G208*P208</f>
        <v>0</v>
      </c>
      <c r="AG208" s="436">
        <f t="shared" ref="AG208:AG225" si="87">N208*O208</f>
        <v>5159</v>
      </c>
      <c r="AH208" s="436">
        <f t="shared" ref="AH208:AH225" si="88">N208*P208</f>
        <v>0</v>
      </c>
      <c r="AI208" s="436">
        <f t="shared" ref="AI208:AI225" si="89">AG208-AE208</f>
        <v>0</v>
      </c>
      <c r="AJ208" s="436">
        <f t="shared" si="69"/>
        <v>0</v>
      </c>
      <c r="AK208" s="437">
        <f t="shared" ref="AK208:AK225" si="90">V208*O208</f>
        <v>1547.7</v>
      </c>
      <c r="AL208" s="437">
        <f t="shared" ref="AL208:AL225" si="91">V208*P208</f>
        <v>0</v>
      </c>
      <c r="AM208" s="437">
        <f t="shared" ref="AM208:AM225" si="92">W208</f>
        <v>0</v>
      </c>
      <c r="AN208" s="437">
        <f t="shared" si="83"/>
        <v>0</v>
      </c>
      <c r="AO208" s="437">
        <f t="shared" si="84"/>
        <v>0</v>
      </c>
      <c r="AP208" s="437">
        <f t="shared" ref="AP208:AP225" si="93">AG208</f>
        <v>5159</v>
      </c>
      <c r="AQ208" s="437">
        <f t="shared" si="70"/>
        <v>0</v>
      </c>
      <c r="AR208" s="436"/>
      <c r="AS208" s="437">
        <f t="shared" si="61"/>
        <v>5159</v>
      </c>
    </row>
    <row r="209" spans="1:45" s="438" customFormat="1" ht="24.95" customHeight="1">
      <c r="A209" s="1134"/>
      <c r="B209" s="1134"/>
      <c r="C209" s="1139"/>
      <c r="D209" s="1134"/>
      <c r="E209" s="1134"/>
      <c r="F209" s="1134"/>
      <c r="G209" s="1112"/>
      <c r="H209" s="1112"/>
      <c r="I209" s="1112"/>
      <c r="J209" s="1112"/>
      <c r="K209" s="1112"/>
      <c r="L209" s="1112"/>
      <c r="M209" s="1112"/>
      <c r="N209" s="1112"/>
      <c r="O209" s="1112"/>
      <c r="P209" s="1112"/>
      <c r="Q209" s="1112"/>
      <c r="R209" s="1112"/>
      <c r="S209" s="1112"/>
      <c r="T209" s="1134"/>
      <c r="U209" s="1138"/>
      <c r="V209" s="1112"/>
      <c r="W209" s="1112"/>
      <c r="X209" s="1112"/>
      <c r="Y209" s="1112"/>
      <c r="Z209" s="1112"/>
      <c r="AA209" s="1109"/>
      <c r="AB209" s="1109"/>
      <c r="AC209" s="1112"/>
      <c r="AD209" s="1112"/>
      <c r="AE209" s="436">
        <f t="shared" si="85"/>
        <v>0</v>
      </c>
      <c r="AF209" s="436">
        <f t="shared" si="86"/>
        <v>0</v>
      </c>
      <c r="AG209" s="436">
        <f t="shared" si="87"/>
        <v>0</v>
      </c>
      <c r="AH209" s="436">
        <f t="shared" si="88"/>
        <v>0</v>
      </c>
      <c r="AI209" s="436">
        <f t="shared" si="89"/>
        <v>0</v>
      </c>
      <c r="AJ209" s="436">
        <f t="shared" si="69"/>
        <v>0</v>
      </c>
      <c r="AK209" s="437">
        <f t="shared" si="90"/>
        <v>0</v>
      </c>
      <c r="AL209" s="437">
        <f t="shared" si="91"/>
        <v>0</v>
      </c>
      <c r="AM209" s="437">
        <f t="shared" si="92"/>
        <v>0</v>
      </c>
      <c r="AN209" s="437">
        <f t="shared" si="83"/>
        <v>0</v>
      </c>
      <c r="AO209" s="437">
        <f t="shared" si="84"/>
        <v>0</v>
      </c>
      <c r="AP209" s="437">
        <f t="shared" si="93"/>
        <v>0</v>
      </c>
      <c r="AQ209" s="437">
        <f t="shared" si="70"/>
        <v>0</v>
      </c>
      <c r="AR209" s="436"/>
      <c r="AS209" s="437">
        <f t="shared" si="61"/>
        <v>0</v>
      </c>
    </row>
    <row r="210" spans="1:45" s="438" customFormat="1" ht="24.95" customHeight="1">
      <c r="A210" s="1134"/>
      <c r="B210" s="1134"/>
      <c r="C210" s="1139" t="s">
        <v>1046</v>
      </c>
      <c r="D210" s="1140" t="s">
        <v>572</v>
      </c>
      <c r="E210" s="1140" t="s">
        <v>573</v>
      </c>
      <c r="F210" s="1140">
        <v>9</v>
      </c>
      <c r="G210" s="1112">
        <v>5159</v>
      </c>
      <c r="H210" s="1140"/>
      <c r="I210" s="1140"/>
      <c r="J210" s="1140"/>
      <c r="K210" s="1140"/>
      <c r="L210" s="435">
        <v>0.15</v>
      </c>
      <c r="M210" s="435">
        <v>0.6</v>
      </c>
      <c r="N210" s="1112">
        <f>G210+I211+L211+M211</f>
        <v>9028.25</v>
      </c>
      <c r="O210" s="1112">
        <v>0.5</v>
      </c>
      <c r="P210" s="1140"/>
      <c r="Q210" s="1140"/>
      <c r="R210" s="1140"/>
      <c r="S210" s="1140"/>
      <c r="T210" s="1134">
        <v>27</v>
      </c>
      <c r="U210" s="1138">
        <v>0.3</v>
      </c>
      <c r="V210" s="1112">
        <f>N210*U210</f>
        <v>2708.4749999999999</v>
      </c>
      <c r="W210" s="1112"/>
      <c r="X210" s="1112">
        <f>(N210+V210)*O210</f>
        <v>5868.3625000000002</v>
      </c>
      <c r="Y210" s="1112">
        <f>AB210</f>
        <v>881.63749999999982</v>
      </c>
      <c r="Z210" s="1112">
        <f>X210+Y210</f>
        <v>6750</v>
      </c>
      <c r="AA210" s="1109">
        <f>13500*O210</f>
        <v>6750</v>
      </c>
      <c r="AB210" s="1109">
        <f>AA210-X210</f>
        <v>881.63749999999982</v>
      </c>
      <c r="AC210" s="1112">
        <f>6700*O210</f>
        <v>3350</v>
      </c>
      <c r="AD210" s="1112"/>
      <c r="AE210" s="436">
        <f t="shared" si="85"/>
        <v>2579.5</v>
      </c>
      <c r="AF210" s="436">
        <f t="shared" si="86"/>
        <v>0</v>
      </c>
      <c r="AG210" s="436">
        <f t="shared" si="87"/>
        <v>4514.125</v>
      </c>
      <c r="AH210" s="436">
        <f t="shared" si="88"/>
        <v>0</v>
      </c>
      <c r="AI210" s="436">
        <f t="shared" si="89"/>
        <v>1934.625</v>
      </c>
      <c r="AJ210" s="436">
        <f t="shared" si="69"/>
        <v>0</v>
      </c>
      <c r="AK210" s="437">
        <f t="shared" si="90"/>
        <v>1354.2375</v>
      </c>
      <c r="AL210" s="437">
        <f t="shared" si="91"/>
        <v>0</v>
      </c>
      <c r="AM210" s="437">
        <f t="shared" si="92"/>
        <v>0</v>
      </c>
      <c r="AN210" s="437">
        <f t="shared" si="83"/>
        <v>0</v>
      </c>
      <c r="AO210" s="437">
        <f t="shared" si="84"/>
        <v>0</v>
      </c>
      <c r="AP210" s="437">
        <f t="shared" si="93"/>
        <v>4514.125</v>
      </c>
      <c r="AQ210" s="437">
        <f t="shared" si="70"/>
        <v>0</v>
      </c>
      <c r="AR210" s="436"/>
      <c r="AS210" s="437">
        <f t="shared" si="61"/>
        <v>4514.125</v>
      </c>
    </row>
    <row r="211" spans="1:45" s="438" customFormat="1" ht="24.95" customHeight="1">
      <c r="A211" s="1134"/>
      <c r="B211" s="1134"/>
      <c r="C211" s="1139"/>
      <c r="D211" s="1140"/>
      <c r="E211" s="1140"/>
      <c r="F211" s="1140"/>
      <c r="G211" s="1112"/>
      <c r="H211" s="1140"/>
      <c r="I211" s="1140"/>
      <c r="J211" s="1140"/>
      <c r="K211" s="1140"/>
      <c r="L211" s="449">
        <f>(G210+H211)*L210</f>
        <v>773.85</v>
      </c>
      <c r="M211" s="449">
        <f>G210*M210</f>
        <v>3095.4</v>
      </c>
      <c r="N211" s="1112"/>
      <c r="O211" s="1112"/>
      <c r="P211" s="1140"/>
      <c r="Q211" s="1140"/>
      <c r="R211" s="1140"/>
      <c r="S211" s="1140"/>
      <c r="T211" s="1134"/>
      <c r="U211" s="1138"/>
      <c r="V211" s="1112"/>
      <c r="W211" s="1112"/>
      <c r="X211" s="1112"/>
      <c r="Y211" s="1112"/>
      <c r="Z211" s="1112"/>
      <c r="AA211" s="1109"/>
      <c r="AB211" s="1109"/>
      <c r="AC211" s="1112"/>
      <c r="AD211" s="1112"/>
      <c r="AE211" s="436">
        <f t="shared" si="85"/>
        <v>0</v>
      </c>
      <c r="AF211" s="436">
        <f t="shared" si="86"/>
        <v>0</v>
      </c>
      <c r="AG211" s="436">
        <f t="shared" si="87"/>
        <v>0</v>
      </c>
      <c r="AH211" s="436">
        <f t="shared" si="88"/>
        <v>0</v>
      </c>
      <c r="AI211" s="436">
        <f t="shared" si="89"/>
        <v>0</v>
      </c>
      <c r="AJ211" s="436">
        <f t="shared" si="69"/>
        <v>0</v>
      </c>
      <c r="AK211" s="437">
        <f t="shared" si="90"/>
        <v>0</v>
      </c>
      <c r="AL211" s="437">
        <f t="shared" si="91"/>
        <v>0</v>
      </c>
      <c r="AM211" s="437">
        <f t="shared" si="92"/>
        <v>0</v>
      </c>
      <c r="AN211" s="437">
        <f t="shared" si="83"/>
        <v>0</v>
      </c>
      <c r="AO211" s="437">
        <f t="shared" si="84"/>
        <v>0</v>
      </c>
      <c r="AP211" s="437">
        <f t="shared" si="93"/>
        <v>0</v>
      </c>
      <c r="AQ211" s="437">
        <f t="shared" si="70"/>
        <v>0</v>
      </c>
      <c r="AR211" s="436"/>
      <c r="AS211" s="437">
        <f t="shared" si="61"/>
        <v>0</v>
      </c>
    </row>
    <row r="212" spans="1:45" s="438" customFormat="1" ht="24.95" customHeight="1">
      <c r="A212" s="1134"/>
      <c r="B212" s="1134"/>
      <c r="C212" s="1139" t="s">
        <v>574</v>
      </c>
      <c r="D212" s="1134" t="s">
        <v>1042</v>
      </c>
      <c r="E212" s="1134" t="s">
        <v>575</v>
      </c>
      <c r="F212" s="1134">
        <v>9</v>
      </c>
      <c r="G212" s="1112">
        <v>5159</v>
      </c>
      <c r="H212" s="1112"/>
      <c r="I212" s="1112"/>
      <c r="J212" s="1112"/>
      <c r="K212" s="1112"/>
      <c r="L212" s="435">
        <v>0.25</v>
      </c>
      <c r="M212" s="1112"/>
      <c r="N212" s="1112">
        <f>G212+I213+L213</f>
        <v>6448.75</v>
      </c>
      <c r="O212" s="1112">
        <v>1</v>
      </c>
      <c r="P212" s="1112"/>
      <c r="Q212" s="1112"/>
      <c r="R212" s="1112"/>
      <c r="S212" s="1112"/>
      <c r="T212" s="1134">
        <v>31</v>
      </c>
      <c r="U212" s="1138">
        <v>0.3</v>
      </c>
      <c r="V212" s="1112">
        <f>N212*U212</f>
        <v>1934.625</v>
      </c>
      <c r="W212" s="1112"/>
      <c r="X212" s="1112">
        <f>(N212+V212)*O212</f>
        <v>8383.375</v>
      </c>
      <c r="Y212" s="1112">
        <f>AB212</f>
        <v>5116.625</v>
      </c>
      <c r="Z212" s="1112">
        <f>X212+Y212</f>
        <v>13500</v>
      </c>
      <c r="AA212" s="1109">
        <f>13500*O212</f>
        <v>13500</v>
      </c>
      <c r="AB212" s="1109">
        <f>AA212-X212</f>
        <v>5116.625</v>
      </c>
      <c r="AC212" s="1112">
        <f>6700*O212</f>
        <v>6700</v>
      </c>
      <c r="AD212" s="1112"/>
      <c r="AE212" s="436">
        <f t="shared" si="85"/>
        <v>5159</v>
      </c>
      <c r="AF212" s="436">
        <f t="shared" si="86"/>
        <v>0</v>
      </c>
      <c r="AG212" s="436">
        <f t="shared" si="87"/>
        <v>6448.75</v>
      </c>
      <c r="AH212" s="436">
        <f t="shared" si="88"/>
        <v>0</v>
      </c>
      <c r="AI212" s="436">
        <f t="shared" si="89"/>
        <v>1289.75</v>
      </c>
      <c r="AJ212" s="436">
        <f t="shared" si="69"/>
        <v>0</v>
      </c>
      <c r="AK212" s="437">
        <f t="shared" si="90"/>
        <v>1934.625</v>
      </c>
      <c r="AL212" s="437">
        <f t="shared" si="91"/>
        <v>0</v>
      </c>
      <c r="AM212" s="437">
        <f t="shared" si="92"/>
        <v>0</v>
      </c>
      <c r="AN212" s="437">
        <f t="shared" si="83"/>
        <v>0</v>
      </c>
      <c r="AO212" s="437">
        <f t="shared" si="84"/>
        <v>0</v>
      </c>
      <c r="AP212" s="437">
        <f t="shared" si="93"/>
        <v>6448.75</v>
      </c>
      <c r="AQ212" s="437">
        <f t="shared" si="70"/>
        <v>0</v>
      </c>
      <c r="AR212" s="436"/>
      <c r="AS212" s="437">
        <f t="shared" si="61"/>
        <v>6448.75</v>
      </c>
    </row>
    <row r="213" spans="1:45" s="438" customFormat="1" ht="24.95" customHeight="1">
      <c r="A213" s="1134"/>
      <c r="B213" s="1134"/>
      <c r="C213" s="1139"/>
      <c r="D213" s="1134"/>
      <c r="E213" s="1134"/>
      <c r="F213" s="1134"/>
      <c r="G213" s="1112"/>
      <c r="H213" s="1112"/>
      <c r="I213" s="1112"/>
      <c r="J213" s="1112"/>
      <c r="K213" s="1112"/>
      <c r="L213" s="449">
        <f>(G212+H213)*L212</f>
        <v>1289.75</v>
      </c>
      <c r="M213" s="1112"/>
      <c r="N213" s="1112"/>
      <c r="O213" s="1112"/>
      <c r="P213" s="1112"/>
      <c r="Q213" s="1112"/>
      <c r="R213" s="1112"/>
      <c r="S213" s="1112"/>
      <c r="T213" s="1134"/>
      <c r="U213" s="1138"/>
      <c r="V213" s="1112"/>
      <c r="W213" s="1112"/>
      <c r="X213" s="1112"/>
      <c r="Y213" s="1112"/>
      <c r="Z213" s="1112"/>
      <c r="AA213" s="1109"/>
      <c r="AB213" s="1109"/>
      <c r="AC213" s="1112"/>
      <c r="AD213" s="1112"/>
      <c r="AE213" s="436">
        <f t="shared" si="85"/>
        <v>0</v>
      </c>
      <c r="AF213" s="436">
        <f t="shared" si="86"/>
        <v>0</v>
      </c>
      <c r="AG213" s="436">
        <f t="shared" si="87"/>
        <v>0</v>
      </c>
      <c r="AH213" s="436">
        <f t="shared" si="88"/>
        <v>0</v>
      </c>
      <c r="AI213" s="436">
        <f t="shared" si="89"/>
        <v>0</v>
      </c>
      <c r="AJ213" s="436">
        <f t="shared" si="69"/>
        <v>0</v>
      </c>
      <c r="AK213" s="437">
        <f t="shared" si="90"/>
        <v>0</v>
      </c>
      <c r="AL213" s="437">
        <f t="shared" si="91"/>
        <v>0</v>
      </c>
      <c r="AM213" s="437">
        <f t="shared" si="92"/>
        <v>0</v>
      </c>
      <c r="AN213" s="437">
        <f t="shared" si="83"/>
        <v>0</v>
      </c>
      <c r="AO213" s="437">
        <f t="shared" si="84"/>
        <v>0</v>
      </c>
      <c r="AP213" s="437">
        <f t="shared" si="93"/>
        <v>0</v>
      </c>
      <c r="AQ213" s="437">
        <f t="shared" si="70"/>
        <v>0</v>
      </c>
      <c r="AR213" s="436"/>
      <c r="AS213" s="437">
        <f t="shared" si="61"/>
        <v>0</v>
      </c>
    </row>
    <row r="214" spans="1:45" s="438" customFormat="1" ht="24.95" customHeight="1">
      <c r="A214" s="1134"/>
      <c r="B214" s="1134"/>
      <c r="C214" s="1139" t="s">
        <v>576</v>
      </c>
      <c r="D214" s="1134" t="s">
        <v>577</v>
      </c>
      <c r="E214" s="1134" t="s">
        <v>578</v>
      </c>
      <c r="F214" s="1134">
        <v>9</v>
      </c>
      <c r="G214" s="1112">
        <v>5159</v>
      </c>
      <c r="H214" s="1112"/>
      <c r="I214" s="1112"/>
      <c r="J214" s="1112"/>
      <c r="K214" s="1112"/>
      <c r="L214" s="1112"/>
      <c r="M214" s="1112"/>
      <c r="N214" s="1112">
        <f>G214+H215</f>
        <v>5159</v>
      </c>
      <c r="O214" s="1112">
        <v>1</v>
      </c>
      <c r="P214" s="1112"/>
      <c r="Q214" s="1112"/>
      <c r="R214" s="1112"/>
      <c r="S214" s="1112"/>
      <c r="T214" s="1134">
        <v>28</v>
      </c>
      <c r="U214" s="1138">
        <v>0.3</v>
      </c>
      <c r="V214" s="1112">
        <f>N214*U214</f>
        <v>1547.7</v>
      </c>
      <c r="W214" s="1112"/>
      <c r="X214" s="1112">
        <f>(N214+V214)*O214</f>
        <v>6706.7</v>
      </c>
      <c r="Y214" s="1112">
        <f>AB214</f>
        <v>6793.3</v>
      </c>
      <c r="Z214" s="1112">
        <f>X214+Y214</f>
        <v>13500</v>
      </c>
      <c r="AA214" s="1109">
        <f>13500*O214</f>
        <v>13500</v>
      </c>
      <c r="AB214" s="1109">
        <f>AA214-X214</f>
        <v>6793.3</v>
      </c>
      <c r="AC214" s="1112">
        <f>6700*O214</f>
        <v>6700</v>
      </c>
      <c r="AD214" s="1112"/>
      <c r="AE214" s="436">
        <f t="shared" si="85"/>
        <v>5159</v>
      </c>
      <c r="AF214" s="436">
        <f t="shared" si="86"/>
        <v>0</v>
      </c>
      <c r="AG214" s="436">
        <f t="shared" si="87"/>
        <v>5159</v>
      </c>
      <c r="AH214" s="436">
        <f t="shared" si="88"/>
        <v>0</v>
      </c>
      <c r="AI214" s="436">
        <f t="shared" si="89"/>
        <v>0</v>
      </c>
      <c r="AJ214" s="436">
        <f t="shared" si="69"/>
        <v>0</v>
      </c>
      <c r="AK214" s="437">
        <f t="shared" si="90"/>
        <v>1547.7</v>
      </c>
      <c r="AL214" s="437">
        <f t="shared" si="91"/>
        <v>0</v>
      </c>
      <c r="AM214" s="437">
        <f t="shared" si="92"/>
        <v>0</v>
      </c>
      <c r="AN214" s="437">
        <f t="shared" si="83"/>
        <v>0</v>
      </c>
      <c r="AO214" s="437">
        <f t="shared" si="84"/>
        <v>0</v>
      </c>
      <c r="AP214" s="437">
        <f t="shared" si="93"/>
        <v>5159</v>
      </c>
      <c r="AQ214" s="437">
        <f t="shared" si="70"/>
        <v>0</v>
      </c>
      <c r="AR214" s="436"/>
      <c r="AS214" s="437">
        <f t="shared" si="61"/>
        <v>5159</v>
      </c>
    </row>
    <row r="215" spans="1:45" s="438" customFormat="1" ht="24.95" customHeight="1">
      <c r="A215" s="1134"/>
      <c r="B215" s="1134"/>
      <c r="C215" s="1139"/>
      <c r="D215" s="1134"/>
      <c r="E215" s="1134"/>
      <c r="F215" s="1134"/>
      <c r="G215" s="1112"/>
      <c r="H215" s="1112"/>
      <c r="I215" s="1112"/>
      <c r="J215" s="1112"/>
      <c r="K215" s="1112"/>
      <c r="L215" s="1112"/>
      <c r="M215" s="1112"/>
      <c r="N215" s="1112"/>
      <c r="O215" s="1112"/>
      <c r="P215" s="1112"/>
      <c r="Q215" s="1112"/>
      <c r="R215" s="1112"/>
      <c r="S215" s="1112"/>
      <c r="T215" s="1134"/>
      <c r="U215" s="1138"/>
      <c r="V215" s="1112"/>
      <c r="W215" s="1112"/>
      <c r="X215" s="1112"/>
      <c r="Y215" s="1112"/>
      <c r="Z215" s="1112"/>
      <c r="AA215" s="1109"/>
      <c r="AB215" s="1109"/>
      <c r="AC215" s="1112"/>
      <c r="AD215" s="1112"/>
      <c r="AE215" s="436">
        <f t="shared" si="85"/>
        <v>0</v>
      </c>
      <c r="AF215" s="436">
        <f t="shared" si="86"/>
        <v>0</v>
      </c>
      <c r="AG215" s="436">
        <f t="shared" si="87"/>
        <v>0</v>
      </c>
      <c r="AH215" s="436">
        <f t="shared" si="88"/>
        <v>0</v>
      </c>
      <c r="AI215" s="436">
        <f t="shared" si="89"/>
        <v>0</v>
      </c>
      <c r="AJ215" s="436">
        <f t="shared" si="69"/>
        <v>0</v>
      </c>
      <c r="AK215" s="437">
        <f t="shared" si="90"/>
        <v>0</v>
      </c>
      <c r="AL215" s="437">
        <f t="shared" si="91"/>
        <v>0</v>
      </c>
      <c r="AM215" s="437">
        <f t="shared" si="92"/>
        <v>0</v>
      </c>
      <c r="AN215" s="437">
        <f t="shared" si="83"/>
        <v>0</v>
      </c>
      <c r="AO215" s="437">
        <f t="shared" si="84"/>
        <v>0</v>
      </c>
      <c r="AP215" s="437">
        <f t="shared" si="93"/>
        <v>0</v>
      </c>
      <c r="AQ215" s="437">
        <f t="shared" si="70"/>
        <v>0</v>
      </c>
      <c r="AR215" s="436"/>
      <c r="AS215" s="437">
        <f t="shared" si="61"/>
        <v>0</v>
      </c>
    </row>
    <row r="216" spans="1:45" s="438" customFormat="1" ht="24.95" customHeight="1">
      <c r="A216" s="1134"/>
      <c r="B216" s="1134"/>
      <c r="C216" s="1139" t="s">
        <v>579</v>
      </c>
      <c r="D216" s="1134" t="s">
        <v>1047</v>
      </c>
      <c r="E216" s="1134" t="s">
        <v>580</v>
      </c>
      <c r="F216" s="1134">
        <v>9</v>
      </c>
      <c r="G216" s="1112">
        <v>5159</v>
      </c>
      <c r="H216" s="1112"/>
      <c r="I216" s="1112"/>
      <c r="J216" s="1112"/>
      <c r="K216" s="1112"/>
      <c r="L216" s="1140"/>
      <c r="M216" s="1140"/>
      <c r="N216" s="1112">
        <f>G216+I217+L217</f>
        <v>5159</v>
      </c>
      <c r="O216" s="1112">
        <v>1</v>
      </c>
      <c r="P216" s="1112"/>
      <c r="Q216" s="1140"/>
      <c r="R216" s="1140"/>
      <c r="S216" s="1140"/>
      <c r="T216" s="1134">
        <v>28</v>
      </c>
      <c r="U216" s="1138">
        <v>0.3</v>
      </c>
      <c r="V216" s="1112">
        <f>N216*U216</f>
        <v>1547.7</v>
      </c>
      <c r="W216" s="1112"/>
      <c r="X216" s="1112">
        <f>(N216+V216)*O216+W216</f>
        <v>6706.7</v>
      </c>
      <c r="Y216" s="1112">
        <f>AB216</f>
        <v>6793.3</v>
      </c>
      <c r="Z216" s="1112">
        <f>X216+Y216</f>
        <v>13500</v>
      </c>
      <c r="AA216" s="1109">
        <f>13500*O216</f>
        <v>13500</v>
      </c>
      <c r="AB216" s="1109">
        <f>AA216-X216</f>
        <v>6793.3</v>
      </c>
      <c r="AC216" s="1112">
        <f>6700*O216</f>
        <v>6700</v>
      </c>
      <c r="AD216" s="1112"/>
      <c r="AE216" s="436">
        <f t="shared" si="85"/>
        <v>5159</v>
      </c>
      <c r="AF216" s="436">
        <f t="shared" si="86"/>
        <v>0</v>
      </c>
      <c r="AG216" s="436">
        <f t="shared" si="87"/>
        <v>5159</v>
      </c>
      <c r="AH216" s="436">
        <f t="shared" si="88"/>
        <v>0</v>
      </c>
      <c r="AI216" s="436">
        <f t="shared" si="89"/>
        <v>0</v>
      </c>
      <c r="AJ216" s="436">
        <f t="shared" si="69"/>
        <v>0</v>
      </c>
      <c r="AK216" s="437">
        <f t="shared" si="90"/>
        <v>1547.7</v>
      </c>
      <c r="AL216" s="437">
        <f t="shared" si="91"/>
        <v>0</v>
      </c>
      <c r="AM216" s="437">
        <f t="shared" si="92"/>
        <v>0</v>
      </c>
      <c r="AN216" s="437">
        <f t="shared" si="83"/>
        <v>0</v>
      </c>
      <c r="AO216" s="437">
        <f t="shared" si="84"/>
        <v>0</v>
      </c>
      <c r="AP216" s="437">
        <f t="shared" si="93"/>
        <v>5159</v>
      </c>
      <c r="AQ216" s="437">
        <f t="shared" si="70"/>
        <v>0</v>
      </c>
      <c r="AR216" s="436"/>
      <c r="AS216" s="437">
        <f t="shared" si="61"/>
        <v>5159</v>
      </c>
    </row>
    <row r="217" spans="1:45" s="438" customFormat="1" ht="24.95" customHeight="1">
      <c r="A217" s="1134"/>
      <c r="B217" s="1134"/>
      <c r="C217" s="1139"/>
      <c r="D217" s="1134"/>
      <c r="E217" s="1134"/>
      <c r="F217" s="1134"/>
      <c r="G217" s="1112"/>
      <c r="H217" s="1112"/>
      <c r="I217" s="1112"/>
      <c r="J217" s="1112"/>
      <c r="K217" s="1112"/>
      <c r="L217" s="1140"/>
      <c r="M217" s="1140"/>
      <c r="N217" s="1112"/>
      <c r="O217" s="1112"/>
      <c r="P217" s="1112"/>
      <c r="Q217" s="1140"/>
      <c r="R217" s="1140"/>
      <c r="S217" s="1140"/>
      <c r="T217" s="1134"/>
      <c r="U217" s="1138"/>
      <c r="V217" s="1112"/>
      <c r="W217" s="1112"/>
      <c r="X217" s="1112"/>
      <c r="Y217" s="1112"/>
      <c r="Z217" s="1112"/>
      <c r="AA217" s="1109"/>
      <c r="AB217" s="1109"/>
      <c r="AC217" s="1112"/>
      <c r="AD217" s="1112"/>
      <c r="AE217" s="436">
        <f t="shared" si="85"/>
        <v>0</v>
      </c>
      <c r="AF217" s="436">
        <f t="shared" si="86"/>
        <v>0</v>
      </c>
      <c r="AG217" s="436">
        <f t="shared" si="87"/>
        <v>0</v>
      </c>
      <c r="AH217" s="436">
        <f t="shared" si="88"/>
        <v>0</v>
      </c>
      <c r="AI217" s="436">
        <f t="shared" si="89"/>
        <v>0</v>
      </c>
      <c r="AJ217" s="436">
        <f t="shared" si="69"/>
        <v>0</v>
      </c>
      <c r="AK217" s="437">
        <f t="shared" si="90"/>
        <v>0</v>
      </c>
      <c r="AL217" s="437">
        <f t="shared" si="91"/>
        <v>0</v>
      </c>
      <c r="AM217" s="437">
        <f t="shared" si="92"/>
        <v>0</v>
      </c>
      <c r="AN217" s="437">
        <f t="shared" si="83"/>
        <v>0</v>
      </c>
      <c r="AO217" s="437">
        <f t="shared" si="84"/>
        <v>0</v>
      </c>
      <c r="AP217" s="437">
        <f t="shared" si="93"/>
        <v>0</v>
      </c>
      <c r="AQ217" s="437">
        <f t="shared" si="70"/>
        <v>0</v>
      </c>
      <c r="AR217" s="436"/>
      <c r="AS217" s="437">
        <f t="shared" si="61"/>
        <v>0</v>
      </c>
    </row>
    <row r="218" spans="1:45" s="438" customFormat="1" ht="24.95" customHeight="1">
      <c r="A218" s="1134"/>
      <c r="B218" s="1134"/>
      <c r="C218" s="1139" t="s">
        <v>581</v>
      </c>
      <c r="D218" s="1134" t="s">
        <v>562</v>
      </c>
      <c r="E218" s="1134" t="s">
        <v>582</v>
      </c>
      <c r="F218" s="1134">
        <v>9</v>
      </c>
      <c r="G218" s="1112">
        <v>5159</v>
      </c>
      <c r="H218" s="1112"/>
      <c r="I218" s="1112"/>
      <c r="J218" s="1112"/>
      <c r="K218" s="1112"/>
      <c r="L218" s="1112"/>
      <c r="M218" s="1112"/>
      <c r="N218" s="1112">
        <f>G218+I219</f>
        <v>5159</v>
      </c>
      <c r="O218" s="1112">
        <v>1</v>
      </c>
      <c r="P218" s="1112"/>
      <c r="Q218" s="1112"/>
      <c r="R218" s="1112"/>
      <c r="S218" s="1112"/>
      <c r="T218" s="1134">
        <v>40</v>
      </c>
      <c r="U218" s="1138">
        <v>0.3</v>
      </c>
      <c r="V218" s="1112">
        <f>N218*U218</f>
        <v>1547.7</v>
      </c>
      <c r="W218" s="1112"/>
      <c r="X218" s="1112">
        <f>(N218+V218)*O218</f>
        <v>6706.7</v>
      </c>
      <c r="Y218" s="1112">
        <f>AB218</f>
        <v>6793.3</v>
      </c>
      <c r="Z218" s="1112">
        <f>X218+Y218</f>
        <v>13500</v>
      </c>
      <c r="AA218" s="1109">
        <f>13500*O218</f>
        <v>13500</v>
      </c>
      <c r="AB218" s="1109">
        <f>AA218-X218</f>
        <v>6793.3</v>
      </c>
      <c r="AC218" s="1112">
        <f>6700*O218</f>
        <v>6700</v>
      </c>
      <c r="AD218" s="1112"/>
      <c r="AE218" s="436">
        <f t="shared" si="85"/>
        <v>5159</v>
      </c>
      <c r="AF218" s="436">
        <f t="shared" si="86"/>
        <v>0</v>
      </c>
      <c r="AG218" s="436">
        <f t="shared" si="87"/>
        <v>5159</v>
      </c>
      <c r="AH218" s="436">
        <f t="shared" si="88"/>
        <v>0</v>
      </c>
      <c r="AI218" s="436">
        <f t="shared" si="89"/>
        <v>0</v>
      </c>
      <c r="AJ218" s="436">
        <f t="shared" si="69"/>
        <v>0</v>
      </c>
      <c r="AK218" s="437">
        <f t="shared" si="90"/>
        <v>1547.7</v>
      </c>
      <c r="AL218" s="437">
        <f t="shared" si="91"/>
        <v>0</v>
      </c>
      <c r="AM218" s="437">
        <f t="shared" si="92"/>
        <v>0</v>
      </c>
      <c r="AN218" s="437">
        <f t="shared" si="83"/>
        <v>0</v>
      </c>
      <c r="AO218" s="437">
        <f t="shared" si="84"/>
        <v>0</v>
      </c>
      <c r="AP218" s="437">
        <f t="shared" si="93"/>
        <v>5159</v>
      </c>
      <c r="AQ218" s="437">
        <f t="shared" si="70"/>
        <v>0</v>
      </c>
      <c r="AR218" s="436"/>
      <c r="AS218" s="437">
        <f t="shared" si="61"/>
        <v>5159</v>
      </c>
    </row>
    <row r="219" spans="1:45" s="438" customFormat="1" ht="24.95" customHeight="1">
      <c r="A219" s="1134"/>
      <c r="B219" s="1134"/>
      <c r="C219" s="1139"/>
      <c r="D219" s="1134"/>
      <c r="E219" s="1134"/>
      <c r="F219" s="1134"/>
      <c r="G219" s="1112"/>
      <c r="H219" s="1112"/>
      <c r="I219" s="1112"/>
      <c r="J219" s="1112"/>
      <c r="K219" s="1112"/>
      <c r="L219" s="1112"/>
      <c r="M219" s="1112"/>
      <c r="N219" s="1112"/>
      <c r="O219" s="1112"/>
      <c r="P219" s="1112"/>
      <c r="Q219" s="1112"/>
      <c r="R219" s="1112"/>
      <c r="S219" s="1112"/>
      <c r="T219" s="1134"/>
      <c r="U219" s="1138"/>
      <c r="V219" s="1112"/>
      <c r="W219" s="1112"/>
      <c r="X219" s="1112"/>
      <c r="Y219" s="1112"/>
      <c r="Z219" s="1112"/>
      <c r="AA219" s="1109"/>
      <c r="AB219" s="1109"/>
      <c r="AC219" s="1112"/>
      <c r="AD219" s="1112"/>
      <c r="AE219" s="436">
        <f t="shared" si="85"/>
        <v>0</v>
      </c>
      <c r="AF219" s="436">
        <f t="shared" si="86"/>
        <v>0</v>
      </c>
      <c r="AG219" s="436">
        <f t="shared" si="87"/>
        <v>0</v>
      </c>
      <c r="AH219" s="436">
        <f t="shared" si="88"/>
        <v>0</v>
      </c>
      <c r="AI219" s="436">
        <f t="shared" si="89"/>
        <v>0</v>
      </c>
      <c r="AJ219" s="436">
        <f t="shared" si="69"/>
        <v>0</v>
      </c>
      <c r="AK219" s="437">
        <f t="shared" si="90"/>
        <v>0</v>
      </c>
      <c r="AL219" s="437">
        <f t="shared" si="91"/>
        <v>0</v>
      </c>
      <c r="AM219" s="437">
        <f t="shared" si="92"/>
        <v>0</v>
      </c>
      <c r="AN219" s="437">
        <f t="shared" si="83"/>
        <v>0</v>
      </c>
      <c r="AO219" s="437">
        <f t="shared" si="84"/>
        <v>0</v>
      </c>
      <c r="AP219" s="437">
        <f t="shared" si="93"/>
        <v>0</v>
      </c>
      <c r="AQ219" s="437">
        <f t="shared" si="70"/>
        <v>0</v>
      </c>
      <c r="AR219" s="436"/>
      <c r="AS219" s="437">
        <f t="shared" si="61"/>
        <v>0</v>
      </c>
    </row>
    <row r="220" spans="1:45" s="438" customFormat="1" ht="24.95" customHeight="1">
      <c r="A220" s="1134"/>
      <c r="B220" s="1134"/>
      <c r="C220" s="1139" t="s">
        <v>583</v>
      </c>
      <c r="D220" s="1134" t="s">
        <v>584</v>
      </c>
      <c r="E220" s="1134" t="s">
        <v>585</v>
      </c>
      <c r="F220" s="1134">
        <v>9</v>
      </c>
      <c r="G220" s="1112">
        <v>5159</v>
      </c>
      <c r="H220" s="1112"/>
      <c r="I220" s="1138"/>
      <c r="J220" s="1138"/>
      <c r="K220" s="1112"/>
      <c r="L220" s="1140"/>
      <c r="M220" s="1140"/>
      <c r="N220" s="1112">
        <f>G220+I221</f>
        <v>5159</v>
      </c>
      <c r="O220" s="1112">
        <v>0.5</v>
      </c>
      <c r="P220" s="1112"/>
      <c r="Q220" s="1140"/>
      <c r="R220" s="1140"/>
      <c r="S220" s="1140"/>
      <c r="T220" s="1134">
        <v>30</v>
      </c>
      <c r="U220" s="1138">
        <v>0.3</v>
      </c>
      <c r="V220" s="1112">
        <f>N220*U220</f>
        <v>1547.7</v>
      </c>
      <c r="W220" s="1112"/>
      <c r="X220" s="1112">
        <f>(N220+V220)*O220</f>
        <v>3353.35</v>
      </c>
      <c r="Y220" s="1112">
        <f>AB220</f>
        <v>3396.65</v>
      </c>
      <c r="Z220" s="1112">
        <f>X220+Y220</f>
        <v>6750</v>
      </c>
      <c r="AA220" s="1109">
        <f>13500*O220</f>
        <v>6750</v>
      </c>
      <c r="AB220" s="1109">
        <f>AA220-X220</f>
        <v>3396.65</v>
      </c>
      <c r="AC220" s="1112">
        <f>6700*O220</f>
        <v>3350</v>
      </c>
      <c r="AD220" s="1112"/>
      <c r="AE220" s="436">
        <f t="shared" si="85"/>
        <v>2579.5</v>
      </c>
      <c r="AF220" s="436">
        <f t="shared" si="86"/>
        <v>0</v>
      </c>
      <c r="AG220" s="436">
        <f t="shared" si="87"/>
        <v>2579.5</v>
      </c>
      <c r="AH220" s="436">
        <f t="shared" si="88"/>
        <v>0</v>
      </c>
      <c r="AI220" s="436">
        <f t="shared" si="89"/>
        <v>0</v>
      </c>
      <c r="AJ220" s="436">
        <f t="shared" si="69"/>
        <v>0</v>
      </c>
      <c r="AK220" s="437">
        <f t="shared" si="90"/>
        <v>773.85</v>
      </c>
      <c r="AL220" s="437">
        <f t="shared" si="91"/>
        <v>0</v>
      </c>
      <c r="AM220" s="437">
        <f t="shared" si="92"/>
        <v>0</v>
      </c>
      <c r="AN220" s="437">
        <f t="shared" si="83"/>
        <v>0</v>
      </c>
      <c r="AO220" s="437">
        <f t="shared" si="84"/>
        <v>0</v>
      </c>
      <c r="AP220" s="437">
        <f t="shared" si="93"/>
        <v>2579.5</v>
      </c>
      <c r="AQ220" s="437">
        <f t="shared" si="70"/>
        <v>0</v>
      </c>
      <c r="AR220" s="436"/>
      <c r="AS220" s="437">
        <f t="shared" si="61"/>
        <v>2579.5</v>
      </c>
    </row>
    <row r="221" spans="1:45" s="438" customFormat="1" ht="24.95" customHeight="1">
      <c r="A221" s="1134"/>
      <c r="B221" s="1134"/>
      <c r="C221" s="1139"/>
      <c r="D221" s="1134"/>
      <c r="E221" s="1134"/>
      <c r="F221" s="1134"/>
      <c r="G221" s="1112"/>
      <c r="H221" s="1112"/>
      <c r="I221" s="1134"/>
      <c r="J221" s="1134"/>
      <c r="K221" s="1112"/>
      <c r="L221" s="1140"/>
      <c r="M221" s="1140"/>
      <c r="N221" s="1112"/>
      <c r="O221" s="1112"/>
      <c r="P221" s="1112"/>
      <c r="Q221" s="1140"/>
      <c r="R221" s="1140"/>
      <c r="S221" s="1140"/>
      <c r="T221" s="1134"/>
      <c r="U221" s="1138"/>
      <c r="V221" s="1112"/>
      <c r="W221" s="1112"/>
      <c r="X221" s="1112"/>
      <c r="Y221" s="1112"/>
      <c r="Z221" s="1112"/>
      <c r="AA221" s="1109"/>
      <c r="AB221" s="1109"/>
      <c r="AC221" s="1112"/>
      <c r="AD221" s="1112"/>
      <c r="AE221" s="436">
        <f t="shared" si="85"/>
        <v>0</v>
      </c>
      <c r="AF221" s="436">
        <f t="shared" si="86"/>
        <v>0</v>
      </c>
      <c r="AG221" s="436">
        <f t="shared" si="87"/>
        <v>0</v>
      </c>
      <c r="AH221" s="436">
        <f t="shared" si="88"/>
        <v>0</v>
      </c>
      <c r="AI221" s="436">
        <f t="shared" si="89"/>
        <v>0</v>
      </c>
      <c r="AJ221" s="436">
        <f t="shared" si="69"/>
        <v>0</v>
      </c>
      <c r="AK221" s="437">
        <f t="shared" si="90"/>
        <v>0</v>
      </c>
      <c r="AL221" s="437">
        <f t="shared" si="91"/>
        <v>0</v>
      </c>
      <c r="AM221" s="437">
        <f t="shared" si="92"/>
        <v>0</v>
      </c>
      <c r="AN221" s="437">
        <f t="shared" si="83"/>
        <v>0</v>
      </c>
      <c r="AO221" s="437">
        <f t="shared" si="84"/>
        <v>0</v>
      </c>
      <c r="AP221" s="437">
        <f t="shared" si="93"/>
        <v>0</v>
      </c>
      <c r="AQ221" s="437">
        <f t="shared" si="70"/>
        <v>0</v>
      </c>
      <c r="AR221" s="436"/>
      <c r="AS221" s="437">
        <f t="shared" si="61"/>
        <v>0</v>
      </c>
    </row>
    <row r="222" spans="1:45" s="438" customFormat="1" ht="24.95" customHeight="1">
      <c r="A222" s="1134"/>
      <c r="B222" s="1134"/>
      <c r="C222" s="1139" t="s">
        <v>586</v>
      </c>
      <c r="D222" s="1140" t="s">
        <v>572</v>
      </c>
      <c r="E222" s="1140" t="s">
        <v>573</v>
      </c>
      <c r="F222" s="1134">
        <v>9</v>
      </c>
      <c r="G222" s="1112">
        <v>5159</v>
      </c>
      <c r="H222" s="1112"/>
      <c r="I222" s="1112"/>
      <c r="J222" s="1112"/>
      <c r="K222" s="1112"/>
      <c r="L222" s="435">
        <v>0.15</v>
      </c>
      <c r="M222" s="1112"/>
      <c r="N222" s="1112">
        <f>G222+I223+L223+M223</f>
        <v>5932.85</v>
      </c>
      <c r="O222" s="1112">
        <v>0.5</v>
      </c>
      <c r="P222" s="1112"/>
      <c r="Q222" s="1112"/>
      <c r="R222" s="1112"/>
      <c r="S222" s="1112"/>
      <c r="T222" s="1134">
        <v>27</v>
      </c>
      <c r="U222" s="1138">
        <v>0.3</v>
      </c>
      <c r="V222" s="1112">
        <f>N222*U222</f>
        <v>1779.855</v>
      </c>
      <c r="W222" s="1112"/>
      <c r="X222" s="1112">
        <f>(N222+V222)*O222+W222</f>
        <v>3856.3525</v>
      </c>
      <c r="Y222" s="1112">
        <f>AB222</f>
        <v>2893.6475</v>
      </c>
      <c r="Z222" s="1112">
        <f>X222+Y222</f>
        <v>6750</v>
      </c>
      <c r="AA222" s="1109">
        <f>13500*O222</f>
        <v>6750</v>
      </c>
      <c r="AB222" s="1109">
        <f>AA222-X222</f>
        <v>2893.6475</v>
      </c>
      <c r="AC222" s="1112">
        <f>6700*O222</f>
        <v>3350</v>
      </c>
      <c r="AD222" s="1112"/>
      <c r="AE222" s="436">
        <f>G222*O222</f>
        <v>2579.5</v>
      </c>
      <c r="AF222" s="436">
        <f>G222*P222</f>
        <v>0</v>
      </c>
      <c r="AG222" s="436">
        <f>N222*O222</f>
        <v>2966.4250000000002</v>
      </c>
      <c r="AH222" s="436">
        <f>N222*P222</f>
        <v>0</v>
      </c>
      <c r="AI222" s="436">
        <f>AG222-AE222</f>
        <v>386.92500000000018</v>
      </c>
      <c r="AJ222" s="436">
        <f>AH222-AF222</f>
        <v>0</v>
      </c>
      <c r="AK222" s="437">
        <f>V222*O222</f>
        <v>889.92750000000001</v>
      </c>
      <c r="AL222" s="437">
        <f>V222*P222</f>
        <v>0</v>
      </c>
      <c r="AM222" s="437">
        <f>W222</f>
        <v>0</v>
      </c>
      <c r="AN222" s="437">
        <f>S222*O222</f>
        <v>0</v>
      </c>
      <c r="AO222" s="437">
        <f>S222*P222</f>
        <v>0</v>
      </c>
      <c r="AP222" s="437">
        <f>AG222</f>
        <v>2966.4250000000002</v>
      </c>
      <c r="AQ222" s="437">
        <f>AH222</f>
        <v>0</v>
      </c>
      <c r="AR222" s="436"/>
      <c r="AS222" s="437">
        <f t="shared" ref="AS222:AS285" si="94">AP222+AQ222-AR222</f>
        <v>2966.4250000000002</v>
      </c>
    </row>
    <row r="223" spans="1:45" s="438" customFormat="1" ht="24.75" customHeight="1">
      <c r="A223" s="1134"/>
      <c r="B223" s="1134"/>
      <c r="C223" s="1139"/>
      <c r="D223" s="1140"/>
      <c r="E223" s="1140"/>
      <c r="F223" s="1134"/>
      <c r="G223" s="1112"/>
      <c r="H223" s="1112"/>
      <c r="I223" s="1112"/>
      <c r="J223" s="1112"/>
      <c r="K223" s="1112"/>
      <c r="L223" s="449">
        <f>(G222+H223)*L222</f>
        <v>773.85</v>
      </c>
      <c r="M223" s="1112"/>
      <c r="N223" s="1112"/>
      <c r="O223" s="1112"/>
      <c r="P223" s="1112"/>
      <c r="Q223" s="1112"/>
      <c r="R223" s="1112"/>
      <c r="S223" s="1112"/>
      <c r="T223" s="1134"/>
      <c r="U223" s="1138"/>
      <c r="V223" s="1112"/>
      <c r="W223" s="1112"/>
      <c r="X223" s="1112"/>
      <c r="Y223" s="1112"/>
      <c r="Z223" s="1112"/>
      <c r="AA223" s="1109"/>
      <c r="AB223" s="1109"/>
      <c r="AC223" s="1112"/>
      <c r="AD223" s="1112"/>
      <c r="AE223" s="436">
        <f>G223*O223</f>
        <v>0</v>
      </c>
      <c r="AF223" s="436">
        <f>G223*P223</f>
        <v>0</v>
      </c>
      <c r="AG223" s="436">
        <f>N223*O223</f>
        <v>0</v>
      </c>
      <c r="AH223" s="436">
        <f>N223*P223</f>
        <v>0</v>
      </c>
      <c r="AI223" s="436">
        <f>AG223-AE223</f>
        <v>0</v>
      </c>
      <c r="AJ223" s="436">
        <f>AH223-AF223</f>
        <v>0</v>
      </c>
      <c r="AK223" s="437">
        <f>V223*O223</f>
        <v>0</v>
      </c>
      <c r="AL223" s="437">
        <f>V223*P223</f>
        <v>0</v>
      </c>
      <c r="AM223" s="437">
        <f>W223</f>
        <v>0</v>
      </c>
      <c r="AN223" s="437">
        <f>S223*O223</f>
        <v>0</v>
      </c>
      <c r="AO223" s="437">
        <f>S223*P223</f>
        <v>0</v>
      </c>
      <c r="AP223" s="437">
        <f>AG223</f>
        <v>0</v>
      </c>
      <c r="AQ223" s="437">
        <f>AH223</f>
        <v>0</v>
      </c>
      <c r="AR223" s="436"/>
      <c r="AS223" s="437">
        <f t="shared" si="94"/>
        <v>0</v>
      </c>
    </row>
    <row r="224" spans="1:45" s="438" customFormat="1" ht="24.95" customHeight="1">
      <c r="A224" s="1134"/>
      <c r="B224" s="1134"/>
      <c r="C224" s="1139" t="s">
        <v>587</v>
      </c>
      <c r="D224" s="1134" t="s">
        <v>1048</v>
      </c>
      <c r="E224" s="1134" t="s">
        <v>588</v>
      </c>
      <c r="F224" s="1134">
        <v>9</v>
      </c>
      <c r="G224" s="1112">
        <v>5159</v>
      </c>
      <c r="H224" s="1112"/>
      <c r="I224" s="1112"/>
      <c r="J224" s="1112"/>
      <c r="K224" s="1112"/>
      <c r="L224" s="1112"/>
      <c r="M224" s="1112"/>
      <c r="N224" s="1112">
        <f>G224+H225</f>
        <v>5159</v>
      </c>
      <c r="O224" s="1112">
        <v>1</v>
      </c>
      <c r="P224" s="1112"/>
      <c r="Q224" s="1112"/>
      <c r="R224" s="1112"/>
      <c r="S224" s="1112"/>
      <c r="T224" s="1134">
        <v>15</v>
      </c>
      <c r="U224" s="1138">
        <v>0.2</v>
      </c>
      <c r="V224" s="1112">
        <f>N224*U224</f>
        <v>1031.8</v>
      </c>
      <c r="W224" s="1112">
        <f>AD224</f>
        <v>509.20000000000005</v>
      </c>
      <c r="X224" s="1112">
        <f>(N224+V224)*O224+W224</f>
        <v>6700</v>
      </c>
      <c r="Y224" s="1112">
        <f>AB224</f>
        <v>6800</v>
      </c>
      <c r="Z224" s="1112">
        <f>X224+Y224</f>
        <v>13500</v>
      </c>
      <c r="AA224" s="1109">
        <f>13500*O224</f>
        <v>13500</v>
      </c>
      <c r="AB224" s="1109">
        <f>AA224-X224</f>
        <v>6800</v>
      </c>
      <c r="AC224" s="1112">
        <f>6700*O224</f>
        <v>6700</v>
      </c>
      <c r="AD224" s="1112">
        <f>AC224-(N224*O224)-V224</f>
        <v>509.20000000000005</v>
      </c>
      <c r="AE224" s="436">
        <f t="shared" si="85"/>
        <v>5159</v>
      </c>
      <c r="AF224" s="436">
        <f t="shared" si="86"/>
        <v>0</v>
      </c>
      <c r="AG224" s="436">
        <f t="shared" si="87"/>
        <v>5159</v>
      </c>
      <c r="AH224" s="436">
        <f t="shared" si="88"/>
        <v>0</v>
      </c>
      <c r="AI224" s="436">
        <f t="shared" si="89"/>
        <v>0</v>
      </c>
      <c r="AJ224" s="436">
        <f t="shared" si="69"/>
        <v>0</v>
      </c>
      <c r="AK224" s="437">
        <f t="shared" si="90"/>
        <v>1031.8</v>
      </c>
      <c r="AL224" s="437">
        <f t="shared" si="91"/>
        <v>0</v>
      </c>
      <c r="AM224" s="437">
        <f t="shared" si="92"/>
        <v>509.20000000000005</v>
      </c>
      <c r="AN224" s="437">
        <f t="shared" si="83"/>
        <v>0</v>
      </c>
      <c r="AO224" s="437">
        <f t="shared" si="84"/>
        <v>0</v>
      </c>
      <c r="AP224" s="437">
        <f t="shared" si="93"/>
        <v>5159</v>
      </c>
      <c r="AQ224" s="437">
        <f t="shared" si="70"/>
        <v>0</v>
      </c>
      <c r="AR224" s="436"/>
      <c r="AS224" s="437">
        <f t="shared" si="94"/>
        <v>5159</v>
      </c>
    </row>
    <row r="225" spans="1:45" s="438" customFormat="1" ht="24.95" customHeight="1">
      <c r="A225" s="1134"/>
      <c r="B225" s="1134"/>
      <c r="C225" s="1139"/>
      <c r="D225" s="1134"/>
      <c r="E225" s="1134"/>
      <c r="F225" s="1134"/>
      <c r="G225" s="1112"/>
      <c r="H225" s="1112"/>
      <c r="I225" s="1112"/>
      <c r="J225" s="1112"/>
      <c r="K225" s="1112"/>
      <c r="L225" s="1112"/>
      <c r="M225" s="1112"/>
      <c r="N225" s="1112"/>
      <c r="O225" s="1112"/>
      <c r="P225" s="1112"/>
      <c r="Q225" s="1112"/>
      <c r="R225" s="1112"/>
      <c r="S225" s="1112"/>
      <c r="T225" s="1134"/>
      <c r="U225" s="1138"/>
      <c r="V225" s="1112"/>
      <c r="W225" s="1112"/>
      <c r="X225" s="1112"/>
      <c r="Y225" s="1112"/>
      <c r="Z225" s="1112"/>
      <c r="AA225" s="1109"/>
      <c r="AB225" s="1109"/>
      <c r="AC225" s="1112"/>
      <c r="AD225" s="1112"/>
      <c r="AE225" s="436">
        <f t="shared" si="85"/>
        <v>0</v>
      </c>
      <c r="AF225" s="436">
        <f t="shared" si="86"/>
        <v>0</v>
      </c>
      <c r="AG225" s="436">
        <f t="shared" si="87"/>
        <v>0</v>
      </c>
      <c r="AH225" s="436">
        <f t="shared" si="88"/>
        <v>0</v>
      </c>
      <c r="AI225" s="436">
        <f t="shared" si="89"/>
        <v>0</v>
      </c>
      <c r="AJ225" s="436">
        <f t="shared" si="69"/>
        <v>0</v>
      </c>
      <c r="AK225" s="437">
        <f t="shared" si="90"/>
        <v>0</v>
      </c>
      <c r="AL225" s="437">
        <f t="shared" si="91"/>
        <v>0</v>
      </c>
      <c r="AM225" s="437">
        <f t="shared" si="92"/>
        <v>0</v>
      </c>
      <c r="AN225" s="437">
        <f t="shared" si="83"/>
        <v>0</v>
      </c>
      <c r="AO225" s="437">
        <f t="shared" si="84"/>
        <v>0</v>
      </c>
      <c r="AP225" s="437">
        <f t="shared" si="93"/>
        <v>0</v>
      </c>
      <c r="AQ225" s="437">
        <f t="shared" si="70"/>
        <v>0</v>
      </c>
      <c r="AR225" s="436"/>
      <c r="AS225" s="437">
        <f t="shared" si="94"/>
        <v>0</v>
      </c>
    </row>
    <row r="226" spans="1:45" s="446" customFormat="1" ht="24.95" customHeight="1">
      <c r="A226" s="441"/>
      <c r="B226" s="441"/>
      <c r="C226" s="442" t="s">
        <v>318</v>
      </c>
      <c r="D226" s="443"/>
      <c r="E226" s="443"/>
      <c r="F226" s="441"/>
      <c r="G226" s="445">
        <f>SUM(G204:G225)</f>
        <v>56182</v>
      </c>
      <c r="H226" s="441"/>
      <c r="I226" s="441"/>
      <c r="J226" s="441"/>
      <c r="K226" s="441"/>
      <c r="L226" s="441"/>
      <c r="M226" s="441"/>
      <c r="N226" s="445">
        <f>SUM(N204:N225)</f>
        <v>62114.85</v>
      </c>
      <c r="O226" s="444">
        <f>SUM(O204:O225)</f>
        <v>9.5</v>
      </c>
      <c r="P226" s="444">
        <f>SUM(P204:P225)</f>
        <v>0</v>
      </c>
      <c r="Q226" s="444"/>
      <c r="R226" s="444"/>
      <c r="S226" s="444"/>
      <c r="T226" s="444"/>
      <c r="U226" s="444"/>
      <c r="V226" s="445">
        <f t="shared" ref="V226:AD226" si="95">SUM(V204:V225)</f>
        <v>17602.655000000002</v>
      </c>
      <c r="W226" s="445">
        <f t="shared" si="95"/>
        <v>1748.8000000000002</v>
      </c>
      <c r="X226" s="445">
        <f t="shared" si="95"/>
        <v>68388.239999999991</v>
      </c>
      <c r="Y226" s="445">
        <f t="shared" si="95"/>
        <v>59861.760000000009</v>
      </c>
      <c r="Z226" s="445">
        <f t="shared" si="95"/>
        <v>128250</v>
      </c>
      <c r="AA226" s="502">
        <f t="shared" si="95"/>
        <v>128250</v>
      </c>
      <c r="AB226" s="502">
        <f t="shared" si="95"/>
        <v>59861.760000000009</v>
      </c>
      <c r="AC226" s="444">
        <f t="shared" si="95"/>
        <v>63650</v>
      </c>
      <c r="AD226" s="444">
        <f t="shared" si="95"/>
        <v>1748.8000000000002</v>
      </c>
      <c r="AE226" s="436"/>
      <c r="AF226" s="436"/>
      <c r="AG226" s="436"/>
      <c r="AH226" s="436"/>
      <c r="AI226" s="436"/>
      <c r="AJ226" s="436"/>
      <c r="AK226" s="437"/>
      <c r="AL226" s="437"/>
      <c r="AM226" s="437"/>
      <c r="AN226" s="437"/>
      <c r="AO226" s="437"/>
      <c r="AP226" s="437">
        <f t="shared" si="70"/>
        <v>0</v>
      </c>
      <c r="AQ226" s="437">
        <f t="shared" si="70"/>
        <v>0</v>
      </c>
      <c r="AR226" s="436"/>
      <c r="AS226" s="437">
        <f t="shared" si="94"/>
        <v>0</v>
      </c>
    </row>
    <row r="227" spans="1:45" s="456" customFormat="1" ht="24.95" customHeight="1">
      <c r="A227" s="455"/>
      <c r="B227" s="455"/>
      <c r="C227" s="1136" t="s">
        <v>1006</v>
      </c>
      <c r="D227" s="1136"/>
      <c r="E227" s="455"/>
      <c r="F227" s="455"/>
      <c r="G227" s="455"/>
      <c r="H227" s="455"/>
      <c r="I227" s="455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/>
      <c r="Z227" s="455"/>
      <c r="AA227" s="504"/>
      <c r="AB227" s="504"/>
      <c r="AC227" s="455"/>
      <c r="AD227" s="455"/>
      <c r="AE227" s="436"/>
      <c r="AF227" s="436"/>
      <c r="AG227" s="436"/>
      <c r="AH227" s="436"/>
      <c r="AI227" s="436"/>
      <c r="AJ227" s="436"/>
      <c r="AK227" s="437"/>
      <c r="AL227" s="437"/>
      <c r="AM227" s="437"/>
      <c r="AN227" s="437"/>
      <c r="AO227" s="437"/>
      <c r="AP227" s="437">
        <f t="shared" si="70"/>
        <v>0</v>
      </c>
      <c r="AQ227" s="437">
        <f t="shared" si="70"/>
        <v>0</v>
      </c>
      <c r="AR227" s="436"/>
      <c r="AS227" s="437">
        <f t="shared" si="94"/>
        <v>0</v>
      </c>
    </row>
    <row r="228" spans="1:45" s="438" customFormat="1" ht="24.95" customHeight="1">
      <c r="A228" s="1134"/>
      <c r="B228" s="1134"/>
      <c r="C228" s="1139" t="s">
        <v>590</v>
      </c>
      <c r="D228" s="1134" t="s">
        <v>591</v>
      </c>
      <c r="E228" s="1134" t="s">
        <v>592</v>
      </c>
      <c r="F228" s="1134">
        <v>10</v>
      </c>
      <c r="G228" s="1112">
        <v>5427</v>
      </c>
      <c r="H228" s="435">
        <v>0.1</v>
      </c>
      <c r="I228" s="1140"/>
      <c r="J228" s="1140"/>
      <c r="K228" s="1140"/>
      <c r="L228" s="1140"/>
      <c r="M228" s="1140"/>
      <c r="N228" s="1112">
        <f>G228+H229+K229</f>
        <v>5969.7</v>
      </c>
      <c r="O228" s="1112">
        <v>1</v>
      </c>
      <c r="P228" s="1140"/>
      <c r="Q228" s="1140"/>
      <c r="R228" s="1140"/>
      <c r="S228" s="1140"/>
      <c r="T228" s="1134">
        <v>22</v>
      </c>
      <c r="U228" s="1138">
        <v>0.3</v>
      </c>
      <c r="V228" s="1112">
        <f>N228*U228</f>
        <v>1790.9099999999999</v>
      </c>
      <c r="W228" s="1112"/>
      <c r="X228" s="1112">
        <f>(N228+V228)*O228</f>
        <v>7760.61</v>
      </c>
      <c r="Y228" s="1112">
        <f>AB228</f>
        <v>5739.39</v>
      </c>
      <c r="Z228" s="1112">
        <f>X228+Y228</f>
        <v>13500</v>
      </c>
      <c r="AA228" s="1109">
        <f>13500*O228</f>
        <v>13500</v>
      </c>
      <c r="AB228" s="1109">
        <f>AA228-X228</f>
        <v>5739.39</v>
      </c>
      <c r="AC228" s="1112">
        <f>6700*O228</f>
        <v>6700</v>
      </c>
      <c r="AD228" s="1112"/>
      <c r="AE228" s="436">
        <f t="shared" ref="AE228:AE291" si="96">G228*O228</f>
        <v>5427</v>
      </c>
      <c r="AF228" s="436">
        <f t="shared" ref="AF228:AF291" si="97">G228*P228</f>
        <v>0</v>
      </c>
      <c r="AG228" s="436">
        <f t="shared" ref="AG228:AG291" si="98">N228*O228</f>
        <v>5969.7</v>
      </c>
      <c r="AH228" s="436">
        <f t="shared" ref="AH228:AH291" si="99">N228*P228</f>
        <v>0</v>
      </c>
      <c r="AI228" s="436">
        <f t="shared" ref="AI228:AJ244" si="100">AG228-AE228</f>
        <v>542.69999999999982</v>
      </c>
      <c r="AJ228" s="436">
        <f t="shared" si="100"/>
        <v>0</v>
      </c>
      <c r="AK228" s="437">
        <f t="shared" ref="AK228:AK291" si="101">V228*O228</f>
        <v>1790.9099999999999</v>
      </c>
      <c r="AL228" s="437">
        <f t="shared" ref="AL228:AL291" si="102">V228*P228</f>
        <v>0</v>
      </c>
      <c r="AM228" s="437">
        <f t="shared" ref="AM228:AM291" si="103">W228</f>
        <v>0</v>
      </c>
      <c r="AN228" s="437">
        <f t="shared" ref="AN228:AN291" si="104">S228*O228</f>
        <v>0</v>
      </c>
      <c r="AO228" s="437">
        <f t="shared" ref="AO228:AO291" si="105">S228*P228</f>
        <v>0</v>
      </c>
      <c r="AP228" s="437">
        <f t="shared" si="70"/>
        <v>5969.7</v>
      </c>
      <c r="AQ228" s="437">
        <f t="shared" si="70"/>
        <v>0</v>
      </c>
      <c r="AR228" s="436"/>
      <c r="AS228" s="437">
        <f t="shared" si="94"/>
        <v>5969.7</v>
      </c>
    </row>
    <row r="229" spans="1:45" s="438" customFormat="1" ht="24.95" customHeight="1">
      <c r="A229" s="1134"/>
      <c r="B229" s="1134"/>
      <c r="C229" s="1139"/>
      <c r="D229" s="1134"/>
      <c r="E229" s="1134"/>
      <c r="F229" s="1134"/>
      <c r="G229" s="1112"/>
      <c r="H229" s="449">
        <f>G228*H228</f>
        <v>542.70000000000005</v>
      </c>
      <c r="I229" s="1140"/>
      <c r="J229" s="1140"/>
      <c r="K229" s="1140"/>
      <c r="L229" s="1140"/>
      <c r="M229" s="1140"/>
      <c r="N229" s="1112"/>
      <c r="O229" s="1112"/>
      <c r="P229" s="1140"/>
      <c r="Q229" s="1140"/>
      <c r="R229" s="1140"/>
      <c r="S229" s="1140"/>
      <c r="T229" s="1134"/>
      <c r="U229" s="1138"/>
      <c r="V229" s="1112"/>
      <c r="W229" s="1112"/>
      <c r="X229" s="1112"/>
      <c r="Y229" s="1112"/>
      <c r="Z229" s="1112"/>
      <c r="AA229" s="1109"/>
      <c r="AB229" s="1109"/>
      <c r="AC229" s="1112"/>
      <c r="AD229" s="1112"/>
      <c r="AE229" s="436">
        <f t="shared" si="96"/>
        <v>0</v>
      </c>
      <c r="AF229" s="436">
        <f t="shared" si="97"/>
        <v>0</v>
      </c>
      <c r="AG229" s="436">
        <f t="shared" si="98"/>
        <v>0</v>
      </c>
      <c r="AH229" s="436">
        <f t="shared" si="99"/>
        <v>0</v>
      </c>
      <c r="AI229" s="436">
        <f t="shared" si="100"/>
        <v>0</v>
      </c>
      <c r="AJ229" s="436">
        <f t="shared" si="100"/>
        <v>0</v>
      </c>
      <c r="AK229" s="437">
        <f t="shared" si="101"/>
        <v>0</v>
      </c>
      <c r="AL229" s="437">
        <f t="shared" si="102"/>
        <v>0</v>
      </c>
      <c r="AM229" s="437">
        <f t="shared" si="103"/>
        <v>0</v>
      </c>
      <c r="AN229" s="437">
        <f t="shared" si="104"/>
        <v>0</v>
      </c>
      <c r="AO229" s="437">
        <f t="shared" si="105"/>
        <v>0</v>
      </c>
      <c r="AP229" s="437">
        <f t="shared" si="70"/>
        <v>0</v>
      </c>
      <c r="AQ229" s="437">
        <f t="shared" si="70"/>
        <v>0</v>
      </c>
      <c r="AR229" s="436"/>
      <c r="AS229" s="437">
        <f t="shared" si="94"/>
        <v>0</v>
      </c>
    </row>
    <row r="230" spans="1:45" s="438" customFormat="1" ht="24.95" customHeight="1">
      <c r="A230" s="1134"/>
      <c r="B230" s="1134"/>
      <c r="C230" s="1139" t="s">
        <v>568</v>
      </c>
      <c r="D230" s="1134" t="s">
        <v>593</v>
      </c>
      <c r="E230" s="1134" t="s">
        <v>594</v>
      </c>
      <c r="F230" s="1134">
        <v>10</v>
      </c>
      <c r="G230" s="1112">
        <v>5427</v>
      </c>
      <c r="H230" s="1112"/>
      <c r="I230" s="1138"/>
      <c r="J230" s="1138"/>
      <c r="K230" s="1112"/>
      <c r="L230" s="1140"/>
      <c r="M230" s="1140"/>
      <c r="N230" s="1112">
        <f>G230+I231</f>
        <v>5427</v>
      </c>
      <c r="O230" s="1112">
        <v>1</v>
      </c>
      <c r="P230" s="1112"/>
      <c r="Q230" s="1140"/>
      <c r="R230" s="1140"/>
      <c r="S230" s="1140"/>
      <c r="T230" s="1134">
        <v>39</v>
      </c>
      <c r="U230" s="1138">
        <v>0.3</v>
      </c>
      <c r="V230" s="1112">
        <f>N230*U230</f>
        <v>1628.1</v>
      </c>
      <c r="W230" s="1112"/>
      <c r="X230" s="1112">
        <f>(N230+V230)*O230</f>
        <v>7055.1</v>
      </c>
      <c r="Y230" s="1112">
        <f>AB230</f>
        <v>6444.9</v>
      </c>
      <c r="Z230" s="1112">
        <f>X230+Y230</f>
        <v>13500</v>
      </c>
      <c r="AA230" s="1109">
        <f>13500*O230</f>
        <v>13500</v>
      </c>
      <c r="AB230" s="1109">
        <f>AA230-X230</f>
        <v>6444.9</v>
      </c>
      <c r="AC230" s="1112">
        <f>6700*O230</f>
        <v>6700</v>
      </c>
      <c r="AD230" s="1112"/>
      <c r="AE230" s="436">
        <f t="shared" si="96"/>
        <v>5427</v>
      </c>
      <c r="AF230" s="436">
        <f t="shared" si="97"/>
        <v>0</v>
      </c>
      <c r="AG230" s="436">
        <f t="shared" si="98"/>
        <v>5427</v>
      </c>
      <c r="AH230" s="436">
        <f t="shared" si="99"/>
        <v>0</v>
      </c>
      <c r="AI230" s="436">
        <f t="shared" si="100"/>
        <v>0</v>
      </c>
      <c r="AJ230" s="436">
        <f t="shared" si="100"/>
        <v>0</v>
      </c>
      <c r="AK230" s="437">
        <f t="shared" si="101"/>
        <v>1628.1</v>
      </c>
      <c r="AL230" s="437">
        <f t="shared" si="102"/>
        <v>0</v>
      </c>
      <c r="AM230" s="437">
        <f t="shared" si="103"/>
        <v>0</v>
      </c>
      <c r="AN230" s="437">
        <f t="shared" si="104"/>
        <v>0</v>
      </c>
      <c r="AO230" s="437">
        <f t="shared" si="105"/>
        <v>0</v>
      </c>
      <c r="AP230" s="437">
        <f t="shared" ref="AP230:AQ259" si="106">AG230</f>
        <v>5427</v>
      </c>
      <c r="AQ230" s="437">
        <f t="shared" si="106"/>
        <v>0</v>
      </c>
      <c r="AR230" s="436"/>
      <c r="AS230" s="437">
        <f t="shared" si="94"/>
        <v>5427</v>
      </c>
    </row>
    <row r="231" spans="1:45" s="438" customFormat="1" ht="24.95" customHeight="1">
      <c r="A231" s="1134"/>
      <c r="B231" s="1134"/>
      <c r="C231" s="1139"/>
      <c r="D231" s="1134"/>
      <c r="E231" s="1134"/>
      <c r="F231" s="1134"/>
      <c r="G231" s="1112"/>
      <c r="H231" s="1112"/>
      <c r="I231" s="1134"/>
      <c r="J231" s="1134"/>
      <c r="K231" s="1112"/>
      <c r="L231" s="1140"/>
      <c r="M231" s="1140"/>
      <c r="N231" s="1112"/>
      <c r="O231" s="1112"/>
      <c r="P231" s="1112"/>
      <c r="Q231" s="1140"/>
      <c r="R231" s="1140"/>
      <c r="S231" s="1140"/>
      <c r="T231" s="1134"/>
      <c r="U231" s="1138"/>
      <c r="V231" s="1112"/>
      <c r="W231" s="1112"/>
      <c r="X231" s="1112"/>
      <c r="Y231" s="1112"/>
      <c r="Z231" s="1112"/>
      <c r="AA231" s="1109"/>
      <c r="AB231" s="1109"/>
      <c r="AC231" s="1112"/>
      <c r="AD231" s="1112"/>
      <c r="AE231" s="436">
        <f t="shared" si="96"/>
        <v>0</v>
      </c>
      <c r="AF231" s="436">
        <f t="shared" si="97"/>
        <v>0</v>
      </c>
      <c r="AG231" s="436">
        <f t="shared" si="98"/>
        <v>0</v>
      </c>
      <c r="AH231" s="436">
        <f t="shared" si="99"/>
        <v>0</v>
      </c>
      <c r="AI231" s="436">
        <f t="shared" si="100"/>
        <v>0</v>
      </c>
      <c r="AJ231" s="436">
        <f t="shared" si="100"/>
        <v>0</v>
      </c>
      <c r="AK231" s="437">
        <f t="shared" si="101"/>
        <v>0</v>
      </c>
      <c r="AL231" s="437">
        <f t="shared" si="102"/>
        <v>0</v>
      </c>
      <c r="AM231" s="437">
        <f t="shared" si="103"/>
        <v>0</v>
      </c>
      <c r="AN231" s="437">
        <f t="shared" si="104"/>
        <v>0</v>
      </c>
      <c r="AO231" s="437">
        <f t="shared" si="105"/>
        <v>0</v>
      </c>
      <c r="AP231" s="437">
        <f t="shared" si="106"/>
        <v>0</v>
      </c>
      <c r="AQ231" s="437">
        <f t="shared" si="106"/>
        <v>0</v>
      </c>
      <c r="AR231" s="436"/>
      <c r="AS231" s="437">
        <f t="shared" si="94"/>
        <v>0</v>
      </c>
    </row>
    <row r="232" spans="1:45" s="438" customFormat="1" ht="24.95" customHeight="1">
      <c r="A232" s="1134"/>
      <c r="B232" s="1134"/>
      <c r="C232" s="1139" t="s">
        <v>568</v>
      </c>
      <c r="D232" s="1134" t="s">
        <v>595</v>
      </c>
      <c r="E232" s="1134" t="s">
        <v>596</v>
      </c>
      <c r="F232" s="1134">
        <v>10</v>
      </c>
      <c r="G232" s="1112">
        <v>5427</v>
      </c>
      <c r="H232" s="1112"/>
      <c r="I232" s="1112"/>
      <c r="J232" s="1112"/>
      <c r="K232" s="1112"/>
      <c r="L232" s="1112"/>
      <c r="M232" s="1112"/>
      <c r="N232" s="1112">
        <f>G232+I233</f>
        <v>5427</v>
      </c>
      <c r="O232" s="1112">
        <v>1</v>
      </c>
      <c r="P232" s="1112"/>
      <c r="Q232" s="1112"/>
      <c r="R232" s="1112"/>
      <c r="S232" s="1112"/>
      <c r="T232" s="1134">
        <v>29</v>
      </c>
      <c r="U232" s="1138">
        <v>0.3</v>
      </c>
      <c r="V232" s="1112">
        <f>N232*U232</f>
        <v>1628.1</v>
      </c>
      <c r="W232" s="1112"/>
      <c r="X232" s="1112">
        <f>(N232+V232)*O232</f>
        <v>7055.1</v>
      </c>
      <c r="Y232" s="1112">
        <f>AB232</f>
        <v>6444.9</v>
      </c>
      <c r="Z232" s="1112">
        <f>X232+Y232</f>
        <v>13500</v>
      </c>
      <c r="AA232" s="1109">
        <f>13500*O232</f>
        <v>13500</v>
      </c>
      <c r="AB232" s="1109">
        <f>AA232-X232</f>
        <v>6444.9</v>
      </c>
      <c r="AC232" s="1112">
        <f>6700*O232</f>
        <v>6700</v>
      </c>
      <c r="AD232" s="1112"/>
      <c r="AE232" s="436">
        <f t="shared" si="96"/>
        <v>5427</v>
      </c>
      <c r="AF232" s="436">
        <f t="shared" si="97"/>
        <v>0</v>
      </c>
      <c r="AG232" s="436">
        <f t="shared" si="98"/>
        <v>5427</v>
      </c>
      <c r="AH232" s="436">
        <f t="shared" si="99"/>
        <v>0</v>
      </c>
      <c r="AI232" s="436">
        <f t="shared" si="100"/>
        <v>0</v>
      </c>
      <c r="AJ232" s="436">
        <f t="shared" si="100"/>
        <v>0</v>
      </c>
      <c r="AK232" s="437">
        <f t="shared" si="101"/>
        <v>1628.1</v>
      </c>
      <c r="AL232" s="437">
        <f t="shared" si="102"/>
        <v>0</v>
      </c>
      <c r="AM232" s="437">
        <f t="shared" si="103"/>
        <v>0</v>
      </c>
      <c r="AN232" s="437">
        <f t="shared" si="104"/>
        <v>0</v>
      </c>
      <c r="AO232" s="437">
        <f t="shared" si="105"/>
        <v>0</v>
      </c>
      <c r="AP232" s="437">
        <f t="shared" si="106"/>
        <v>5427</v>
      </c>
      <c r="AQ232" s="437">
        <f t="shared" si="106"/>
        <v>0</v>
      </c>
      <c r="AR232" s="436"/>
      <c r="AS232" s="437">
        <f t="shared" si="94"/>
        <v>5427</v>
      </c>
    </row>
    <row r="233" spans="1:45" s="438" customFormat="1">
      <c r="A233" s="1134"/>
      <c r="B233" s="1134"/>
      <c r="C233" s="1139"/>
      <c r="D233" s="1134"/>
      <c r="E233" s="1134"/>
      <c r="F233" s="1134"/>
      <c r="G233" s="1112"/>
      <c r="H233" s="1112"/>
      <c r="I233" s="1112"/>
      <c r="J233" s="1112"/>
      <c r="K233" s="1112"/>
      <c r="L233" s="1112"/>
      <c r="M233" s="1112"/>
      <c r="N233" s="1112"/>
      <c r="O233" s="1112"/>
      <c r="P233" s="1112"/>
      <c r="Q233" s="1112"/>
      <c r="R233" s="1112"/>
      <c r="S233" s="1112"/>
      <c r="T233" s="1134"/>
      <c r="U233" s="1138"/>
      <c r="V233" s="1112"/>
      <c r="W233" s="1112"/>
      <c r="X233" s="1112"/>
      <c r="Y233" s="1112"/>
      <c r="Z233" s="1112"/>
      <c r="AA233" s="1109"/>
      <c r="AB233" s="1109"/>
      <c r="AC233" s="1112"/>
      <c r="AD233" s="1112"/>
      <c r="AE233" s="436">
        <f t="shared" si="96"/>
        <v>0</v>
      </c>
      <c r="AF233" s="436">
        <f t="shared" si="97"/>
        <v>0</v>
      </c>
      <c r="AG233" s="436">
        <f t="shared" si="98"/>
        <v>0</v>
      </c>
      <c r="AH233" s="436">
        <f t="shared" si="99"/>
        <v>0</v>
      </c>
      <c r="AI233" s="436">
        <f t="shared" si="100"/>
        <v>0</v>
      </c>
      <c r="AJ233" s="436">
        <f t="shared" si="100"/>
        <v>0</v>
      </c>
      <c r="AK233" s="437">
        <f t="shared" si="101"/>
        <v>0</v>
      </c>
      <c r="AL233" s="437">
        <f t="shared" si="102"/>
        <v>0</v>
      </c>
      <c r="AM233" s="437">
        <f t="shared" si="103"/>
        <v>0</v>
      </c>
      <c r="AN233" s="437">
        <f t="shared" si="104"/>
        <v>0</v>
      </c>
      <c r="AO233" s="437">
        <f t="shared" si="105"/>
        <v>0</v>
      </c>
      <c r="AP233" s="437">
        <f t="shared" si="106"/>
        <v>0</v>
      </c>
      <c r="AQ233" s="437">
        <f t="shared" si="106"/>
        <v>0</v>
      </c>
      <c r="AR233" s="436"/>
      <c r="AS233" s="437">
        <f t="shared" si="94"/>
        <v>0</v>
      </c>
    </row>
    <row r="234" spans="1:45" s="438" customFormat="1" ht="24.95" customHeight="1">
      <c r="A234" s="1134"/>
      <c r="B234" s="1134"/>
      <c r="C234" s="1139" t="s">
        <v>568</v>
      </c>
      <c r="D234" s="1134" t="s">
        <v>601</v>
      </c>
      <c r="E234" s="1134" t="s">
        <v>602</v>
      </c>
      <c r="F234" s="1134">
        <v>7</v>
      </c>
      <c r="G234" s="1112">
        <v>4592</v>
      </c>
      <c r="H234" s="1112"/>
      <c r="I234" s="1112"/>
      <c r="J234" s="1112"/>
      <c r="K234" s="1112"/>
      <c r="L234" s="1112"/>
      <c r="M234" s="1140"/>
      <c r="N234" s="1112">
        <f>G234+H235+L235</f>
        <v>4592</v>
      </c>
      <c r="O234" s="1112">
        <v>1</v>
      </c>
      <c r="P234" s="1112"/>
      <c r="Q234" s="1140"/>
      <c r="R234" s="1140"/>
      <c r="S234" s="1140"/>
      <c r="T234" s="1134">
        <v>14</v>
      </c>
      <c r="U234" s="1138">
        <v>0.2</v>
      </c>
      <c r="V234" s="1112">
        <f>N234*U234</f>
        <v>918.40000000000009</v>
      </c>
      <c r="W234" s="1112">
        <f>AD234</f>
        <v>1189.5999999999999</v>
      </c>
      <c r="X234" s="1112">
        <f>(N234+V234)*O234+W234</f>
        <v>6700</v>
      </c>
      <c r="Y234" s="1112">
        <f>AB234</f>
        <v>6800</v>
      </c>
      <c r="Z234" s="1112">
        <f>X234+Y234</f>
        <v>13500</v>
      </c>
      <c r="AA234" s="1109">
        <f>13500*O234</f>
        <v>13500</v>
      </c>
      <c r="AB234" s="1109">
        <f>AA234-X234</f>
        <v>6800</v>
      </c>
      <c r="AC234" s="1112">
        <f>6700*O234</f>
        <v>6700</v>
      </c>
      <c r="AD234" s="1112">
        <f>AC234-(N234*O234)-V234</f>
        <v>1189.5999999999999</v>
      </c>
      <c r="AE234" s="436">
        <f t="shared" si="96"/>
        <v>4592</v>
      </c>
      <c r="AF234" s="436">
        <f t="shared" si="97"/>
        <v>0</v>
      </c>
      <c r="AG234" s="436">
        <f t="shared" si="98"/>
        <v>4592</v>
      </c>
      <c r="AH234" s="436">
        <f t="shared" si="99"/>
        <v>0</v>
      </c>
      <c r="AI234" s="436">
        <f t="shared" si="100"/>
        <v>0</v>
      </c>
      <c r="AJ234" s="436">
        <f t="shared" si="100"/>
        <v>0</v>
      </c>
      <c r="AK234" s="437">
        <f t="shared" si="101"/>
        <v>918.40000000000009</v>
      </c>
      <c r="AL234" s="437">
        <f t="shared" si="102"/>
        <v>0</v>
      </c>
      <c r="AM234" s="437">
        <f t="shared" si="103"/>
        <v>1189.5999999999999</v>
      </c>
      <c r="AN234" s="437">
        <f t="shared" si="104"/>
        <v>0</v>
      </c>
      <c r="AO234" s="437">
        <f t="shared" si="105"/>
        <v>0</v>
      </c>
      <c r="AP234" s="437">
        <f t="shared" si="106"/>
        <v>4592</v>
      </c>
      <c r="AQ234" s="437">
        <f t="shared" si="106"/>
        <v>0</v>
      </c>
      <c r="AR234" s="436"/>
      <c r="AS234" s="437">
        <f t="shared" si="94"/>
        <v>4592</v>
      </c>
    </row>
    <row r="235" spans="1:45" s="438" customFormat="1" ht="24.95" customHeight="1">
      <c r="A235" s="1134"/>
      <c r="B235" s="1134"/>
      <c r="C235" s="1139"/>
      <c r="D235" s="1134"/>
      <c r="E235" s="1134"/>
      <c r="F235" s="1134"/>
      <c r="G235" s="1112"/>
      <c r="H235" s="1112"/>
      <c r="I235" s="1112"/>
      <c r="J235" s="1112"/>
      <c r="K235" s="1112"/>
      <c r="L235" s="1112"/>
      <c r="M235" s="1140"/>
      <c r="N235" s="1112"/>
      <c r="O235" s="1112"/>
      <c r="P235" s="1112"/>
      <c r="Q235" s="1140"/>
      <c r="R235" s="1140"/>
      <c r="S235" s="1140"/>
      <c r="T235" s="1134"/>
      <c r="U235" s="1138"/>
      <c r="V235" s="1112"/>
      <c r="W235" s="1112"/>
      <c r="X235" s="1112"/>
      <c r="Y235" s="1112"/>
      <c r="Z235" s="1112"/>
      <c r="AA235" s="1109"/>
      <c r="AB235" s="1109"/>
      <c r="AC235" s="1112"/>
      <c r="AD235" s="1112"/>
      <c r="AE235" s="436">
        <f t="shared" si="96"/>
        <v>0</v>
      </c>
      <c r="AF235" s="436">
        <f t="shared" si="97"/>
        <v>0</v>
      </c>
      <c r="AG235" s="436">
        <f t="shared" si="98"/>
        <v>0</v>
      </c>
      <c r="AH235" s="436">
        <f t="shared" si="99"/>
        <v>0</v>
      </c>
      <c r="AI235" s="436">
        <f t="shared" si="100"/>
        <v>0</v>
      </c>
      <c r="AJ235" s="436">
        <f t="shared" si="100"/>
        <v>0</v>
      </c>
      <c r="AK235" s="437">
        <f t="shared" si="101"/>
        <v>0</v>
      </c>
      <c r="AL235" s="437">
        <f t="shared" si="102"/>
        <v>0</v>
      </c>
      <c r="AM235" s="437">
        <f t="shared" si="103"/>
        <v>0</v>
      </c>
      <c r="AN235" s="437">
        <f t="shared" si="104"/>
        <v>0</v>
      </c>
      <c r="AO235" s="437">
        <f t="shared" si="105"/>
        <v>0</v>
      </c>
      <c r="AP235" s="437">
        <f t="shared" si="106"/>
        <v>0</v>
      </c>
      <c r="AQ235" s="437">
        <f t="shared" si="106"/>
        <v>0</v>
      </c>
      <c r="AR235" s="436"/>
      <c r="AS235" s="437">
        <f t="shared" si="94"/>
        <v>0</v>
      </c>
    </row>
    <row r="236" spans="1:45" s="438" customFormat="1" ht="24.95" customHeight="1">
      <c r="A236" s="1134"/>
      <c r="B236" s="1134"/>
      <c r="C236" s="1139" t="s">
        <v>568</v>
      </c>
      <c r="D236" s="1134" t="s">
        <v>599</v>
      </c>
      <c r="E236" s="1134" t="s">
        <v>600</v>
      </c>
      <c r="F236" s="1134">
        <v>10</v>
      </c>
      <c r="G236" s="1112">
        <v>5427</v>
      </c>
      <c r="H236" s="1112"/>
      <c r="I236" s="1112"/>
      <c r="J236" s="1112"/>
      <c r="K236" s="1112"/>
      <c r="L236" s="1112"/>
      <c r="M236" s="1112"/>
      <c r="N236" s="1112">
        <f>G236+H237</f>
        <v>5427</v>
      </c>
      <c r="O236" s="1112">
        <v>1</v>
      </c>
      <c r="P236" s="1112"/>
      <c r="Q236" s="1112"/>
      <c r="R236" s="1112"/>
      <c r="S236" s="1112"/>
      <c r="T236" s="1134">
        <v>26</v>
      </c>
      <c r="U236" s="1138">
        <v>0.3</v>
      </c>
      <c r="V236" s="1112">
        <f>N236*U236</f>
        <v>1628.1</v>
      </c>
      <c r="W236" s="1112"/>
      <c r="X236" s="1112">
        <f>(N236+V236)*O236</f>
        <v>7055.1</v>
      </c>
      <c r="Y236" s="1112">
        <f>AB236</f>
        <v>6444.9</v>
      </c>
      <c r="Z236" s="1112">
        <f>X236+Y236</f>
        <v>13500</v>
      </c>
      <c r="AA236" s="1109">
        <f>13500*O236</f>
        <v>13500</v>
      </c>
      <c r="AB236" s="1109">
        <f>AA236-X236</f>
        <v>6444.9</v>
      </c>
      <c r="AC236" s="1112">
        <f>6700*O236</f>
        <v>6700</v>
      </c>
      <c r="AD236" s="1112"/>
      <c r="AE236" s="436">
        <f t="shared" si="96"/>
        <v>5427</v>
      </c>
      <c r="AF236" s="436">
        <f t="shared" si="97"/>
        <v>0</v>
      </c>
      <c r="AG236" s="436">
        <f t="shared" si="98"/>
        <v>5427</v>
      </c>
      <c r="AH236" s="436">
        <f t="shared" si="99"/>
        <v>0</v>
      </c>
      <c r="AI236" s="436">
        <f t="shared" si="100"/>
        <v>0</v>
      </c>
      <c r="AJ236" s="436">
        <f t="shared" si="100"/>
        <v>0</v>
      </c>
      <c r="AK236" s="437">
        <f t="shared" si="101"/>
        <v>1628.1</v>
      </c>
      <c r="AL236" s="437">
        <f t="shared" si="102"/>
        <v>0</v>
      </c>
      <c r="AM236" s="437">
        <f t="shared" si="103"/>
        <v>0</v>
      </c>
      <c r="AN236" s="437">
        <f t="shared" si="104"/>
        <v>0</v>
      </c>
      <c r="AO236" s="437">
        <f t="shared" si="105"/>
        <v>0</v>
      </c>
      <c r="AP236" s="437">
        <f t="shared" si="106"/>
        <v>5427</v>
      </c>
      <c r="AQ236" s="437">
        <f t="shared" si="106"/>
        <v>0</v>
      </c>
      <c r="AR236" s="436"/>
      <c r="AS236" s="437">
        <f t="shared" si="94"/>
        <v>5427</v>
      </c>
    </row>
    <row r="237" spans="1:45" s="438" customFormat="1" ht="24.95" customHeight="1">
      <c r="A237" s="1134"/>
      <c r="B237" s="1134"/>
      <c r="C237" s="1139"/>
      <c r="D237" s="1134"/>
      <c r="E237" s="1134"/>
      <c r="F237" s="1134"/>
      <c r="G237" s="1112"/>
      <c r="H237" s="1112"/>
      <c r="I237" s="1112"/>
      <c r="J237" s="1112"/>
      <c r="K237" s="1112"/>
      <c r="L237" s="1112"/>
      <c r="M237" s="1112"/>
      <c r="N237" s="1112"/>
      <c r="O237" s="1112"/>
      <c r="P237" s="1112"/>
      <c r="Q237" s="1112"/>
      <c r="R237" s="1112"/>
      <c r="S237" s="1112"/>
      <c r="T237" s="1134"/>
      <c r="U237" s="1138"/>
      <c r="V237" s="1112"/>
      <c r="W237" s="1112"/>
      <c r="X237" s="1112"/>
      <c r="Y237" s="1112"/>
      <c r="Z237" s="1112"/>
      <c r="AA237" s="1109"/>
      <c r="AB237" s="1109"/>
      <c r="AC237" s="1112"/>
      <c r="AD237" s="1112"/>
      <c r="AE237" s="436">
        <f t="shared" si="96"/>
        <v>0</v>
      </c>
      <c r="AF237" s="436">
        <f t="shared" si="97"/>
        <v>0</v>
      </c>
      <c r="AG237" s="436">
        <f t="shared" si="98"/>
        <v>0</v>
      </c>
      <c r="AH237" s="436">
        <f t="shared" si="99"/>
        <v>0</v>
      </c>
      <c r="AI237" s="436">
        <f t="shared" si="100"/>
        <v>0</v>
      </c>
      <c r="AJ237" s="436">
        <f t="shared" si="100"/>
        <v>0</v>
      </c>
      <c r="AK237" s="437">
        <f t="shared" si="101"/>
        <v>0</v>
      </c>
      <c r="AL237" s="437">
        <f t="shared" si="102"/>
        <v>0</v>
      </c>
      <c r="AM237" s="437">
        <f t="shared" si="103"/>
        <v>0</v>
      </c>
      <c r="AN237" s="437">
        <f t="shared" si="104"/>
        <v>0</v>
      </c>
      <c r="AO237" s="437">
        <f t="shared" si="105"/>
        <v>0</v>
      </c>
      <c r="AP237" s="437">
        <f t="shared" si="106"/>
        <v>0</v>
      </c>
      <c r="AQ237" s="437">
        <f t="shared" si="106"/>
        <v>0</v>
      </c>
      <c r="AR237" s="436"/>
      <c r="AS237" s="437">
        <f t="shared" si="94"/>
        <v>0</v>
      </c>
    </row>
    <row r="238" spans="1:45" s="438" customFormat="1" ht="24.95" customHeight="1">
      <c r="A238" s="1134"/>
      <c r="B238" s="1134"/>
      <c r="C238" s="1139" t="s">
        <v>568</v>
      </c>
      <c r="D238" s="1134" t="s">
        <v>597</v>
      </c>
      <c r="E238" s="1134" t="s">
        <v>598</v>
      </c>
      <c r="F238" s="1134">
        <v>10</v>
      </c>
      <c r="G238" s="1112">
        <v>5427</v>
      </c>
      <c r="H238" s="1112"/>
      <c r="I238" s="1112"/>
      <c r="J238" s="1112"/>
      <c r="K238" s="1112"/>
      <c r="L238" s="1112"/>
      <c r="M238" s="1112"/>
      <c r="N238" s="1112">
        <f>G238+H239</f>
        <v>5427</v>
      </c>
      <c r="O238" s="1112">
        <v>1</v>
      </c>
      <c r="P238" s="1112"/>
      <c r="Q238" s="1112"/>
      <c r="R238" s="1112"/>
      <c r="S238" s="1112"/>
      <c r="T238" s="1134">
        <v>24</v>
      </c>
      <c r="U238" s="1138">
        <v>0.3</v>
      </c>
      <c r="V238" s="1112">
        <f>N238*U238</f>
        <v>1628.1</v>
      </c>
      <c r="W238" s="1112"/>
      <c r="X238" s="1112">
        <f>(N238+V238)*O238</f>
        <v>7055.1</v>
      </c>
      <c r="Y238" s="1112">
        <f>AB238</f>
        <v>6444.9</v>
      </c>
      <c r="Z238" s="1112">
        <f>X238+Y238</f>
        <v>13500</v>
      </c>
      <c r="AA238" s="1109">
        <f>13500*O238</f>
        <v>13500</v>
      </c>
      <c r="AB238" s="1109">
        <f>AA238-X238</f>
        <v>6444.9</v>
      </c>
      <c r="AC238" s="1112">
        <f>6700*O238</f>
        <v>6700</v>
      </c>
      <c r="AD238" s="1112"/>
      <c r="AE238" s="436">
        <f t="shared" si="96"/>
        <v>5427</v>
      </c>
      <c r="AF238" s="436">
        <f t="shared" si="97"/>
        <v>0</v>
      </c>
      <c r="AG238" s="436">
        <f t="shared" si="98"/>
        <v>5427</v>
      </c>
      <c r="AH238" s="436">
        <f t="shared" si="99"/>
        <v>0</v>
      </c>
      <c r="AI238" s="436">
        <f t="shared" si="100"/>
        <v>0</v>
      </c>
      <c r="AJ238" s="436">
        <f t="shared" si="100"/>
        <v>0</v>
      </c>
      <c r="AK238" s="437">
        <f t="shared" si="101"/>
        <v>1628.1</v>
      </c>
      <c r="AL238" s="437">
        <f t="shared" si="102"/>
        <v>0</v>
      </c>
      <c r="AM238" s="437">
        <f t="shared" si="103"/>
        <v>0</v>
      </c>
      <c r="AN238" s="437">
        <f t="shared" si="104"/>
        <v>0</v>
      </c>
      <c r="AO238" s="437">
        <f t="shared" si="105"/>
        <v>0</v>
      </c>
      <c r="AP238" s="437">
        <f t="shared" si="106"/>
        <v>5427</v>
      </c>
      <c r="AQ238" s="437">
        <f t="shared" si="106"/>
        <v>0</v>
      </c>
      <c r="AR238" s="436"/>
      <c r="AS238" s="437">
        <f t="shared" si="94"/>
        <v>5427</v>
      </c>
    </row>
    <row r="239" spans="1:45" s="438" customFormat="1" ht="24.95" customHeight="1">
      <c r="A239" s="1134"/>
      <c r="B239" s="1134"/>
      <c r="C239" s="1139"/>
      <c r="D239" s="1134"/>
      <c r="E239" s="1134"/>
      <c r="F239" s="1134"/>
      <c r="G239" s="1112"/>
      <c r="H239" s="1112"/>
      <c r="I239" s="1112"/>
      <c r="J239" s="1112"/>
      <c r="K239" s="1112"/>
      <c r="L239" s="1112"/>
      <c r="M239" s="1112"/>
      <c r="N239" s="1112"/>
      <c r="O239" s="1112"/>
      <c r="P239" s="1112"/>
      <c r="Q239" s="1112"/>
      <c r="R239" s="1112"/>
      <c r="S239" s="1112"/>
      <c r="T239" s="1134"/>
      <c r="U239" s="1138"/>
      <c r="V239" s="1112"/>
      <c r="W239" s="1112"/>
      <c r="X239" s="1112"/>
      <c r="Y239" s="1112"/>
      <c r="Z239" s="1112"/>
      <c r="AA239" s="1109"/>
      <c r="AB239" s="1109"/>
      <c r="AC239" s="1112"/>
      <c r="AD239" s="1112"/>
      <c r="AE239" s="436">
        <f t="shared" si="96"/>
        <v>0</v>
      </c>
      <c r="AF239" s="436">
        <f t="shared" si="97"/>
        <v>0</v>
      </c>
      <c r="AG239" s="436">
        <f t="shared" si="98"/>
        <v>0</v>
      </c>
      <c r="AH239" s="436">
        <f t="shared" si="99"/>
        <v>0</v>
      </c>
      <c r="AI239" s="436">
        <f t="shared" si="100"/>
        <v>0</v>
      </c>
      <c r="AJ239" s="436">
        <f t="shared" si="100"/>
        <v>0</v>
      </c>
      <c r="AK239" s="437">
        <f t="shared" si="101"/>
        <v>0</v>
      </c>
      <c r="AL239" s="437">
        <f t="shared" si="102"/>
        <v>0</v>
      </c>
      <c r="AM239" s="437">
        <f t="shared" si="103"/>
        <v>0</v>
      </c>
      <c r="AN239" s="437">
        <f t="shared" si="104"/>
        <v>0</v>
      </c>
      <c r="AO239" s="437">
        <f t="shared" si="105"/>
        <v>0</v>
      </c>
      <c r="AP239" s="437">
        <f t="shared" si="106"/>
        <v>0</v>
      </c>
      <c r="AQ239" s="437">
        <f t="shared" si="106"/>
        <v>0</v>
      </c>
      <c r="AR239" s="436"/>
      <c r="AS239" s="437">
        <f t="shared" si="94"/>
        <v>0</v>
      </c>
    </row>
    <row r="240" spans="1:45" s="438" customFormat="1" ht="24.95" customHeight="1">
      <c r="A240" s="1134"/>
      <c r="B240" s="1134"/>
      <c r="C240" s="1139" t="s">
        <v>564</v>
      </c>
      <c r="D240" s="1134" t="s">
        <v>603</v>
      </c>
      <c r="E240" s="1134" t="s">
        <v>604</v>
      </c>
      <c r="F240" s="1134">
        <v>9</v>
      </c>
      <c r="G240" s="1112">
        <v>5159</v>
      </c>
      <c r="H240" s="1112"/>
      <c r="I240" s="1112"/>
      <c r="J240" s="1112"/>
      <c r="K240" s="1112"/>
      <c r="L240" s="1112"/>
      <c r="M240" s="1112"/>
      <c r="N240" s="1112">
        <f>G240+H241+L241</f>
        <v>5159</v>
      </c>
      <c r="O240" s="1112">
        <v>1</v>
      </c>
      <c r="P240" s="1112"/>
      <c r="Q240" s="1112"/>
      <c r="R240" s="1112"/>
      <c r="S240" s="1112"/>
      <c r="T240" s="1134">
        <v>34</v>
      </c>
      <c r="U240" s="1138">
        <v>0.3</v>
      </c>
      <c r="V240" s="1112">
        <f>N240*U240</f>
        <v>1547.7</v>
      </c>
      <c r="W240" s="1112"/>
      <c r="X240" s="1112">
        <f>(N240+V240)*O240</f>
        <v>6706.7</v>
      </c>
      <c r="Y240" s="1112">
        <f>AB240</f>
        <v>6793.3</v>
      </c>
      <c r="Z240" s="1112">
        <f>X240+Y240</f>
        <v>13500</v>
      </c>
      <c r="AA240" s="1109">
        <f>13500*O240</f>
        <v>13500</v>
      </c>
      <c r="AB240" s="1109">
        <f>AA240-X240</f>
        <v>6793.3</v>
      </c>
      <c r="AC240" s="1112">
        <f>6700*O240</f>
        <v>6700</v>
      </c>
      <c r="AD240" s="1112"/>
      <c r="AE240" s="436">
        <f t="shared" si="96"/>
        <v>5159</v>
      </c>
      <c r="AF240" s="436">
        <f t="shared" si="97"/>
        <v>0</v>
      </c>
      <c r="AG240" s="436">
        <f t="shared" si="98"/>
        <v>5159</v>
      </c>
      <c r="AH240" s="436">
        <f t="shared" si="99"/>
        <v>0</v>
      </c>
      <c r="AI240" s="436">
        <f t="shared" si="100"/>
        <v>0</v>
      </c>
      <c r="AJ240" s="436">
        <f t="shared" si="100"/>
        <v>0</v>
      </c>
      <c r="AK240" s="437">
        <f t="shared" si="101"/>
        <v>1547.7</v>
      </c>
      <c r="AL240" s="437">
        <f t="shared" si="102"/>
        <v>0</v>
      </c>
      <c r="AM240" s="437">
        <f t="shared" si="103"/>
        <v>0</v>
      </c>
      <c r="AN240" s="437">
        <f t="shared" si="104"/>
        <v>0</v>
      </c>
      <c r="AO240" s="437">
        <f t="shared" si="105"/>
        <v>0</v>
      </c>
      <c r="AP240" s="437">
        <f t="shared" si="106"/>
        <v>5159</v>
      </c>
      <c r="AQ240" s="437">
        <f t="shared" si="106"/>
        <v>0</v>
      </c>
      <c r="AR240" s="436"/>
      <c r="AS240" s="437">
        <f t="shared" si="94"/>
        <v>5159</v>
      </c>
    </row>
    <row r="241" spans="1:45" s="438" customFormat="1" ht="24.95" customHeight="1">
      <c r="A241" s="1134"/>
      <c r="B241" s="1134"/>
      <c r="C241" s="1139"/>
      <c r="D241" s="1134"/>
      <c r="E241" s="1134"/>
      <c r="F241" s="1134"/>
      <c r="G241" s="1112"/>
      <c r="H241" s="1112"/>
      <c r="I241" s="1112"/>
      <c r="J241" s="1112"/>
      <c r="K241" s="1112"/>
      <c r="L241" s="1112"/>
      <c r="M241" s="1112"/>
      <c r="N241" s="1112"/>
      <c r="O241" s="1112"/>
      <c r="P241" s="1112"/>
      <c r="Q241" s="1112"/>
      <c r="R241" s="1112"/>
      <c r="S241" s="1112"/>
      <c r="T241" s="1134"/>
      <c r="U241" s="1138"/>
      <c r="V241" s="1112"/>
      <c r="W241" s="1112"/>
      <c r="X241" s="1112"/>
      <c r="Y241" s="1112"/>
      <c r="Z241" s="1112"/>
      <c r="AA241" s="1109"/>
      <c r="AB241" s="1109"/>
      <c r="AC241" s="1112"/>
      <c r="AD241" s="1112"/>
      <c r="AE241" s="436">
        <f t="shared" si="96"/>
        <v>0</v>
      </c>
      <c r="AF241" s="436">
        <f t="shared" si="97"/>
        <v>0</v>
      </c>
      <c r="AG241" s="436">
        <f t="shared" si="98"/>
        <v>0</v>
      </c>
      <c r="AH241" s="436">
        <f t="shared" si="99"/>
        <v>0</v>
      </c>
      <c r="AI241" s="436">
        <f t="shared" si="100"/>
        <v>0</v>
      </c>
      <c r="AJ241" s="436">
        <f t="shared" si="100"/>
        <v>0</v>
      </c>
      <c r="AK241" s="437">
        <f t="shared" si="101"/>
        <v>0</v>
      </c>
      <c r="AL241" s="437">
        <f t="shared" si="102"/>
        <v>0</v>
      </c>
      <c r="AM241" s="437">
        <f t="shared" si="103"/>
        <v>0</v>
      </c>
      <c r="AN241" s="437">
        <f t="shared" si="104"/>
        <v>0</v>
      </c>
      <c r="AO241" s="437">
        <f t="shared" si="105"/>
        <v>0</v>
      </c>
      <c r="AP241" s="437">
        <f t="shared" si="106"/>
        <v>0</v>
      </c>
      <c r="AQ241" s="437">
        <f t="shared" si="106"/>
        <v>0</v>
      </c>
      <c r="AR241" s="436"/>
      <c r="AS241" s="437">
        <f t="shared" si="94"/>
        <v>0</v>
      </c>
    </row>
    <row r="242" spans="1:45" s="438" customFormat="1" ht="24.95" customHeight="1">
      <c r="A242" s="1134"/>
      <c r="B242" s="1134"/>
      <c r="C242" s="1139" t="s">
        <v>564</v>
      </c>
      <c r="D242" s="1134" t="s">
        <v>665</v>
      </c>
      <c r="E242" s="1134" t="s">
        <v>666</v>
      </c>
      <c r="F242" s="1134">
        <v>10</v>
      </c>
      <c r="G242" s="1112">
        <v>5427</v>
      </c>
      <c r="H242" s="1112"/>
      <c r="I242" s="1112"/>
      <c r="J242" s="1112"/>
      <c r="K242" s="1112"/>
      <c r="L242" s="1112"/>
      <c r="M242" s="1112"/>
      <c r="N242" s="1112">
        <f>G242+H243+L243</f>
        <v>5427</v>
      </c>
      <c r="O242" s="1112">
        <v>1</v>
      </c>
      <c r="P242" s="1112"/>
      <c r="Q242" s="1112"/>
      <c r="R242" s="1112"/>
      <c r="S242" s="1112"/>
      <c r="T242" s="1134">
        <v>32</v>
      </c>
      <c r="U242" s="1138">
        <v>0.3</v>
      </c>
      <c r="V242" s="1112">
        <f>N242*U242</f>
        <v>1628.1</v>
      </c>
      <c r="W242" s="1112"/>
      <c r="X242" s="1112">
        <f>(N242+V242)*O242+W242</f>
        <v>7055.1</v>
      </c>
      <c r="Y242" s="1112">
        <f>AB242</f>
        <v>6444.9</v>
      </c>
      <c r="Z242" s="1112">
        <f>X242+Y242</f>
        <v>13500</v>
      </c>
      <c r="AA242" s="1109">
        <f>13500*O242</f>
        <v>13500</v>
      </c>
      <c r="AB242" s="1109">
        <f>AA242-X242</f>
        <v>6444.9</v>
      </c>
      <c r="AC242" s="1112">
        <f>6700*O242</f>
        <v>6700</v>
      </c>
      <c r="AD242" s="1112"/>
      <c r="AE242" s="436">
        <f>G242*O242</f>
        <v>5427</v>
      </c>
      <c r="AF242" s="436">
        <f>G242*P242</f>
        <v>0</v>
      </c>
      <c r="AG242" s="436">
        <f>N242*O242</f>
        <v>5427</v>
      </c>
      <c r="AH242" s="436">
        <f>N242*P242</f>
        <v>0</v>
      </c>
      <c r="AI242" s="436">
        <f>AG242-AE242</f>
        <v>0</v>
      </c>
      <c r="AJ242" s="436">
        <f>AH242-AF242</f>
        <v>0</v>
      </c>
      <c r="AK242" s="437">
        <f>V242*O242</f>
        <v>1628.1</v>
      </c>
      <c r="AL242" s="437">
        <f>V242*P242</f>
        <v>0</v>
      </c>
      <c r="AM242" s="437">
        <f>W242</f>
        <v>0</v>
      </c>
      <c r="AN242" s="437">
        <f>S242*O242</f>
        <v>0</v>
      </c>
      <c r="AO242" s="437">
        <f>S242*P242</f>
        <v>0</v>
      </c>
      <c r="AP242" s="437">
        <f t="shared" si="106"/>
        <v>5427</v>
      </c>
      <c r="AQ242" s="437">
        <f>AH242</f>
        <v>0</v>
      </c>
      <c r="AR242" s="436"/>
      <c r="AS242" s="437">
        <f>AP242+AQ242-AR242</f>
        <v>5427</v>
      </c>
    </row>
    <row r="243" spans="1:45" s="438" customFormat="1" ht="24.95" customHeight="1">
      <c r="A243" s="1134"/>
      <c r="B243" s="1134"/>
      <c r="C243" s="1139"/>
      <c r="D243" s="1134"/>
      <c r="E243" s="1134"/>
      <c r="F243" s="1134"/>
      <c r="G243" s="1112"/>
      <c r="H243" s="1112"/>
      <c r="I243" s="1112"/>
      <c r="J243" s="1112"/>
      <c r="K243" s="1112"/>
      <c r="L243" s="1112"/>
      <c r="M243" s="1112"/>
      <c r="N243" s="1112"/>
      <c r="O243" s="1112"/>
      <c r="P243" s="1112"/>
      <c r="Q243" s="1112"/>
      <c r="R243" s="1112"/>
      <c r="S243" s="1112"/>
      <c r="T243" s="1134"/>
      <c r="U243" s="1138"/>
      <c r="V243" s="1112"/>
      <c r="W243" s="1112"/>
      <c r="X243" s="1112"/>
      <c r="Y243" s="1112"/>
      <c r="Z243" s="1112"/>
      <c r="AA243" s="1109"/>
      <c r="AB243" s="1109"/>
      <c r="AC243" s="1112"/>
      <c r="AD243" s="1112"/>
      <c r="AE243" s="436">
        <f>G243*O243</f>
        <v>0</v>
      </c>
      <c r="AF243" s="436">
        <f>G243*P243</f>
        <v>0</v>
      </c>
      <c r="AG243" s="436">
        <f>N243*O243</f>
        <v>0</v>
      </c>
      <c r="AH243" s="436">
        <f>N243*P243</f>
        <v>0</v>
      </c>
      <c r="AI243" s="436">
        <f>AG243-AE243</f>
        <v>0</v>
      </c>
      <c r="AJ243" s="436">
        <f>AH243-AF243</f>
        <v>0</v>
      </c>
      <c r="AK243" s="437">
        <f>V243*O243</f>
        <v>0</v>
      </c>
      <c r="AL243" s="437">
        <f>V243*P243</f>
        <v>0</v>
      </c>
      <c r="AM243" s="437">
        <f>W243</f>
        <v>0</v>
      </c>
      <c r="AN243" s="437">
        <f>S243*O243</f>
        <v>0</v>
      </c>
      <c r="AO243" s="437">
        <f>S243*P243</f>
        <v>0</v>
      </c>
      <c r="AP243" s="437">
        <f t="shared" si="106"/>
        <v>0</v>
      </c>
      <c r="AQ243" s="437">
        <f>AH243</f>
        <v>0</v>
      </c>
      <c r="AR243" s="436"/>
      <c r="AS243" s="437">
        <f>AP243+AQ243-AR243</f>
        <v>0</v>
      </c>
    </row>
    <row r="244" spans="1:45" s="438" customFormat="1" ht="24.95" customHeight="1">
      <c r="A244" s="1134"/>
      <c r="B244" s="1134"/>
      <c r="C244" s="1139" t="s">
        <v>564</v>
      </c>
      <c r="D244" s="1134" t="s">
        <v>607</v>
      </c>
      <c r="E244" s="1134" t="s">
        <v>608</v>
      </c>
      <c r="F244" s="1134">
        <v>10</v>
      </c>
      <c r="G244" s="1112">
        <v>5427</v>
      </c>
      <c r="H244" s="1112"/>
      <c r="I244" s="1112"/>
      <c r="J244" s="1112"/>
      <c r="K244" s="1112"/>
      <c r="L244" s="1112"/>
      <c r="M244" s="1112"/>
      <c r="N244" s="1112">
        <f>G244+H245+L245</f>
        <v>5427</v>
      </c>
      <c r="O244" s="1112">
        <v>1</v>
      </c>
      <c r="P244" s="1112"/>
      <c r="Q244" s="1112"/>
      <c r="R244" s="1112"/>
      <c r="S244" s="1112"/>
      <c r="T244" s="1134">
        <v>31</v>
      </c>
      <c r="U244" s="1138">
        <v>0.3</v>
      </c>
      <c r="V244" s="1112">
        <f>N244*U244</f>
        <v>1628.1</v>
      </c>
      <c r="W244" s="1112"/>
      <c r="X244" s="1112">
        <f>(N244+V244)*O244</f>
        <v>7055.1</v>
      </c>
      <c r="Y244" s="1112">
        <f>AB244</f>
        <v>6444.9</v>
      </c>
      <c r="Z244" s="1112">
        <f>X244+Y244</f>
        <v>13500</v>
      </c>
      <c r="AA244" s="1109">
        <f>13500*O244</f>
        <v>13500</v>
      </c>
      <c r="AB244" s="1109">
        <f>AA244-X244</f>
        <v>6444.9</v>
      </c>
      <c r="AC244" s="1112">
        <f>6700*O244</f>
        <v>6700</v>
      </c>
      <c r="AD244" s="1112"/>
      <c r="AE244" s="436">
        <f t="shared" si="96"/>
        <v>5427</v>
      </c>
      <c r="AF244" s="436">
        <f t="shared" si="97"/>
        <v>0</v>
      </c>
      <c r="AG244" s="436">
        <f t="shared" si="98"/>
        <v>5427</v>
      </c>
      <c r="AH244" s="436">
        <f t="shared" si="99"/>
        <v>0</v>
      </c>
      <c r="AI244" s="436">
        <f t="shared" si="100"/>
        <v>0</v>
      </c>
      <c r="AJ244" s="436">
        <f t="shared" si="100"/>
        <v>0</v>
      </c>
      <c r="AK244" s="437">
        <f t="shared" si="101"/>
        <v>1628.1</v>
      </c>
      <c r="AL244" s="437">
        <f t="shared" si="102"/>
        <v>0</v>
      </c>
      <c r="AM244" s="437">
        <f t="shared" si="103"/>
        <v>0</v>
      </c>
      <c r="AN244" s="437">
        <f t="shared" si="104"/>
        <v>0</v>
      </c>
      <c r="AO244" s="437">
        <f t="shared" si="105"/>
        <v>0</v>
      </c>
      <c r="AP244" s="437">
        <f t="shared" si="106"/>
        <v>5427</v>
      </c>
      <c r="AQ244" s="437">
        <f t="shared" si="106"/>
        <v>0</v>
      </c>
      <c r="AR244" s="436"/>
      <c r="AS244" s="437">
        <f t="shared" si="94"/>
        <v>5427</v>
      </c>
    </row>
    <row r="245" spans="1:45" s="438" customFormat="1" ht="24.95" customHeight="1">
      <c r="A245" s="1134"/>
      <c r="B245" s="1134"/>
      <c r="C245" s="1139"/>
      <c r="D245" s="1134"/>
      <c r="E245" s="1134"/>
      <c r="F245" s="1134"/>
      <c r="G245" s="1112"/>
      <c r="H245" s="1112"/>
      <c r="I245" s="1112"/>
      <c r="J245" s="1112"/>
      <c r="K245" s="1112"/>
      <c r="L245" s="1112"/>
      <c r="M245" s="1112"/>
      <c r="N245" s="1112"/>
      <c r="O245" s="1112"/>
      <c r="P245" s="1112"/>
      <c r="Q245" s="1112"/>
      <c r="R245" s="1112"/>
      <c r="S245" s="1112"/>
      <c r="T245" s="1134"/>
      <c r="U245" s="1138"/>
      <c r="V245" s="1112"/>
      <c r="W245" s="1112"/>
      <c r="X245" s="1112"/>
      <c r="Y245" s="1112"/>
      <c r="Z245" s="1112"/>
      <c r="AA245" s="1109"/>
      <c r="AB245" s="1109"/>
      <c r="AC245" s="1112"/>
      <c r="AD245" s="1112"/>
      <c r="AE245" s="436">
        <f t="shared" si="96"/>
        <v>0</v>
      </c>
      <c r="AF245" s="436">
        <f t="shared" si="97"/>
        <v>0</v>
      </c>
      <c r="AG245" s="436">
        <f t="shared" si="98"/>
        <v>0</v>
      </c>
      <c r="AH245" s="436">
        <f t="shared" si="99"/>
        <v>0</v>
      </c>
      <c r="AI245" s="436">
        <f>AG245-AE245</f>
        <v>0</v>
      </c>
      <c r="AJ245" s="436">
        <f t="shared" ref="AJ245:AJ320" si="107">AH245-AF245</f>
        <v>0</v>
      </c>
      <c r="AK245" s="437">
        <f t="shared" si="101"/>
        <v>0</v>
      </c>
      <c r="AL245" s="437">
        <f t="shared" si="102"/>
        <v>0</v>
      </c>
      <c r="AM245" s="437">
        <f t="shared" si="103"/>
        <v>0</v>
      </c>
      <c r="AN245" s="437">
        <f t="shared" si="104"/>
        <v>0</v>
      </c>
      <c r="AO245" s="437">
        <f t="shared" si="105"/>
        <v>0</v>
      </c>
      <c r="AP245" s="437">
        <f t="shared" si="106"/>
        <v>0</v>
      </c>
      <c r="AQ245" s="437">
        <f t="shared" si="106"/>
        <v>0</v>
      </c>
      <c r="AR245" s="436"/>
      <c r="AS245" s="437">
        <f t="shared" si="94"/>
        <v>0</v>
      </c>
    </row>
    <row r="246" spans="1:45" s="438" customFormat="1" ht="24.95" customHeight="1">
      <c r="A246" s="1134"/>
      <c r="B246" s="1134"/>
      <c r="C246" s="1139" t="s">
        <v>564</v>
      </c>
      <c r="D246" s="1134" t="s">
        <v>609</v>
      </c>
      <c r="E246" s="1134" t="s">
        <v>610</v>
      </c>
      <c r="F246" s="1134">
        <v>10</v>
      </c>
      <c r="G246" s="1112">
        <v>5427</v>
      </c>
      <c r="H246" s="1112"/>
      <c r="I246" s="1112"/>
      <c r="J246" s="1112"/>
      <c r="K246" s="1112"/>
      <c r="L246" s="1112"/>
      <c r="M246" s="1112"/>
      <c r="N246" s="1112">
        <f>G246+H247+L247</f>
        <v>5427</v>
      </c>
      <c r="O246" s="1112">
        <v>1</v>
      </c>
      <c r="P246" s="1112"/>
      <c r="Q246" s="1112"/>
      <c r="R246" s="1112"/>
      <c r="S246" s="1112"/>
      <c r="T246" s="1134">
        <v>27</v>
      </c>
      <c r="U246" s="1138">
        <v>0.3</v>
      </c>
      <c r="V246" s="1112">
        <f>N246*U246</f>
        <v>1628.1</v>
      </c>
      <c r="W246" s="1112"/>
      <c r="X246" s="1112">
        <f>(N246+V246)*O246</f>
        <v>7055.1</v>
      </c>
      <c r="Y246" s="1112">
        <f>AB246</f>
        <v>6444.9</v>
      </c>
      <c r="Z246" s="1112">
        <f>X246+Y246</f>
        <v>13500</v>
      </c>
      <c r="AA246" s="1109">
        <f>13500*O246</f>
        <v>13500</v>
      </c>
      <c r="AB246" s="1109">
        <f>AA246-X246</f>
        <v>6444.9</v>
      </c>
      <c r="AC246" s="1112">
        <f>6700*O246</f>
        <v>6700</v>
      </c>
      <c r="AD246" s="1112"/>
      <c r="AE246" s="436">
        <f t="shared" si="96"/>
        <v>5427</v>
      </c>
      <c r="AF246" s="436">
        <f t="shared" si="97"/>
        <v>0</v>
      </c>
      <c r="AG246" s="436">
        <f t="shared" si="98"/>
        <v>5427</v>
      </c>
      <c r="AH246" s="436">
        <f t="shared" si="99"/>
        <v>0</v>
      </c>
      <c r="AI246" s="436">
        <f>AG246-AE246</f>
        <v>0</v>
      </c>
      <c r="AJ246" s="436">
        <f t="shared" si="107"/>
        <v>0</v>
      </c>
      <c r="AK246" s="437">
        <f t="shared" si="101"/>
        <v>1628.1</v>
      </c>
      <c r="AL246" s="437">
        <f t="shared" si="102"/>
        <v>0</v>
      </c>
      <c r="AM246" s="437">
        <f t="shared" si="103"/>
        <v>0</v>
      </c>
      <c r="AN246" s="437">
        <f t="shared" si="104"/>
        <v>0</v>
      </c>
      <c r="AO246" s="437">
        <f t="shared" si="105"/>
        <v>0</v>
      </c>
      <c r="AP246" s="437">
        <f t="shared" si="106"/>
        <v>5427</v>
      </c>
      <c r="AQ246" s="437">
        <f t="shared" si="106"/>
        <v>0</v>
      </c>
      <c r="AR246" s="436"/>
      <c r="AS246" s="437">
        <f t="shared" si="94"/>
        <v>5427</v>
      </c>
    </row>
    <row r="247" spans="1:45" s="438" customFormat="1" ht="54.75" customHeight="1">
      <c r="A247" s="1134"/>
      <c r="B247" s="1134"/>
      <c r="C247" s="1139"/>
      <c r="D247" s="1134"/>
      <c r="E247" s="1134"/>
      <c r="F247" s="1134"/>
      <c r="G247" s="1134"/>
      <c r="H247" s="1112"/>
      <c r="I247" s="1112"/>
      <c r="J247" s="1112"/>
      <c r="K247" s="1112"/>
      <c r="L247" s="1112"/>
      <c r="M247" s="1112"/>
      <c r="N247" s="1112"/>
      <c r="O247" s="1112"/>
      <c r="P247" s="1112"/>
      <c r="Q247" s="1112"/>
      <c r="R247" s="1112"/>
      <c r="S247" s="1112"/>
      <c r="T247" s="1134"/>
      <c r="U247" s="1138"/>
      <c r="V247" s="1112"/>
      <c r="W247" s="1112"/>
      <c r="X247" s="1112"/>
      <c r="Y247" s="1112"/>
      <c r="Z247" s="1112"/>
      <c r="AA247" s="1109"/>
      <c r="AB247" s="1109"/>
      <c r="AC247" s="1112"/>
      <c r="AD247" s="1112"/>
      <c r="AE247" s="436">
        <f t="shared" si="96"/>
        <v>0</v>
      </c>
      <c r="AF247" s="436">
        <f t="shared" si="97"/>
        <v>0</v>
      </c>
      <c r="AG247" s="436">
        <f t="shared" si="98"/>
        <v>0</v>
      </c>
      <c r="AH247" s="436">
        <f t="shared" si="99"/>
        <v>0</v>
      </c>
      <c r="AI247" s="436">
        <f>AG247-AE247</f>
        <v>0</v>
      </c>
      <c r="AJ247" s="436">
        <f t="shared" si="107"/>
        <v>0</v>
      </c>
      <c r="AK247" s="437">
        <f t="shared" si="101"/>
        <v>0</v>
      </c>
      <c r="AL247" s="437">
        <f t="shared" si="102"/>
        <v>0</v>
      </c>
      <c r="AM247" s="437">
        <f t="shared" si="103"/>
        <v>0</v>
      </c>
      <c r="AN247" s="437">
        <f t="shared" si="104"/>
        <v>0</v>
      </c>
      <c r="AO247" s="437">
        <f t="shared" si="105"/>
        <v>0</v>
      </c>
      <c r="AP247" s="437">
        <f t="shared" si="106"/>
        <v>0</v>
      </c>
      <c r="AQ247" s="437">
        <f t="shared" si="106"/>
        <v>0</v>
      </c>
      <c r="AR247" s="436"/>
      <c r="AS247" s="437">
        <f t="shared" si="94"/>
        <v>0</v>
      </c>
    </row>
    <row r="248" spans="1:45" s="446" customFormat="1" ht="24.95" customHeight="1">
      <c r="A248" s="441"/>
      <c r="B248" s="441"/>
      <c r="C248" s="442" t="s">
        <v>318</v>
      </c>
      <c r="D248" s="443"/>
      <c r="E248" s="441"/>
      <c r="F248" s="441"/>
      <c r="G248" s="444">
        <f>SUM(G228:G247)</f>
        <v>53167</v>
      </c>
      <c r="H248" s="441">
        <f>H229</f>
        <v>542.70000000000005</v>
      </c>
      <c r="I248" s="441"/>
      <c r="J248" s="441"/>
      <c r="K248" s="441"/>
      <c r="L248" s="451"/>
      <c r="M248" s="441"/>
      <c r="N248" s="444">
        <f>SUM(N228:N247)</f>
        <v>53709.7</v>
      </c>
      <c r="O248" s="444">
        <f>SUM(O228:O247)</f>
        <v>10</v>
      </c>
      <c r="P248" s="444">
        <f>SUM(P228:P247)</f>
        <v>0</v>
      </c>
      <c r="Q248" s="444"/>
      <c r="R248" s="444"/>
      <c r="S248" s="444"/>
      <c r="T248" s="444"/>
      <c r="U248" s="444"/>
      <c r="V248" s="444">
        <f t="shared" ref="V248:AD248" si="108">SUM(V228:V247)</f>
        <v>15653.710000000003</v>
      </c>
      <c r="W248" s="444">
        <f t="shared" si="108"/>
        <v>1189.5999999999999</v>
      </c>
      <c r="X248" s="444">
        <f t="shared" si="108"/>
        <v>70553.009999999995</v>
      </c>
      <c r="Y248" s="444">
        <f t="shared" si="108"/>
        <v>64446.990000000013</v>
      </c>
      <c r="Z248" s="444">
        <f t="shared" si="108"/>
        <v>135000</v>
      </c>
      <c r="AA248" s="499">
        <f t="shared" si="108"/>
        <v>135000</v>
      </c>
      <c r="AB248" s="499">
        <f t="shared" si="108"/>
        <v>64446.990000000013</v>
      </c>
      <c r="AC248" s="444">
        <f t="shared" si="108"/>
        <v>67000</v>
      </c>
      <c r="AD248" s="444">
        <f t="shared" si="108"/>
        <v>1189.5999999999999</v>
      </c>
      <c r="AE248" s="436"/>
      <c r="AF248" s="436"/>
      <c r="AG248" s="436"/>
      <c r="AH248" s="436"/>
      <c r="AI248" s="436"/>
      <c r="AJ248" s="436"/>
      <c r="AK248" s="437"/>
      <c r="AL248" s="437"/>
      <c r="AM248" s="437"/>
      <c r="AN248" s="437"/>
      <c r="AO248" s="437"/>
      <c r="AP248" s="437">
        <f t="shared" si="106"/>
        <v>0</v>
      </c>
      <c r="AQ248" s="437">
        <f t="shared" si="106"/>
        <v>0</v>
      </c>
      <c r="AR248" s="436"/>
      <c r="AS248" s="437">
        <f t="shared" si="94"/>
        <v>0</v>
      </c>
    </row>
    <row r="249" spans="1:45" s="456" customFormat="1" ht="24.95" customHeight="1">
      <c r="A249" s="455"/>
      <c r="B249" s="455"/>
      <c r="C249" s="1136" t="s">
        <v>1018</v>
      </c>
      <c r="D249" s="1136"/>
      <c r="E249" s="455"/>
      <c r="F249" s="455"/>
      <c r="G249" s="455"/>
      <c r="H249" s="455"/>
      <c r="I249" s="455"/>
      <c r="J249" s="455"/>
      <c r="K249" s="455"/>
      <c r="L249" s="455"/>
      <c r="M249" s="455"/>
      <c r="N249" s="455"/>
      <c r="O249" s="455"/>
      <c r="P249" s="455"/>
      <c r="Q249" s="455"/>
      <c r="R249" s="455"/>
      <c r="S249" s="455"/>
      <c r="T249" s="455"/>
      <c r="U249" s="455"/>
      <c r="V249" s="455"/>
      <c r="W249" s="455"/>
      <c r="X249" s="455"/>
      <c r="Y249" s="455"/>
      <c r="Z249" s="455"/>
      <c r="AA249" s="504"/>
      <c r="AB249" s="504"/>
      <c r="AC249" s="455"/>
      <c r="AD249" s="455"/>
      <c r="AE249" s="436">
        <f t="shared" si="96"/>
        <v>0</v>
      </c>
      <c r="AF249" s="436">
        <f t="shared" si="97"/>
        <v>0</v>
      </c>
      <c r="AG249" s="436">
        <f t="shared" si="98"/>
        <v>0</v>
      </c>
      <c r="AH249" s="436">
        <f t="shared" si="99"/>
        <v>0</v>
      </c>
      <c r="AI249" s="436">
        <f t="shared" ref="AI249:AJ264" si="109">AG249-AE249</f>
        <v>0</v>
      </c>
      <c r="AJ249" s="436">
        <f t="shared" si="107"/>
        <v>0</v>
      </c>
      <c r="AK249" s="437">
        <f t="shared" si="101"/>
        <v>0</v>
      </c>
      <c r="AL249" s="437">
        <f t="shared" si="102"/>
        <v>0</v>
      </c>
      <c r="AM249" s="437">
        <f t="shared" si="103"/>
        <v>0</v>
      </c>
      <c r="AN249" s="437">
        <f t="shared" si="104"/>
        <v>0</v>
      </c>
      <c r="AO249" s="437">
        <f t="shared" si="105"/>
        <v>0</v>
      </c>
      <c r="AP249" s="437">
        <f t="shared" si="106"/>
        <v>0</v>
      </c>
      <c r="AQ249" s="437">
        <f t="shared" si="106"/>
        <v>0</v>
      </c>
      <c r="AR249" s="436"/>
      <c r="AS249" s="437">
        <f t="shared" si="94"/>
        <v>0</v>
      </c>
    </row>
    <row r="250" spans="1:45" s="438" customFormat="1" ht="24.95" customHeight="1">
      <c r="A250" s="1134"/>
      <c r="B250" s="1134"/>
      <c r="C250" s="1141" t="s">
        <v>590</v>
      </c>
      <c r="D250" s="1134" t="s">
        <v>1049</v>
      </c>
      <c r="E250" s="1134" t="s">
        <v>671</v>
      </c>
      <c r="F250" s="1134">
        <v>9</v>
      </c>
      <c r="G250" s="1112">
        <v>5159</v>
      </c>
      <c r="H250" s="435">
        <v>0.1</v>
      </c>
      <c r="I250" s="1140"/>
      <c r="J250" s="1140"/>
      <c r="K250" s="1140"/>
      <c r="L250" s="435">
        <v>0.15</v>
      </c>
      <c r="M250" s="1140"/>
      <c r="N250" s="1112">
        <f>G250+H251+K251+L251</f>
        <v>6526.1349999999993</v>
      </c>
      <c r="O250" s="1112">
        <v>1</v>
      </c>
      <c r="P250" s="1140"/>
      <c r="Q250" s="1140"/>
      <c r="R250" s="1140"/>
      <c r="S250" s="1140"/>
      <c r="T250" s="1134">
        <v>28</v>
      </c>
      <c r="U250" s="1138">
        <v>0.3</v>
      </c>
      <c r="V250" s="1112">
        <f>N250*U250</f>
        <v>1957.8404999999998</v>
      </c>
      <c r="W250" s="1112"/>
      <c r="X250" s="1112">
        <f>(N250+V250)*O250</f>
        <v>8483.9754999999986</v>
      </c>
      <c r="Y250" s="1112">
        <f>AB250</f>
        <v>5016.0245000000014</v>
      </c>
      <c r="Z250" s="1112">
        <f>X250+Y250</f>
        <v>13500</v>
      </c>
      <c r="AA250" s="1109">
        <f>13500*O250</f>
        <v>13500</v>
      </c>
      <c r="AB250" s="1109">
        <f>AA250-X250</f>
        <v>5016.0245000000014</v>
      </c>
      <c r="AC250" s="1112">
        <f>6700*O250</f>
        <v>6700</v>
      </c>
      <c r="AD250" s="1112"/>
      <c r="AE250" s="436">
        <f t="shared" si="96"/>
        <v>5159</v>
      </c>
      <c r="AF250" s="436">
        <f t="shared" si="97"/>
        <v>0</v>
      </c>
      <c r="AG250" s="436">
        <f t="shared" si="98"/>
        <v>6526.1349999999993</v>
      </c>
      <c r="AH250" s="436">
        <f t="shared" si="99"/>
        <v>0</v>
      </c>
      <c r="AI250" s="436">
        <f t="shared" si="109"/>
        <v>1367.1349999999993</v>
      </c>
      <c r="AJ250" s="436">
        <f t="shared" si="107"/>
        <v>0</v>
      </c>
      <c r="AK250" s="437">
        <f t="shared" si="101"/>
        <v>1957.8404999999998</v>
      </c>
      <c r="AL250" s="437">
        <f t="shared" si="102"/>
        <v>0</v>
      </c>
      <c r="AM250" s="437">
        <f t="shared" si="103"/>
        <v>0</v>
      </c>
      <c r="AN250" s="437">
        <f t="shared" si="104"/>
        <v>0</v>
      </c>
      <c r="AO250" s="437">
        <f t="shared" si="105"/>
        <v>0</v>
      </c>
      <c r="AP250" s="437">
        <f t="shared" si="106"/>
        <v>6526.1349999999993</v>
      </c>
      <c r="AQ250" s="437">
        <f t="shared" si="106"/>
        <v>0</v>
      </c>
      <c r="AR250" s="436"/>
      <c r="AS250" s="437">
        <f t="shared" si="94"/>
        <v>6526.1349999999993</v>
      </c>
    </row>
    <row r="251" spans="1:45" s="438" customFormat="1" ht="24.95" customHeight="1">
      <c r="A251" s="1134"/>
      <c r="B251" s="1134"/>
      <c r="C251" s="1141"/>
      <c r="D251" s="1134"/>
      <c r="E251" s="1134"/>
      <c r="F251" s="1134"/>
      <c r="G251" s="1112"/>
      <c r="H251" s="449">
        <f>G250*H250</f>
        <v>515.9</v>
      </c>
      <c r="I251" s="1140"/>
      <c r="J251" s="1140"/>
      <c r="K251" s="1140"/>
      <c r="L251" s="439">
        <f>(G250+H251)*L250</f>
        <v>851.2349999999999</v>
      </c>
      <c r="M251" s="1140"/>
      <c r="N251" s="1112"/>
      <c r="O251" s="1112"/>
      <c r="P251" s="1140"/>
      <c r="Q251" s="1140"/>
      <c r="R251" s="1140"/>
      <c r="S251" s="1140"/>
      <c r="T251" s="1134"/>
      <c r="U251" s="1138"/>
      <c r="V251" s="1112"/>
      <c r="W251" s="1112"/>
      <c r="X251" s="1112"/>
      <c r="Y251" s="1112"/>
      <c r="Z251" s="1112"/>
      <c r="AA251" s="1109"/>
      <c r="AB251" s="1109"/>
      <c r="AC251" s="1112"/>
      <c r="AD251" s="1112"/>
      <c r="AE251" s="436">
        <f t="shared" si="96"/>
        <v>0</v>
      </c>
      <c r="AF251" s="436">
        <f t="shared" si="97"/>
        <v>0</v>
      </c>
      <c r="AG251" s="436">
        <f t="shared" si="98"/>
        <v>0</v>
      </c>
      <c r="AH251" s="436">
        <f t="shared" si="99"/>
        <v>0</v>
      </c>
      <c r="AI251" s="436">
        <f t="shared" si="109"/>
        <v>0</v>
      </c>
      <c r="AJ251" s="436">
        <f t="shared" si="107"/>
        <v>0</v>
      </c>
      <c r="AK251" s="437">
        <f t="shared" si="101"/>
        <v>0</v>
      </c>
      <c r="AL251" s="437">
        <f t="shared" si="102"/>
        <v>0</v>
      </c>
      <c r="AM251" s="437">
        <f t="shared" si="103"/>
        <v>0</v>
      </c>
      <c r="AN251" s="437">
        <f t="shared" si="104"/>
        <v>0</v>
      </c>
      <c r="AO251" s="437">
        <f t="shared" si="105"/>
        <v>0</v>
      </c>
      <c r="AP251" s="437">
        <f t="shared" si="106"/>
        <v>0</v>
      </c>
      <c r="AQ251" s="437">
        <f t="shared" si="106"/>
        <v>0</v>
      </c>
      <c r="AR251" s="436"/>
      <c r="AS251" s="437">
        <f t="shared" si="94"/>
        <v>0</v>
      </c>
    </row>
    <row r="252" spans="1:45" s="438" customFormat="1" ht="24.95" customHeight="1">
      <c r="A252" s="1134"/>
      <c r="B252" s="1134"/>
      <c r="C252" s="1139" t="s">
        <v>615</v>
      </c>
      <c r="D252" s="1134" t="s">
        <v>616</v>
      </c>
      <c r="E252" s="1134" t="s">
        <v>617</v>
      </c>
      <c r="F252" s="1134">
        <v>8</v>
      </c>
      <c r="G252" s="1112">
        <v>4890</v>
      </c>
      <c r="H252" s="1112"/>
      <c r="I252" s="1112"/>
      <c r="J252" s="1112"/>
      <c r="K252" s="1112"/>
      <c r="L252" s="435">
        <v>0.15</v>
      </c>
      <c r="M252" s="1112"/>
      <c r="N252" s="1112">
        <f>G252+H253+L253</f>
        <v>5623.5</v>
      </c>
      <c r="O252" s="1112">
        <v>1</v>
      </c>
      <c r="P252" s="1140"/>
      <c r="Q252" s="1140"/>
      <c r="R252" s="1140"/>
      <c r="S252" s="1140"/>
      <c r="T252" s="1134">
        <v>13</v>
      </c>
      <c r="U252" s="1138">
        <v>0.2</v>
      </c>
      <c r="V252" s="1112">
        <f>N252*U252</f>
        <v>1124.7</v>
      </c>
      <c r="W252" s="1112"/>
      <c r="X252" s="1112">
        <f>(N252+V252)*O252+W252</f>
        <v>6748.2</v>
      </c>
      <c r="Y252" s="1112">
        <f>AB252</f>
        <v>6751.8</v>
      </c>
      <c r="Z252" s="1112">
        <f>X252+Y252</f>
        <v>13500</v>
      </c>
      <c r="AA252" s="1109">
        <f>13500*O252</f>
        <v>13500</v>
      </c>
      <c r="AB252" s="1109">
        <f>AA252-X252</f>
        <v>6751.8</v>
      </c>
      <c r="AC252" s="1112">
        <f>6700*O252</f>
        <v>6700</v>
      </c>
      <c r="AD252" s="1112"/>
      <c r="AE252" s="436">
        <f>G252*O252</f>
        <v>4890</v>
      </c>
      <c r="AF252" s="436">
        <f>G252*P252</f>
        <v>0</v>
      </c>
      <c r="AG252" s="436">
        <f>N252*O252</f>
        <v>5623.5</v>
      </c>
      <c r="AH252" s="436">
        <f>N252*P252</f>
        <v>0</v>
      </c>
      <c r="AI252" s="436">
        <f t="shared" si="109"/>
        <v>733.5</v>
      </c>
      <c r="AJ252" s="436">
        <f>AH252-AF252</f>
        <v>0</v>
      </c>
      <c r="AK252" s="437">
        <f>V252*O252</f>
        <v>1124.7</v>
      </c>
      <c r="AL252" s="437">
        <f>V252*P252</f>
        <v>0</v>
      </c>
      <c r="AM252" s="437">
        <f>W252</f>
        <v>0</v>
      </c>
      <c r="AN252" s="437">
        <f>S252*O252</f>
        <v>0</v>
      </c>
      <c r="AO252" s="437">
        <f>S252*P252</f>
        <v>0</v>
      </c>
      <c r="AP252" s="437">
        <f t="shared" si="106"/>
        <v>5623.5</v>
      </c>
      <c r="AQ252" s="437">
        <f t="shared" si="106"/>
        <v>0</v>
      </c>
      <c r="AR252" s="436"/>
      <c r="AS252" s="437">
        <f t="shared" si="94"/>
        <v>5623.5</v>
      </c>
    </row>
    <row r="253" spans="1:45" s="438" customFormat="1" ht="24.95" customHeight="1">
      <c r="A253" s="1134"/>
      <c r="B253" s="1134"/>
      <c r="C253" s="1139"/>
      <c r="D253" s="1134"/>
      <c r="E253" s="1134"/>
      <c r="F253" s="1134"/>
      <c r="G253" s="1112"/>
      <c r="H253" s="1112"/>
      <c r="I253" s="1112"/>
      <c r="J253" s="1112"/>
      <c r="K253" s="1112"/>
      <c r="L253" s="449">
        <f>(G252+H253)*L252</f>
        <v>733.5</v>
      </c>
      <c r="M253" s="1112"/>
      <c r="N253" s="1112"/>
      <c r="O253" s="1112"/>
      <c r="P253" s="1140"/>
      <c r="Q253" s="1140"/>
      <c r="R253" s="1140"/>
      <c r="S253" s="1140"/>
      <c r="T253" s="1134"/>
      <c r="U253" s="1138"/>
      <c r="V253" s="1112"/>
      <c r="W253" s="1112"/>
      <c r="X253" s="1112"/>
      <c r="Y253" s="1112"/>
      <c r="Z253" s="1112"/>
      <c r="AA253" s="1109"/>
      <c r="AB253" s="1109"/>
      <c r="AC253" s="1112"/>
      <c r="AD253" s="1112"/>
      <c r="AE253" s="436">
        <f>G253*O253</f>
        <v>0</v>
      </c>
      <c r="AF253" s="436">
        <f>G253*P253</f>
        <v>0</v>
      </c>
      <c r="AG253" s="436">
        <f>N253*O253</f>
        <v>0</v>
      </c>
      <c r="AH253" s="436">
        <f>N253*P253</f>
        <v>0</v>
      </c>
      <c r="AI253" s="436">
        <f t="shared" si="109"/>
        <v>0</v>
      </c>
      <c r="AJ253" s="436">
        <f>AH253-AF253</f>
        <v>0</v>
      </c>
      <c r="AK253" s="437">
        <f>V253*O253</f>
        <v>0</v>
      </c>
      <c r="AL253" s="437">
        <f>V253*P253</f>
        <v>0</v>
      </c>
      <c r="AM253" s="437">
        <f>W253</f>
        <v>0</v>
      </c>
      <c r="AN253" s="437">
        <f>S253*O253</f>
        <v>0</v>
      </c>
      <c r="AO253" s="437">
        <f>S253*P253</f>
        <v>0</v>
      </c>
      <c r="AP253" s="437">
        <f t="shared" si="106"/>
        <v>0</v>
      </c>
      <c r="AQ253" s="437">
        <f t="shared" si="106"/>
        <v>0</v>
      </c>
      <c r="AR253" s="436"/>
      <c r="AS253" s="437">
        <f t="shared" si="94"/>
        <v>0</v>
      </c>
    </row>
    <row r="254" spans="1:45" s="438" customFormat="1" ht="24.95" customHeight="1">
      <c r="A254" s="1134"/>
      <c r="B254" s="1134"/>
      <c r="C254" s="1139" t="s">
        <v>564</v>
      </c>
      <c r="D254" s="1134" t="s">
        <v>1048</v>
      </c>
      <c r="E254" s="1134" t="s">
        <v>625</v>
      </c>
      <c r="F254" s="1134">
        <v>9</v>
      </c>
      <c r="G254" s="1112">
        <v>5159</v>
      </c>
      <c r="H254" s="1112"/>
      <c r="I254" s="1112"/>
      <c r="J254" s="1112"/>
      <c r="K254" s="1112"/>
      <c r="L254" s="435">
        <v>0.15</v>
      </c>
      <c r="M254" s="1112"/>
      <c r="N254" s="1112">
        <f>G254+H255+L255</f>
        <v>5932.85</v>
      </c>
      <c r="O254" s="1112">
        <v>1</v>
      </c>
      <c r="P254" s="1140"/>
      <c r="Q254" s="1140"/>
      <c r="R254" s="1140"/>
      <c r="S254" s="1140"/>
      <c r="T254" s="1134">
        <v>26</v>
      </c>
      <c r="U254" s="1138">
        <v>0.3</v>
      </c>
      <c r="V254" s="1112">
        <f>N254*U254</f>
        <v>1779.855</v>
      </c>
      <c r="W254" s="1112"/>
      <c r="X254" s="1112">
        <f>(N254+V254)*O254+W254</f>
        <v>7712.7049999999999</v>
      </c>
      <c r="Y254" s="1112">
        <f>AB254</f>
        <v>5787.2950000000001</v>
      </c>
      <c r="Z254" s="1112">
        <f>X254+Y254</f>
        <v>13500</v>
      </c>
      <c r="AA254" s="1109">
        <f>13500*O254</f>
        <v>13500</v>
      </c>
      <c r="AB254" s="1109">
        <f>AA254-X254</f>
        <v>5787.2950000000001</v>
      </c>
      <c r="AC254" s="1112">
        <f>6700*O254</f>
        <v>6700</v>
      </c>
      <c r="AD254" s="1112"/>
      <c r="AE254" s="436">
        <f>G254*O254</f>
        <v>5159</v>
      </c>
      <c r="AF254" s="436">
        <f>G254*P254</f>
        <v>0</v>
      </c>
      <c r="AG254" s="436">
        <f>N254*O254</f>
        <v>5932.85</v>
      </c>
      <c r="AH254" s="436">
        <f>N254*P254</f>
        <v>0</v>
      </c>
      <c r="AI254" s="436">
        <f t="shared" si="109"/>
        <v>773.85000000000036</v>
      </c>
      <c r="AJ254" s="436">
        <f>AH254-AF254</f>
        <v>0</v>
      </c>
      <c r="AK254" s="437">
        <f>V254*O254</f>
        <v>1779.855</v>
      </c>
      <c r="AL254" s="437">
        <f>V254*P254</f>
        <v>0</v>
      </c>
      <c r="AM254" s="437">
        <f>W254</f>
        <v>0</v>
      </c>
      <c r="AN254" s="437">
        <f>S254*O254</f>
        <v>0</v>
      </c>
      <c r="AO254" s="437">
        <f>S254*P254</f>
        <v>0</v>
      </c>
      <c r="AP254" s="437">
        <f t="shared" si="106"/>
        <v>5932.85</v>
      </c>
      <c r="AQ254" s="437">
        <f>AH254</f>
        <v>0</v>
      </c>
      <c r="AR254" s="436"/>
      <c r="AS254" s="437">
        <f>AP254+AQ254-AR254</f>
        <v>5932.85</v>
      </c>
    </row>
    <row r="255" spans="1:45" s="438" customFormat="1" ht="24.95" customHeight="1">
      <c r="A255" s="1134"/>
      <c r="B255" s="1134"/>
      <c r="C255" s="1139"/>
      <c r="D255" s="1134"/>
      <c r="E255" s="1134"/>
      <c r="F255" s="1134"/>
      <c r="G255" s="1112"/>
      <c r="H255" s="1112"/>
      <c r="I255" s="1112"/>
      <c r="J255" s="1112"/>
      <c r="K255" s="1112"/>
      <c r="L255" s="449">
        <f>(G254+H255)*L254</f>
        <v>773.85</v>
      </c>
      <c r="M255" s="1112"/>
      <c r="N255" s="1112"/>
      <c r="O255" s="1112"/>
      <c r="P255" s="1140"/>
      <c r="Q255" s="1140"/>
      <c r="R255" s="1140"/>
      <c r="S255" s="1140"/>
      <c r="T255" s="1134"/>
      <c r="U255" s="1138"/>
      <c r="V255" s="1112"/>
      <c r="W255" s="1112"/>
      <c r="X255" s="1112"/>
      <c r="Y255" s="1112"/>
      <c r="Z255" s="1112"/>
      <c r="AA255" s="1109"/>
      <c r="AB255" s="1109"/>
      <c r="AC255" s="1112"/>
      <c r="AD255" s="1112"/>
      <c r="AE255" s="436">
        <f>G255*O255</f>
        <v>0</v>
      </c>
      <c r="AF255" s="436">
        <f>G255*P255</f>
        <v>0</v>
      </c>
      <c r="AG255" s="436">
        <f>N255*O255</f>
        <v>0</v>
      </c>
      <c r="AH255" s="436">
        <f>N255*P255</f>
        <v>0</v>
      </c>
      <c r="AI255" s="436">
        <f t="shared" si="109"/>
        <v>0</v>
      </c>
      <c r="AJ255" s="436">
        <f>AH255-AF255</f>
        <v>0</v>
      </c>
      <c r="AK255" s="437">
        <f>V255*O255</f>
        <v>0</v>
      </c>
      <c r="AL255" s="437">
        <f>V255*P255</f>
        <v>0</v>
      </c>
      <c r="AM255" s="437">
        <f>W255</f>
        <v>0</v>
      </c>
      <c r="AN255" s="437">
        <f>S255*O255</f>
        <v>0</v>
      </c>
      <c r="AO255" s="437">
        <f>S255*P255</f>
        <v>0</v>
      </c>
      <c r="AP255" s="437">
        <f t="shared" si="106"/>
        <v>0</v>
      </c>
      <c r="AQ255" s="437">
        <f>AH255</f>
        <v>0</v>
      </c>
      <c r="AR255" s="436"/>
      <c r="AS255" s="437">
        <f>AP255+AQ255-AR255</f>
        <v>0</v>
      </c>
    </row>
    <row r="256" spans="1:45" s="438" customFormat="1" ht="24.95" customHeight="1">
      <c r="A256" s="1134"/>
      <c r="B256" s="1134"/>
      <c r="C256" s="1139" t="s">
        <v>564</v>
      </c>
      <c r="D256" s="1134" t="s">
        <v>626</v>
      </c>
      <c r="E256" s="1134" t="s">
        <v>627</v>
      </c>
      <c r="F256" s="1134">
        <v>9</v>
      </c>
      <c r="G256" s="1112">
        <v>5159</v>
      </c>
      <c r="H256" s="1112"/>
      <c r="I256" s="1112"/>
      <c r="J256" s="1112"/>
      <c r="K256" s="1112"/>
      <c r="L256" s="435">
        <v>0.15</v>
      </c>
      <c r="M256" s="1112"/>
      <c r="N256" s="1112">
        <f>G256+H257+L257</f>
        <v>5932.85</v>
      </c>
      <c r="O256" s="1112">
        <v>1</v>
      </c>
      <c r="P256" s="1112"/>
      <c r="Q256" s="1112"/>
      <c r="R256" s="1112"/>
      <c r="S256" s="1112"/>
      <c r="T256" s="1134">
        <v>33</v>
      </c>
      <c r="U256" s="1138">
        <v>0.3</v>
      </c>
      <c r="V256" s="1112">
        <f>N256*U256</f>
        <v>1779.855</v>
      </c>
      <c r="W256" s="1112"/>
      <c r="X256" s="1112">
        <f>(N256+V256)*O256+W256</f>
        <v>7712.7049999999999</v>
      </c>
      <c r="Y256" s="1112">
        <f>AB256</f>
        <v>5787.2950000000001</v>
      </c>
      <c r="Z256" s="1112">
        <f>X256+Y256</f>
        <v>13500</v>
      </c>
      <c r="AA256" s="1109">
        <f>13500*O256</f>
        <v>13500</v>
      </c>
      <c r="AB256" s="1109">
        <f>AA256-X256</f>
        <v>5787.2950000000001</v>
      </c>
      <c r="AC256" s="1112">
        <f>6700*O256</f>
        <v>6700</v>
      </c>
      <c r="AD256" s="1112"/>
      <c r="AE256" s="436">
        <f t="shared" si="96"/>
        <v>5159</v>
      </c>
      <c r="AF256" s="436">
        <f t="shared" si="97"/>
        <v>0</v>
      </c>
      <c r="AG256" s="436">
        <f t="shared" si="98"/>
        <v>5932.85</v>
      </c>
      <c r="AH256" s="436">
        <f t="shared" si="99"/>
        <v>0</v>
      </c>
      <c r="AI256" s="436">
        <f t="shared" si="109"/>
        <v>773.85000000000036</v>
      </c>
      <c r="AJ256" s="436">
        <f t="shared" si="107"/>
        <v>0</v>
      </c>
      <c r="AK256" s="437">
        <f t="shared" si="101"/>
        <v>1779.855</v>
      </c>
      <c r="AL256" s="437">
        <f t="shared" si="102"/>
        <v>0</v>
      </c>
      <c r="AM256" s="437">
        <f t="shared" si="103"/>
        <v>0</v>
      </c>
      <c r="AN256" s="437">
        <f t="shared" si="104"/>
        <v>0</v>
      </c>
      <c r="AO256" s="437">
        <f t="shared" si="105"/>
        <v>0</v>
      </c>
      <c r="AP256" s="437">
        <f t="shared" si="106"/>
        <v>5932.85</v>
      </c>
      <c r="AQ256" s="437">
        <f t="shared" si="106"/>
        <v>0</v>
      </c>
      <c r="AR256" s="436"/>
      <c r="AS256" s="437">
        <f t="shared" si="94"/>
        <v>5932.85</v>
      </c>
    </row>
    <row r="257" spans="1:45" s="438" customFormat="1" ht="24.95" customHeight="1">
      <c r="A257" s="1134"/>
      <c r="B257" s="1134"/>
      <c r="C257" s="1139"/>
      <c r="D257" s="1134"/>
      <c r="E257" s="1134"/>
      <c r="F257" s="1134"/>
      <c r="G257" s="1112"/>
      <c r="H257" s="1112"/>
      <c r="I257" s="1112"/>
      <c r="J257" s="1112"/>
      <c r="K257" s="1112"/>
      <c r="L257" s="449">
        <f>(G256+H257)*L256</f>
        <v>773.85</v>
      </c>
      <c r="M257" s="1112"/>
      <c r="N257" s="1112"/>
      <c r="O257" s="1112"/>
      <c r="P257" s="1112"/>
      <c r="Q257" s="1112"/>
      <c r="R257" s="1112"/>
      <c r="S257" s="1112"/>
      <c r="T257" s="1134"/>
      <c r="U257" s="1138"/>
      <c r="V257" s="1112"/>
      <c r="W257" s="1112"/>
      <c r="X257" s="1112"/>
      <c r="Y257" s="1112"/>
      <c r="Z257" s="1112"/>
      <c r="AA257" s="1109"/>
      <c r="AB257" s="1109"/>
      <c r="AC257" s="1112"/>
      <c r="AD257" s="1112"/>
      <c r="AE257" s="436">
        <f t="shared" si="96"/>
        <v>0</v>
      </c>
      <c r="AF257" s="436">
        <f t="shared" si="97"/>
        <v>0</v>
      </c>
      <c r="AG257" s="436">
        <f t="shared" si="98"/>
        <v>0</v>
      </c>
      <c r="AH257" s="436">
        <f t="shared" si="99"/>
        <v>0</v>
      </c>
      <c r="AI257" s="436">
        <f t="shared" si="109"/>
        <v>0</v>
      </c>
      <c r="AJ257" s="436">
        <f t="shared" si="107"/>
        <v>0</v>
      </c>
      <c r="AK257" s="437">
        <f t="shared" si="101"/>
        <v>0</v>
      </c>
      <c r="AL257" s="437">
        <f t="shared" si="102"/>
        <v>0</v>
      </c>
      <c r="AM257" s="437">
        <f t="shared" si="103"/>
        <v>0</v>
      </c>
      <c r="AN257" s="437">
        <f t="shared" si="104"/>
        <v>0</v>
      </c>
      <c r="AO257" s="437">
        <f t="shared" si="105"/>
        <v>0</v>
      </c>
      <c r="AP257" s="437">
        <f t="shared" si="106"/>
        <v>0</v>
      </c>
      <c r="AQ257" s="437">
        <f t="shared" si="106"/>
        <v>0</v>
      </c>
      <c r="AR257" s="436"/>
      <c r="AS257" s="437">
        <f t="shared" si="94"/>
        <v>0</v>
      </c>
    </row>
    <row r="258" spans="1:45" s="438" customFormat="1" ht="24.95" customHeight="1">
      <c r="A258" s="1134"/>
      <c r="B258" s="1134"/>
      <c r="C258" s="1139" t="s">
        <v>564</v>
      </c>
      <c r="D258" s="1134" t="s">
        <v>628</v>
      </c>
      <c r="E258" s="1134" t="s">
        <v>629</v>
      </c>
      <c r="F258" s="1134">
        <v>9</v>
      </c>
      <c r="G258" s="1112">
        <v>5159</v>
      </c>
      <c r="H258" s="1112"/>
      <c r="I258" s="1112"/>
      <c r="J258" s="1112"/>
      <c r="K258" s="1112"/>
      <c r="L258" s="435">
        <v>0.15</v>
      </c>
      <c r="M258" s="1140"/>
      <c r="N258" s="1112">
        <f>G258+H259+L259</f>
        <v>5932.85</v>
      </c>
      <c r="O258" s="1112">
        <v>1</v>
      </c>
      <c r="P258" s="1112"/>
      <c r="Q258" s="1140"/>
      <c r="R258" s="1140"/>
      <c r="S258" s="1140"/>
      <c r="T258" s="1134">
        <v>21</v>
      </c>
      <c r="U258" s="1138">
        <v>0.3</v>
      </c>
      <c r="V258" s="1112">
        <f>N258*U258</f>
        <v>1779.855</v>
      </c>
      <c r="W258" s="1112"/>
      <c r="X258" s="1112">
        <f>(N258+V258)*O258+W258</f>
        <v>7712.7049999999999</v>
      </c>
      <c r="Y258" s="1112">
        <f>AB258</f>
        <v>5787.2950000000001</v>
      </c>
      <c r="Z258" s="1112">
        <f>X258+Y258</f>
        <v>13500</v>
      </c>
      <c r="AA258" s="1109">
        <f>13500*O258</f>
        <v>13500</v>
      </c>
      <c r="AB258" s="1109">
        <f>AA258-X258</f>
        <v>5787.2950000000001</v>
      </c>
      <c r="AC258" s="1112">
        <f>6700*O258</f>
        <v>6700</v>
      </c>
      <c r="AD258" s="1112"/>
      <c r="AE258" s="436">
        <f t="shared" si="96"/>
        <v>5159</v>
      </c>
      <c r="AF258" s="436">
        <f t="shared" si="97"/>
        <v>0</v>
      </c>
      <c r="AG258" s="436">
        <f t="shared" si="98"/>
        <v>5932.85</v>
      </c>
      <c r="AH258" s="436">
        <f t="shared" si="99"/>
        <v>0</v>
      </c>
      <c r="AI258" s="436">
        <f t="shared" si="109"/>
        <v>773.85000000000036</v>
      </c>
      <c r="AJ258" s="436">
        <f t="shared" si="107"/>
        <v>0</v>
      </c>
      <c r="AK258" s="437">
        <f t="shared" si="101"/>
        <v>1779.855</v>
      </c>
      <c r="AL258" s="437">
        <f t="shared" si="102"/>
        <v>0</v>
      </c>
      <c r="AM258" s="437">
        <f t="shared" si="103"/>
        <v>0</v>
      </c>
      <c r="AN258" s="437">
        <f t="shared" si="104"/>
        <v>0</v>
      </c>
      <c r="AO258" s="437">
        <f t="shared" si="105"/>
        <v>0</v>
      </c>
      <c r="AP258" s="437">
        <f t="shared" si="106"/>
        <v>5932.85</v>
      </c>
      <c r="AQ258" s="437">
        <f t="shared" si="106"/>
        <v>0</v>
      </c>
      <c r="AR258" s="436"/>
      <c r="AS258" s="437">
        <f t="shared" si="94"/>
        <v>5932.85</v>
      </c>
    </row>
    <row r="259" spans="1:45" s="438" customFormat="1" ht="24.95" customHeight="1">
      <c r="A259" s="1134"/>
      <c r="B259" s="1134"/>
      <c r="C259" s="1139"/>
      <c r="D259" s="1134"/>
      <c r="E259" s="1134"/>
      <c r="F259" s="1134"/>
      <c r="G259" s="1112"/>
      <c r="H259" s="1112"/>
      <c r="I259" s="1112"/>
      <c r="J259" s="1112"/>
      <c r="K259" s="1112"/>
      <c r="L259" s="449">
        <f>(G258+H259)*L258</f>
        <v>773.85</v>
      </c>
      <c r="M259" s="1140"/>
      <c r="N259" s="1112"/>
      <c r="O259" s="1112"/>
      <c r="P259" s="1112"/>
      <c r="Q259" s="1140"/>
      <c r="R259" s="1140"/>
      <c r="S259" s="1140"/>
      <c r="T259" s="1134"/>
      <c r="U259" s="1138"/>
      <c r="V259" s="1112"/>
      <c r="W259" s="1112"/>
      <c r="X259" s="1112"/>
      <c r="Y259" s="1112"/>
      <c r="Z259" s="1112"/>
      <c r="AA259" s="1109"/>
      <c r="AB259" s="1109"/>
      <c r="AC259" s="1112"/>
      <c r="AD259" s="1112"/>
      <c r="AE259" s="436">
        <f t="shared" si="96"/>
        <v>0</v>
      </c>
      <c r="AF259" s="436">
        <f t="shared" si="97"/>
        <v>0</v>
      </c>
      <c r="AG259" s="436">
        <f t="shared" si="98"/>
        <v>0</v>
      </c>
      <c r="AH259" s="436">
        <f t="shared" si="99"/>
        <v>0</v>
      </c>
      <c r="AI259" s="436">
        <f t="shared" si="109"/>
        <v>0</v>
      </c>
      <c r="AJ259" s="436">
        <f t="shared" si="107"/>
        <v>0</v>
      </c>
      <c r="AK259" s="437">
        <f t="shared" si="101"/>
        <v>0</v>
      </c>
      <c r="AL259" s="437">
        <f t="shared" si="102"/>
        <v>0</v>
      </c>
      <c r="AM259" s="437">
        <f t="shared" si="103"/>
        <v>0</v>
      </c>
      <c r="AN259" s="437">
        <f t="shared" si="104"/>
        <v>0</v>
      </c>
      <c r="AO259" s="437">
        <f t="shared" si="105"/>
        <v>0</v>
      </c>
      <c r="AP259" s="437">
        <f t="shared" si="106"/>
        <v>0</v>
      </c>
      <c r="AQ259" s="437">
        <f t="shared" si="106"/>
        <v>0</v>
      </c>
      <c r="AR259" s="436"/>
      <c r="AS259" s="437">
        <f t="shared" si="94"/>
        <v>0</v>
      </c>
    </row>
    <row r="260" spans="1:45" s="438" customFormat="1" ht="24.95" customHeight="1">
      <c r="A260" s="1134"/>
      <c r="B260" s="1134"/>
      <c r="C260" s="1139" t="s">
        <v>564</v>
      </c>
      <c r="D260" s="1134" t="s">
        <v>337</v>
      </c>
      <c r="E260" s="1134" t="s">
        <v>630</v>
      </c>
      <c r="F260" s="1134">
        <v>6</v>
      </c>
      <c r="G260" s="1112">
        <v>4324</v>
      </c>
      <c r="H260" s="1112"/>
      <c r="I260" s="1138"/>
      <c r="J260" s="1138"/>
      <c r="K260" s="1112"/>
      <c r="L260" s="435">
        <v>0.15</v>
      </c>
      <c r="M260" s="1140"/>
      <c r="N260" s="1112">
        <f>G260+H261+L261</f>
        <v>4972.6000000000004</v>
      </c>
      <c r="O260" s="1112">
        <v>1</v>
      </c>
      <c r="P260" s="1112"/>
      <c r="Q260" s="1140"/>
      <c r="R260" s="1140"/>
      <c r="S260" s="1140"/>
      <c r="T260" s="1134">
        <v>14</v>
      </c>
      <c r="U260" s="1138">
        <v>0.2</v>
      </c>
      <c r="V260" s="1112">
        <f>N260*U260</f>
        <v>994.5200000000001</v>
      </c>
      <c r="W260" s="1112">
        <f>AD260</f>
        <v>732.87999999999954</v>
      </c>
      <c r="X260" s="1112">
        <f>(N260+V260)*O260+W260</f>
        <v>6700</v>
      </c>
      <c r="Y260" s="1112">
        <f>AB260</f>
        <v>6800</v>
      </c>
      <c r="Z260" s="1112">
        <f>X260+Y260</f>
        <v>13500</v>
      </c>
      <c r="AA260" s="1109">
        <f>13500*O260</f>
        <v>13500</v>
      </c>
      <c r="AB260" s="1109">
        <f>AA260-X260</f>
        <v>6800</v>
      </c>
      <c r="AC260" s="1112">
        <f>6700*O260</f>
        <v>6700</v>
      </c>
      <c r="AD260" s="1112">
        <f>AC260-(N260*O260)-V260</f>
        <v>732.87999999999954</v>
      </c>
      <c r="AE260" s="436">
        <f>G260*O260</f>
        <v>4324</v>
      </c>
      <c r="AF260" s="436">
        <f>G260*P260</f>
        <v>0</v>
      </c>
      <c r="AG260" s="436">
        <f>N260*O260</f>
        <v>4972.6000000000004</v>
      </c>
      <c r="AH260" s="436">
        <f>N260*P260</f>
        <v>0</v>
      </c>
      <c r="AI260" s="436">
        <f t="shared" si="109"/>
        <v>648.60000000000036</v>
      </c>
      <c r="AJ260" s="436">
        <f t="shared" si="109"/>
        <v>0</v>
      </c>
      <c r="AK260" s="437">
        <f>V260*O260</f>
        <v>994.5200000000001</v>
      </c>
      <c r="AL260" s="437">
        <f>V260*P260</f>
        <v>0</v>
      </c>
      <c r="AM260" s="437">
        <f>W260</f>
        <v>732.87999999999954</v>
      </c>
      <c r="AN260" s="437">
        <f>S260*O260</f>
        <v>0</v>
      </c>
      <c r="AO260" s="437">
        <f>S260*P260</f>
        <v>0</v>
      </c>
      <c r="AP260" s="437">
        <f t="shared" ref="AP260:AQ279" si="110">AG260</f>
        <v>4972.6000000000004</v>
      </c>
      <c r="AQ260" s="437">
        <f t="shared" si="110"/>
        <v>0</v>
      </c>
      <c r="AR260" s="436"/>
      <c r="AS260" s="437">
        <f>AP260+AQ260-AR260</f>
        <v>4972.6000000000004</v>
      </c>
    </row>
    <row r="261" spans="1:45" s="438" customFormat="1" ht="24.95" customHeight="1">
      <c r="A261" s="1134"/>
      <c r="B261" s="1134"/>
      <c r="C261" s="1139"/>
      <c r="D261" s="1134"/>
      <c r="E261" s="1134"/>
      <c r="F261" s="1134"/>
      <c r="G261" s="1112"/>
      <c r="H261" s="1112"/>
      <c r="I261" s="1134"/>
      <c r="J261" s="1134"/>
      <c r="K261" s="1112"/>
      <c r="L261" s="449">
        <f>(G260+H261)*L260</f>
        <v>648.6</v>
      </c>
      <c r="M261" s="1140"/>
      <c r="N261" s="1112"/>
      <c r="O261" s="1112"/>
      <c r="P261" s="1112"/>
      <c r="Q261" s="1140"/>
      <c r="R261" s="1140"/>
      <c r="S261" s="1140"/>
      <c r="T261" s="1134"/>
      <c r="U261" s="1138"/>
      <c r="V261" s="1112"/>
      <c r="W261" s="1112"/>
      <c r="X261" s="1112"/>
      <c r="Y261" s="1112"/>
      <c r="Z261" s="1112"/>
      <c r="AA261" s="1109"/>
      <c r="AB261" s="1109"/>
      <c r="AC261" s="1112"/>
      <c r="AD261" s="1112"/>
      <c r="AE261" s="436">
        <f>G261*O261</f>
        <v>0</v>
      </c>
      <c r="AF261" s="436">
        <f>G261*P261</f>
        <v>0</v>
      </c>
      <c r="AG261" s="436">
        <f>N261*O261</f>
        <v>0</v>
      </c>
      <c r="AH261" s="436">
        <f>N261*P261</f>
        <v>0</v>
      </c>
      <c r="AI261" s="436">
        <f t="shared" si="109"/>
        <v>0</v>
      </c>
      <c r="AJ261" s="436">
        <f t="shared" si="109"/>
        <v>0</v>
      </c>
      <c r="AK261" s="437">
        <f>V261*O261</f>
        <v>0</v>
      </c>
      <c r="AL261" s="437">
        <f>V261*P261</f>
        <v>0</v>
      </c>
      <c r="AM261" s="437">
        <f>W261</f>
        <v>0</v>
      </c>
      <c r="AN261" s="437">
        <f>S261*O261</f>
        <v>0</v>
      </c>
      <c r="AO261" s="437">
        <f>S261*P261</f>
        <v>0</v>
      </c>
      <c r="AP261" s="437">
        <f t="shared" si="110"/>
        <v>0</v>
      </c>
      <c r="AQ261" s="437">
        <f t="shared" si="110"/>
        <v>0</v>
      </c>
      <c r="AR261" s="436"/>
      <c r="AS261" s="437">
        <f>AP261+AQ261-AR261</f>
        <v>0</v>
      </c>
    </row>
    <row r="262" spans="1:45" s="438" customFormat="1" ht="24.95" customHeight="1">
      <c r="A262" s="1134"/>
      <c r="B262" s="1134"/>
      <c r="C262" s="1139" t="s">
        <v>564</v>
      </c>
      <c r="D262" s="1134" t="s">
        <v>1050</v>
      </c>
      <c r="E262" s="1134" t="s">
        <v>633</v>
      </c>
      <c r="F262" s="1134">
        <v>9</v>
      </c>
      <c r="G262" s="1112">
        <v>5159</v>
      </c>
      <c r="H262" s="1112"/>
      <c r="I262" s="1112"/>
      <c r="J262" s="1112"/>
      <c r="K262" s="1112"/>
      <c r="L262" s="435">
        <v>0.15</v>
      </c>
      <c r="M262" s="1112"/>
      <c r="N262" s="1112">
        <f>G262+H263+L263</f>
        <v>5932.85</v>
      </c>
      <c r="O262" s="1112">
        <v>1</v>
      </c>
      <c r="P262" s="1112"/>
      <c r="Q262" s="1112"/>
      <c r="R262" s="1112"/>
      <c r="S262" s="1112"/>
      <c r="T262" s="1134">
        <v>36</v>
      </c>
      <c r="U262" s="1138">
        <v>0.3</v>
      </c>
      <c r="V262" s="1112">
        <f>N262*U262</f>
        <v>1779.855</v>
      </c>
      <c r="W262" s="1112"/>
      <c r="X262" s="1112">
        <f>(N262+V262)*O262+W262</f>
        <v>7712.7049999999999</v>
      </c>
      <c r="Y262" s="1112">
        <f>AB262</f>
        <v>5787.2950000000001</v>
      </c>
      <c r="Z262" s="1112">
        <f>X262+Y262</f>
        <v>13500</v>
      </c>
      <c r="AA262" s="1109">
        <f>13500*O262</f>
        <v>13500</v>
      </c>
      <c r="AB262" s="1109">
        <f>AA262-X262</f>
        <v>5787.2950000000001</v>
      </c>
      <c r="AC262" s="1112">
        <f>6700*O262</f>
        <v>6700</v>
      </c>
      <c r="AD262" s="1112"/>
      <c r="AE262" s="436">
        <f>G262*O262</f>
        <v>5159</v>
      </c>
      <c r="AF262" s="436">
        <f>G262*P262</f>
        <v>0</v>
      </c>
      <c r="AG262" s="436">
        <f>N262*O262</f>
        <v>5932.85</v>
      </c>
      <c r="AH262" s="436">
        <f>N262*P262</f>
        <v>0</v>
      </c>
      <c r="AI262" s="436">
        <f t="shared" si="109"/>
        <v>773.85000000000036</v>
      </c>
      <c r="AJ262" s="436">
        <f t="shared" si="109"/>
        <v>0</v>
      </c>
      <c r="AK262" s="437">
        <f>V262*O262</f>
        <v>1779.855</v>
      </c>
      <c r="AL262" s="437">
        <f>V262*P262</f>
        <v>0</v>
      </c>
      <c r="AM262" s="437">
        <f>W262</f>
        <v>0</v>
      </c>
      <c r="AN262" s="437">
        <f>S262*O262</f>
        <v>0</v>
      </c>
      <c r="AO262" s="437">
        <f>S262*P262</f>
        <v>0</v>
      </c>
      <c r="AP262" s="437">
        <f t="shared" si="110"/>
        <v>5932.85</v>
      </c>
      <c r="AQ262" s="437">
        <f t="shared" si="110"/>
        <v>0</v>
      </c>
      <c r="AR262" s="436"/>
      <c r="AS262" s="437">
        <f>AP262+AQ262-AR262</f>
        <v>5932.85</v>
      </c>
    </row>
    <row r="263" spans="1:45" s="438" customFormat="1" ht="24.95" customHeight="1">
      <c r="A263" s="1134"/>
      <c r="B263" s="1134"/>
      <c r="C263" s="1139"/>
      <c r="D263" s="1134"/>
      <c r="E263" s="1134"/>
      <c r="F263" s="1134"/>
      <c r="G263" s="1112"/>
      <c r="H263" s="1112"/>
      <c r="I263" s="1112"/>
      <c r="J263" s="1112"/>
      <c r="K263" s="1112"/>
      <c r="L263" s="449">
        <f>(G262+H263)*L262</f>
        <v>773.85</v>
      </c>
      <c r="M263" s="1112"/>
      <c r="N263" s="1112"/>
      <c r="O263" s="1112"/>
      <c r="P263" s="1112"/>
      <c r="Q263" s="1112"/>
      <c r="R263" s="1112"/>
      <c r="S263" s="1112"/>
      <c r="T263" s="1134"/>
      <c r="U263" s="1138"/>
      <c r="V263" s="1112"/>
      <c r="W263" s="1112"/>
      <c r="X263" s="1112"/>
      <c r="Y263" s="1112"/>
      <c r="Z263" s="1112"/>
      <c r="AA263" s="1109"/>
      <c r="AB263" s="1109"/>
      <c r="AC263" s="1112"/>
      <c r="AD263" s="1112"/>
      <c r="AE263" s="436">
        <f>G263*O263</f>
        <v>0</v>
      </c>
      <c r="AF263" s="436">
        <f>G263*P263</f>
        <v>0</v>
      </c>
      <c r="AG263" s="436">
        <f>N263*O263</f>
        <v>0</v>
      </c>
      <c r="AH263" s="436">
        <f>N263*P263</f>
        <v>0</v>
      </c>
      <c r="AI263" s="436">
        <f t="shared" si="109"/>
        <v>0</v>
      </c>
      <c r="AJ263" s="436">
        <f t="shared" si="109"/>
        <v>0</v>
      </c>
      <c r="AK263" s="437">
        <f>V263*O263</f>
        <v>0</v>
      </c>
      <c r="AL263" s="437">
        <f>V263*P263</f>
        <v>0</v>
      </c>
      <c r="AM263" s="437">
        <f>W263</f>
        <v>0</v>
      </c>
      <c r="AN263" s="437">
        <f>S263*O263</f>
        <v>0</v>
      </c>
      <c r="AO263" s="437">
        <f>S263*P263</f>
        <v>0</v>
      </c>
      <c r="AP263" s="437">
        <f t="shared" si="110"/>
        <v>0</v>
      </c>
      <c r="AQ263" s="437">
        <f t="shared" si="110"/>
        <v>0</v>
      </c>
      <c r="AR263" s="436"/>
      <c r="AS263" s="437">
        <f>AP263+AQ263-AR263</f>
        <v>0</v>
      </c>
    </row>
    <row r="264" spans="1:45" s="438" customFormat="1" ht="24.95" customHeight="1">
      <c r="A264" s="1134"/>
      <c r="B264" s="1134"/>
      <c r="C264" s="1139" t="s">
        <v>564</v>
      </c>
      <c r="D264" s="1134" t="s">
        <v>1051</v>
      </c>
      <c r="E264" s="1134" t="s">
        <v>1052</v>
      </c>
      <c r="F264" s="1134">
        <v>8</v>
      </c>
      <c r="G264" s="1112">
        <v>4890</v>
      </c>
      <c r="H264" s="1112"/>
      <c r="I264" s="1112"/>
      <c r="J264" s="1112"/>
      <c r="K264" s="1112"/>
      <c r="L264" s="435">
        <v>0.15</v>
      </c>
      <c r="M264" s="1112"/>
      <c r="N264" s="1112">
        <f>G264+H265+L265</f>
        <v>5623.5</v>
      </c>
      <c r="O264" s="1112">
        <v>1</v>
      </c>
      <c r="P264" s="1112"/>
      <c r="Q264" s="1112"/>
      <c r="R264" s="1112"/>
      <c r="S264" s="1112"/>
      <c r="T264" s="1134">
        <v>12</v>
      </c>
      <c r="U264" s="1138">
        <v>0.2</v>
      </c>
      <c r="V264" s="1112">
        <f>N264*U264</f>
        <v>1124.7</v>
      </c>
      <c r="W264" s="1112"/>
      <c r="X264" s="1112">
        <f>(N264+V264)*O264+W264</f>
        <v>6748.2</v>
      </c>
      <c r="Y264" s="1112">
        <f>AB264</f>
        <v>6751.8</v>
      </c>
      <c r="Z264" s="1112">
        <f>X264+Y264</f>
        <v>13500</v>
      </c>
      <c r="AA264" s="1109">
        <f>13500*O264</f>
        <v>13500</v>
      </c>
      <c r="AB264" s="1109">
        <f>AA264-X264</f>
        <v>6751.8</v>
      </c>
      <c r="AC264" s="1112">
        <f>6700*O264</f>
        <v>6700</v>
      </c>
      <c r="AD264" s="1112"/>
      <c r="AE264" s="436">
        <f t="shared" ref="AE264:AE279" si="111">G264*O264</f>
        <v>4890</v>
      </c>
      <c r="AF264" s="436">
        <f t="shared" ref="AF264:AF279" si="112">G264*P264</f>
        <v>0</v>
      </c>
      <c r="AG264" s="436">
        <f t="shared" ref="AG264:AG279" si="113">N264*O264</f>
        <v>5623.5</v>
      </c>
      <c r="AH264" s="436">
        <f t="shared" ref="AH264:AH279" si="114">N264*P264</f>
        <v>0</v>
      </c>
      <c r="AI264" s="436">
        <f t="shared" si="109"/>
        <v>733.5</v>
      </c>
      <c r="AJ264" s="436">
        <f t="shared" si="109"/>
        <v>0</v>
      </c>
      <c r="AK264" s="437">
        <f t="shared" ref="AK264:AK279" si="115">V264*O264</f>
        <v>1124.7</v>
      </c>
      <c r="AL264" s="437">
        <f t="shared" ref="AL264:AL279" si="116">V264*P264</f>
        <v>0</v>
      </c>
      <c r="AM264" s="437">
        <f t="shared" ref="AM264:AM279" si="117">W264</f>
        <v>0</v>
      </c>
      <c r="AN264" s="437">
        <f t="shared" ref="AN264:AN279" si="118">S264*O264</f>
        <v>0</v>
      </c>
      <c r="AO264" s="437">
        <f t="shared" ref="AO264:AO279" si="119">S264*P264</f>
        <v>0</v>
      </c>
      <c r="AP264" s="437">
        <f t="shared" si="110"/>
        <v>5623.5</v>
      </c>
      <c r="AQ264" s="437">
        <f t="shared" si="110"/>
        <v>0</v>
      </c>
      <c r="AR264" s="436"/>
      <c r="AS264" s="437">
        <f t="shared" ref="AS264:AS279" si="120">AP264+AQ264-AR264</f>
        <v>5623.5</v>
      </c>
    </row>
    <row r="265" spans="1:45" s="438" customFormat="1" ht="24.95" customHeight="1">
      <c r="A265" s="1134"/>
      <c r="B265" s="1134"/>
      <c r="C265" s="1139"/>
      <c r="D265" s="1134"/>
      <c r="E265" s="1134"/>
      <c r="F265" s="1134"/>
      <c r="G265" s="1112"/>
      <c r="H265" s="1112"/>
      <c r="I265" s="1112"/>
      <c r="J265" s="1112"/>
      <c r="K265" s="1112"/>
      <c r="L265" s="439">
        <f>G264*L264</f>
        <v>733.5</v>
      </c>
      <c r="M265" s="1112"/>
      <c r="N265" s="1112"/>
      <c r="O265" s="1112"/>
      <c r="P265" s="1112"/>
      <c r="Q265" s="1112"/>
      <c r="R265" s="1112"/>
      <c r="S265" s="1112"/>
      <c r="T265" s="1134"/>
      <c r="U265" s="1138"/>
      <c r="V265" s="1112"/>
      <c r="W265" s="1112"/>
      <c r="X265" s="1112"/>
      <c r="Y265" s="1112"/>
      <c r="Z265" s="1112"/>
      <c r="AA265" s="1109"/>
      <c r="AB265" s="1109"/>
      <c r="AC265" s="1112"/>
      <c r="AD265" s="1112"/>
      <c r="AE265" s="436">
        <f t="shared" si="111"/>
        <v>0</v>
      </c>
      <c r="AF265" s="436">
        <f t="shared" si="112"/>
        <v>0</v>
      </c>
      <c r="AG265" s="436">
        <f t="shared" si="113"/>
        <v>0</v>
      </c>
      <c r="AH265" s="436">
        <f t="shared" si="114"/>
        <v>0</v>
      </c>
      <c r="AI265" s="436">
        <f t="shared" ref="AI265:AJ279" si="121">AG265-AE265</f>
        <v>0</v>
      </c>
      <c r="AJ265" s="436">
        <f t="shared" si="121"/>
        <v>0</v>
      </c>
      <c r="AK265" s="437">
        <f t="shared" si="115"/>
        <v>0</v>
      </c>
      <c r="AL265" s="437">
        <f t="shared" si="116"/>
        <v>0</v>
      </c>
      <c r="AM265" s="437">
        <f t="shared" si="117"/>
        <v>0</v>
      </c>
      <c r="AN265" s="437">
        <f t="shared" si="118"/>
        <v>0</v>
      </c>
      <c r="AO265" s="437">
        <f t="shared" si="119"/>
        <v>0</v>
      </c>
      <c r="AP265" s="437">
        <f t="shared" si="110"/>
        <v>0</v>
      </c>
      <c r="AQ265" s="437">
        <f t="shared" si="110"/>
        <v>0</v>
      </c>
      <c r="AR265" s="436"/>
      <c r="AS265" s="437">
        <f t="shared" si="120"/>
        <v>0</v>
      </c>
    </row>
    <row r="266" spans="1:45" s="438" customFormat="1" ht="24.95" customHeight="1">
      <c r="A266" s="1134"/>
      <c r="B266" s="1134"/>
      <c r="C266" s="1139" t="s">
        <v>564</v>
      </c>
      <c r="D266" s="1134" t="s">
        <v>622</v>
      </c>
      <c r="E266" s="1134" t="s">
        <v>675</v>
      </c>
      <c r="F266" s="1134">
        <v>9</v>
      </c>
      <c r="G266" s="1112">
        <v>5159</v>
      </c>
      <c r="H266" s="1112"/>
      <c r="I266" s="1112"/>
      <c r="J266" s="1112"/>
      <c r="K266" s="1112"/>
      <c r="L266" s="435">
        <v>0.15</v>
      </c>
      <c r="M266" s="1140"/>
      <c r="N266" s="1112">
        <f>G266+H267+L267</f>
        <v>5932.85</v>
      </c>
      <c r="O266" s="1112">
        <v>1</v>
      </c>
      <c r="P266" s="1112"/>
      <c r="Q266" s="1140"/>
      <c r="R266" s="1140"/>
      <c r="S266" s="1140"/>
      <c r="T266" s="1134">
        <v>24</v>
      </c>
      <c r="U266" s="1138">
        <v>0.3</v>
      </c>
      <c r="V266" s="1112">
        <f>N266*U266</f>
        <v>1779.855</v>
      </c>
      <c r="W266" s="1112"/>
      <c r="X266" s="1112">
        <f>(N266+V266)*O266+W266</f>
        <v>7712.7049999999999</v>
      </c>
      <c r="Y266" s="1112">
        <f>AB266</f>
        <v>5787.2950000000001</v>
      </c>
      <c r="Z266" s="1112">
        <f>X266+Y266</f>
        <v>13500</v>
      </c>
      <c r="AA266" s="1109">
        <f>13500*O266</f>
        <v>13500</v>
      </c>
      <c r="AB266" s="1109">
        <f>AA266-X266</f>
        <v>5787.2950000000001</v>
      </c>
      <c r="AC266" s="1112">
        <f>6700*O266</f>
        <v>6700</v>
      </c>
      <c r="AD266" s="1112"/>
      <c r="AE266" s="436">
        <f t="shared" si="111"/>
        <v>5159</v>
      </c>
      <c r="AF266" s="436">
        <f t="shared" si="112"/>
        <v>0</v>
      </c>
      <c r="AG266" s="436">
        <f t="shared" si="113"/>
        <v>5932.85</v>
      </c>
      <c r="AH266" s="436">
        <f t="shared" si="114"/>
        <v>0</v>
      </c>
      <c r="AI266" s="436">
        <f t="shared" si="121"/>
        <v>773.85000000000036</v>
      </c>
      <c r="AJ266" s="436">
        <f t="shared" si="121"/>
        <v>0</v>
      </c>
      <c r="AK266" s="437">
        <f t="shared" si="115"/>
        <v>1779.855</v>
      </c>
      <c r="AL266" s="437">
        <f t="shared" si="116"/>
        <v>0</v>
      </c>
      <c r="AM266" s="437">
        <f t="shared" si="117"/>
        <v>0</v>
      </c>
      <c r="AN266" s="437">
        <f t="shared" si="118"/>
        <v>0</v>
      </c>
      <c r="AO266" s="437">
        <f t="shared" si="119"/>
        <v>0</v>
      </c>
      <c r="AP266" s="437">
        <f t="shared" si="110"/>
        <v>5932.85</v>
      </c>
      <c r="AQ266" s="437">
        <f t="shared" si="110"/>
        <v>0</v>
      </c>
      <c r="AR266" s="436"/>
      <c r="AS266" s="437">
        <f t="shared" si="120"/>
        <v>5932.85</v>
      </c>
    </row>
    <row r="267" spans="1:45" s="438" customFormat="1" ht="24.95" customHeight="1">
      <c r="A267" s="1134"/>
      <c r="B267" s="1134"/>
      <c r="C267" s="1139"/>
      <c r="D267" s="1134"/>
      <c r="E267" s="1134"/>
      <c r="F267" s="1134"/>
      <c r="G267" s="1112"/>
      <c r="H267" s="1112"/>
      <c r="I267" s="1112"/>
      <c r="J267" s="1112"/>
      <c r="K267" s="1112"/>
      <c r="L267" s="439">
        <f>G266*L266</f>
        <v>773.85</v>
      </c>
      <c r="M267" s="1140"/>
      <c r="N267" s="1112"/>
      <c r="O267" s="1112"/>
      <c r="P267" s="1112"/>
      <c r="Q267" s="1140"/>
      <c r="R267" s="1140"/>
      <c r="S267" s="1140"/>
      <c r="T267" s="1134"/>
      <c r="U267" s="1138"/>
      <c r="V267" s="1112"/>
      <c r="W267" s="1112"/>
      <c r="X267" s="1112"/>
      <c r="Y267" s="1112"/>
      <c r="Z267" s="1112"/>
      <c r="AA267" s="1109"/>
      <c r="AB267" s="1109"/>
      <c r="AC267" s="1112"/>
      <c r="AD267" s="1112"/>
      <c r="AE267" s="436">
        <f t="shared" si="111"/>
        <v>0</v>
      </c>
      <c r="AF267" s="436">
        <f t="shared" si="112"/>
        <v>0</v>
      </c>
      <c r="AG267" s="436">
        <f t="shared" si="113"/>
        <v>0</v>
      </c>
      <c r="AH267" s="436">
        <f t="shared" si="114"/>
        <v>0</v>
      </c>
      <c r="AI267" s="436">
        <f t="shared" si="121"/>
        <v>0</v>
      </c>
      <c r="AJ267" s="436">
        <f t="shared" si="121"/>
        <v>0</v>
      </c>
      <c r="AK267" s="437">
        <f t="shared" si="115"/>
        <v>0</v>
      </c>
      <c r="AL267" s="437">
        <f t="shared" si="116"/>
        <v>0</v>
      </c>
      <c r="AM267" s="437">
        <f t="shared" si="117"/>
        <v>0</v>
      </c>
      <c r="AN267" s="437">
        <f t="shared" si="118"/>
        <v>0</v>
      </c>
      <c r="AO267" s="437">
        <f t="shared" si="119"/>
        <v>0</v>
      </c>
      <c r="AP267" s="437">
        <f t="shared" si="110"/>
        <v>0</v>
      </c>
      <c r="AQ267" s="437">
        <f t="shared" si="110"/>
        <v>0</v>
      </c>
      <c r="AR267" s="436"/>
      <c r="AS267" s="437">
        <f t="shared" si="120"/>
        <v>0</v>
      </c>
    </row>
    <row r="268" spans="1:45" s="438" customFormat="1" ht="24.95" customHeight="1">
      <c r="A268" s="1134"/>
      <c r="B268" s="1134"/>
      <c r="C268" s="1139" t="s">
        <v>564</v>
      </c>
      <c r="D268" s="1134" t="s">
        <v>572</v>
      </c>
      <c r="E268" s="1134" t="s">
        <v>674</v>
      </c>
      <c r="F268" s="1134">
        <v>9</v>
      </c>
      <c r="G268" s="1112">
        <v>5159</v>
      </c>
      <c r="H268" s="1112"/>
      <c r="I268" s="1112"/>
      <c r="J268" s="1112"/>
      <c r="K268" s="1112"/>
      <c r="L268" s="435">
        <v>0.15</v>
      </c>
      <c r="M268" s="1112"/>
      <c r="N268" s="1112">
        <f>G268+H269+L269</f>
        <v>5932.85</v>
      </c>
      <c r="O268" s="1112">
        <v>1</v>
      </c>
      <c r="P268" s="1112"/>
      <c r="Q268" s="1112"/>
      <c r="R268" s="1112"/>
      <c r="S268" s="1112"/>
      <c r="T268" s="1134">
        <v>26</v>
      </c>
      <c r="U268" s="1138">
        <v>0.3</v>
      </c>
      <c r="V268" s="1112">
        <f>N268*U268</f>
        <v>1779.855</v>
      </c>
      <c r="W268" s="1112"/>
      <c r="X268" s="1112">
        <f>(N268+V268)*O268+W268</f>
        <v>7712.7049999999999</v>
      </c>
      <c r="Y268" s="1112">
        <f>AB268</f>
        <v>5787.2950000000001</v>
      </c>
      <c r="Z268" s="1112">
        <f>X268+Y268</f>
        <v>13500</v>
      </c>
      <c r="AA268" s="1109">
        <f>13500*O268</f>
        <v>13500</v>
      </c>
      <c r="AB268" s="1109">
        <f>AA268-X268</f>
        <v>5787.2950000000001</v>
      </c>
      <c r="AC268" s="1112">
        <f>6700*O268</f>
        <v>6700</v>
      </c>
      <c r="AD268" s="1112"/>
      <c r="AE268" s="436">
        <f t="shared" si="111"/>
        <v>5159</v>
      </c>
      <c r="AF268" s="436">
        <f t="shared" si="112"/>
        <v>0</v>
      </c>
      <c r="AG268" s="436">
        <f t="shared" si="113"/>
        <v>5932.85</v>
      </c>
      <c r="AH268" s="436">
        <f t="shared" si="114"/>
        <v>0</v>
      </c>
      <c r="AI268" s="436">
        <f t="shared" si="121"/>
        <v>773.85000000000036</v>
      </c>
      <c r="AJ268" s="436">
        <f t="shared" si="121"/>
        <v>0</v>
      </c>
      <c r="AK268" s="437">
        <f t="shared" si="115"/>
        <v>1779.855</v>
      </c>
      <c r="AL268" s="437">
        <f t="shared" si="116"/>
        <v>0</v>
      </c>
      <c r="AM268" s="437">
        <f t="shared" si="117"/>
        <v>0</v>
      </c>
      <c r="AN268" s="437">
        <f t="shared" si="118"/>
        <v>0</v>
      </c>
      <c r="AO268" s="437">
        <f t="shared" si="119"/>
        <v>0</v>
      </c>
      <c r="AP268" s="437">
        <f t="shared" si="110"/>
        <v>5932.85</v>
      </c>
      <c r="AQ268" s="437">
        <f t="shared" si="110"/>
        <v>0</v>
      </c>
      <c r="AR268" s="436"/>
      <c r="AS268" s="437">
        <f t="shared" si="120"/>
        <v>5932.85</v>
      </c>
    </row>
    <row r="269" spans="1:45" s="438" customFormat="1" ht="24.95" customHeight="1">
      <c r="A269" s="1134"/>
      <c r="B269" s="1134"/>
      <c r="C269" s="1139"/>
      <c r="D269" s="1134"/>
      <c r="E269" s="1134"/>
      <c r="F269" s="1134"/>
      <c r="G269" s="1112"/>
      <c r="H269" s="1112"/>
      <c r="I269" s="1112"/>
      <c r="J269" s="1112"/>
      <c r="K269" s="1112"/>
      <c r="L269" s="439">
        <f>G268*L268</f>
        <v>773.85</v>
      </c>
      <c r="M269" s="1112"/>
      <c r="N269" s="1112"/>
      <c r="O269" s="1112"/>
      <c r="P269" s="1112"/>
      <c r="Q269" s="1112"/>
      <c r="R269" s="1112"/>
      <c r="S269" s="1112"/>
      <c r="T269" s="1134"/>
      <c r="U269" s="1138"/>
      <c r="V269" s="1112"/>
      <c r="W269" s="1112"/>
      <c r="X269" s="1112"/>
      <c r="Y269" s="1112"/>
      <c r="Z269" s="1112"/>
      <c r="AA269" s="1109"/>
      <c r="AB269" s="1109"/>
      <c r="AC269" s="1112"/>
      <c r="AD269" s="1112"/>
      <c r="AE269" s="436">
        <f t="shared" si="111"/>
        <v>0</v>
      </c>
      <c r="AF269" s="436">
        <f t="shared" si="112"/>
        <v>0</v>
      </c>
      <c r="AG269" s="436">
        <f t="shared" si="113"/>
        <v>0</v>
      </c>
      <c r="AH269" s="436">
        <f t="shared" si="114"/>
        <v>0</v>
      </c>
      <c r="AI269" s="436">
        <f t="shared" si="121"/>
        <v>0</v>
      </c>
      <c r="AJ269" s="436">
        <f t="shared" si="121"/>
        <v>0</v>
      </c>
      <c r="AK269" s="437">
        <f t="shared" si="115"/>
        <v>0</v>
      </c>
      <c r="AL269" s="437">
        <f t="shared" si="116"/>
        <v>0</v>
      </c>
      <c r="AM269" s="437">
        <f t="shared" si="117"/>
        <v>0</v>
      </c>
      <c r="AN269" s="437">
        <f t="shared" si="118"/>
        <v>0</v>
      </c>
      <c r="AO269" s="437">
        <f t="shared" si="119"/>
        <v>0</v>
      </c>
      <c r="AP269" s="437">
        <f t="shared" si="110"/>
        <v>0</v>
      </c>
      <c r="AQ269" s="437">
        <f t="shared" si="110"/>
        <v>0</v>
      </c>
      <c r="AR269" s="436"/>
      <c r="AS269" s="437">
        <f t="shared" si="120"/>
        <v>0</v>
      </c>
    </row>
    <row r="270" spans="1:45" s="438" customFormat="1" ht="24.95" customHeight="1">
      <c r="A270" s="1134"/>
      <c r="B270" s="1134"/>
      <c r="C270" s="1139" t="s">
        <v>564</v>
      </c>
      <c r="D270" s="1134" t="s">
        <v>601</v>
      </c>
      <c r="E270" s="1134" t="s">
        <v>673</v>
      </c>
      <c r="F270" s="1134">
        <v>9</v>
      </c>
      <c r="G270" s="1112">
        <v>5159</v>
      </c>
      <c r="H270" s="1112"/>
      <c r="I270" s="1112"/>
      <c r="J270" s="1112"/>
      <c r="K270" s="1112"/>
      <c r="L270" s="435">
        <v>0.15</v>
      </c>
      <c r="M270" s="1112"/>
      <c r="N270" s="1112">
        <f>G270+H271+L271</f>
        <v>5932.85</v>
      </c>
      <c r="O270" s="1112">
        <v>1</v>
      </c>
      <c r="P270" s="1112"/>
      <c r="Q270" s="1112"/>
      <c r="R270" s="1112"/>
      <c r="S270" s="1112"/>
      <c r="T270" s="1134">
        <v>14</v>
      </c>
      <c r="U270" s="1138">
        <v>0.2</v>
      </c>
      <c r="V270" s="1112">
        <f>N270*U270</f>
        <v>1186.5700000000002</v>
      </c>
      <c r="W270" s="1112"/>
      <c r="X270" s="1112">
        <f>(N270+V270)*O270+W270</f>
        <v>7119.42</v>
      </c>
      <c r="Y270" s="1112">
        <f>AB270</f>
        <v>6380.58</v>
      </c>
      <c r="Z270" s="1112">
        <f>X270+Y270</f>
        <v>13500</v>
      </c>
      <c r="AA270" s="1109">
        <f>13500*O270</f>
        <v>13500</v>
      </c>
      <c r="AB270" s="1109">
        <f>AA270-X270</f>
        <v>6380.58</v>
      </c>
      <c r="AC270" s="1112">
        <f>6700*O270</f>
        <v>6700</v>
      </c>
      <c r="AD270" s="1112"/>
      <c r="AE270" s="436">
        <f t="shared" si="111"/>
        <v>5159</v>
      </c>
      <c r="AF270" s="436">
        <f t="shared" si="112"/>
        <v>0</v>
      </c>
      <c r="AG270" s="436">
        <f t="shared" si="113"/>
        <v>5932.85</v>
      </c>
      <c r="AH270" s="436">
        <f t="shared" si="114"/>
        <v>0</v>
      </c>
      <c r="AI270" s="436">
        <f t="shared" si="121"/>
        <v>773.85000000000036</v>
      </c>
      <c r="AJ270" s="436">
        <f t="shared" si="121"/>
        <v>0</v>
      </c>
      <c r="AK270" s="437">
        <f t="shared" si="115"/>
        <v>1186.5700000000002</v>
      </c>
      <c r="AL270" s="437">
        <f t="shared" si="116"/>
        <v>0</v>
      </c>
      <c r="AM270" s="437">
        <f t="shared" si="117"/>
        <v>0</v>
      </c>
      <c r="AN270" s="437">
        <f t="shared" si="118"/>
        <v>0</v>
      </c>
      <c r="AO270" s="437">
        <f t="shared" si="119"/>
        <v>0</v>
      </c>
      <c r="AP270" s="437">
        <f t="shared" si="110"/>
        <v>5932.85</v>
      </c>
      <c r="AQ270" s="437">
        <f t="shared" si="110"/>
        <v>0</v>
      </c>
      <c r="AR270" s="436"/>
      <c r="AS270" s="437">
        <f t="shared" si="120"/>
        <v>5932.85</v>
      </c>
    </row>
    <row r="271" spans="1:45" s="438" customFormat="1" ht="24.95" customHeight="1">
      <c r="A271" s="1134"/>
      <c r="B271" s="1134"/>
      <c r="C271" s="1139"/>
      <c r="D271" s="1134"/>
      <c r="E271" s="1134"/>
      <c r="F271" s="1134"/>
      <c r="G271" s="1112"/>
      <c r="H271" s="1112"/>
      <c r="I271" s="1112"/>
      <c r="J271" s="1112"/>
      <c r="K271" s="1112"/>
      <c r="L271" s="439">
        <f>G270*L270</f>
        <v>773.85</v>
      </c>
      <c r="M271" s="1112"/>
      <c r="N271" s="1112"/>
      <c r="O271" s="1112"/>
      <c r="P271" s="1112"/>
      <c r="Q271" s="1112"/>
      <c r="R271" s="1112"/>
      <c r="S271" s="1112"/>
      <c r="T271" s="1134"/>
      <c r="U271" s="1138"/>
      <c r="V271" s="1112"/>
      <c r="W271" s="1112"/>
      <c r="X271" s="1112"/>
      <c r="Y271" s="1112"/>
      <c r="Z271" s="1112"/>
      <c r="AA271" s="1109"/>
      <c r="AB271" s="1109"/>
      <c r="AC271" s="1112"/>
      <c r="AD271" s="1112"/>
      <c r="AE271" s="436">
        <f t="shared" si="111"/>
        <v>0</v>
      </c>
      <c r="AF271" s="436">
        <f t="shared" si="112"/>
        <v>0</v>
      </c>
      <c r="AG271" s="436">
        <f t="shared" si="113"/>
        <v>0</v>
      </c>
      <c r="AH271" s="436">
        <f t="shared" si="114"/>
        <v>0</v>
      </c>
      <c r="AI271" s="436">
        <f t="shared" si="121"/>
        <v>0</v>
      </c>
      <c r="AJ271" s="436">
        <f t="shared" si="121"/>
        <v>0</v>
      </c>
      <c r="AK271" s="437">
        <f t="shared" si="115"/>
        <v>0</v>
      </c>
      <c r="AL271" s="437">
        <f t="shared" si="116"/>
        <v>0</v>
      </c>
      <c r="AM271" s="437">
        <f t="shared" si="117"/>
        <v>0</v>
      </c>
      <c r="AN271" s="437">
        <f t="shared" si="118"/>
        <v>0</v>
      </c>
      <c r="AO271" s="437">
        <f t="shared" si="119"/>
        <v>0</v>
      </c>
      <c r="AP271" s="437">
        <f t="shared" si="110"/>
        <v>0</v>
      </c>
      <c r="AQ271" s="437">
        <f t="shared" si="110"/>
        <v>0</v>
      </c>
      <c r="AR271" s="436"/>
      <c r="AS271" s="437">
        <f t="shared" si="120"/>
        <v>0</v>
      </c>
    </row>
    <row r="272" spans="1:45" s="438" customFormat="1" ht="24.95" customHeight="1">
      <c r="A272" s="1134"/>
      <c r="B272" s="1134"/>
      <c r="C272" s="1139" t="s">
        <v>564</v>
      </c>
      <c r="D272" s="1134" t="s">
        <v>618</v>
      </c>
      <c r="E272" s="1134" t="s">
        <v>631</v>
      </c>
      <c r="F272" s="1134">
        <v>9</v>
      </c>
      <c r="G272" s="1112">
        <v>5159</v>
      </c>
      <c r="H272" s="1112"/>
      <c r="I272" s="1112"/>
      <c r="J272" s="1112"/>
      <c r="K272" s="1112"/>
      <c r="L272" s="435">
        <v>0.15</v>
      </c>
      <c r="M272" s="1112"/>
      <c r="N272" s="1112">
        <f>G272+H273+L273</f>
        <v>5932.85</v>
      </c>
      <c r="O272" s="1112">
        <v>1</v>
      </c>
      <c r="P272" s="1112"/>
      <c r="Q272" s="1112"/>
      <c r="R272" s="1112"/>
      <c r="S272" s="1112"/>
      <c r="T272" s="1134">
        <v>27</v>
      </c>
      <c r="U272" s="1138">
        <v>0.3</v>
      </c>
      <c r="V272" s="1112">
        <f>N272*U272</f>
        <v>1779.855</v>
      </c>
      <c r="W272" s="1112"/>
      <c r="X272" s="1112">
        <f>(N272+V272)*O272+W272</f>
        <v>7712.7049999999999</v>
      </c>
      <c r="Y272" s="1112">
        <f>AB272</f>
        <v>5787.2950000000001</v>
      </c>
      <c r="Z272" s="1112">
        <f>X272+Y272</f>
        <v>13500</v>
      </c>
      <c r="AA272" s="1109">
        <f>13500*O272</f>
        <v>13500</v>
      </c>
      <c r="AB272" s="1109">
        <f>AA272-X272</f>
        <v>5787.2950000000001</v>
      </c>
      <c r="AC272" s="1112">
        <f>6700*O272</f>
        <v>6700</v>
      </c>
      <c r="AD272" s="1112"/>
      <c r="AE272" s="436">
        <f t="shared" si="111"/>
        <v>5159</v>
      </c>
      <c r="AF272" s="436">
        <f t="shared" si="112"/>
        <v>0</v>
      </c>
      <c r="AG272" s="436">
        <f t="shared" si="113"/>
        <v>5932.85</v>
      </c>
      <c r="AH272" s="436">
        <f t="shared" si="114"/>
        <v>0</v>
      </c>
      <c r="AI272" s="436">
        <f t="shared" si="121"/>
        <v>773.85000000000036</v>
      </c>
      <c r="AJ272" s="436">
        <f t="shared" si="121"/>
        <v>0</v>
      </c>
      <c r="AK272" s="437">
        <f t="shared" si="115"/>
        <v>1779.855</v>
      </c>
      <c r="AL272" s="437">
        <f t="shared" si="116"/>
        <v>0</v>
      </c>
      <c r="AM272" s="437">
        <f t="shared" si="117"/>
        <v>0</v>
      </c>
      <c r="AN272" s="437">
        <f t="shared" si="118"/>
        <v>0</v>
      </c>
      <c r="AO272" s="437">
        <f t="shared" si="119"/>
        <v>0</v>
      </c>
      <c r="AP272" s="437">
        <f t="shared" si="110"/>
        <v>5932.85</v>
      </c>
      <c r="AQ272" s="437">
        <f t="shared" si="110"/>
        <v>0</v>
      </c>
      <c r="AR272" s="436"/>
      <c r="AS272" s="437">
        <f t="shared" si="120"/>
        <v>5932.85</v>
      </c>
    </row>
    <row r="273" spans="1:46" s="438" customFormat="1" ht="24.95" customHeight="1">
      <c r="A273" s="1134"/>
      <c r="B273" s="1134"/>
      <c r="C273" s="1139"/>
      <c r="D273" s="1134"/>
      <c r="E273" s="1134"/>
      <c r="F273" s="1134"/>
      <c r="G273" s="1112"/>
      <c r="H273" s="1112"/>
      <c r="I273" s="1112"/>
      <c r="J273" s="1112"/>
      <c r="K273" s="1112"/>
      <c r="L273" s="439">
        <f>G272*L272</f>
        <v>773.85</v>
      </c>
      <c r="M273" s="1112"/>
      <c r="N273" s="1112"/>
      <c r="O273" s="1112"/>
      <c r="P273" s="1112"/>
      <c r="Q273" s="1112"/>
      <c r="R273" s="1112"/>
      <c r="S273" s="1112"/>
      <c r="T273" s="1134"/>
      <c r="U273" s="1138"/>
      <c r="V273" s="1112"/>
      <c r="W273" s="1112"/>
      <c r="X273" s="1112"/>
      <c r="Y273" s="1112"/>
      <c r="Z273" s="1112"/>
      <c r="AA273" s="1109"/>
      <c r="AB273" s="1109"/>
      <c r="AC273" s="1112"/>
      <c r="AD273" s="1112"/>
      <c r="AE273" s="436">
        <f t="shared" si="111"/>
        <v>0</v>
      </c>
      <c r="AF273" s="436">
        <f t="shared" si="112"/>
        <v>0</v>
      </c>
      <c r="AG273" s="436">
        <f t="shared" si="113"/>
        <v>0</v>
      </c>
      <c r="AH273" s="436">
        <f t="shared" si="114"/>
        <v>0</v>
      </c>
      <c r="AI273" s="436">
        <f t="shared" si="121"/>
        <v>0</v>
      </c>
      <c r="AJ273" s="436">
        <f t="shared" si="121"/>
        <v>0</v>
      </c>
      <c r="AK273" s="437">
        <f t="shared" si="115"/>
        <v>0</v>
      </c>
      <c r="AL273" s="437">
        <f t="shared" si="116"/>
        <v>0</v>
      </c>
      <c r="AM273" s="437">
        <f t="shared" si="117"/>
        <v>0</v>
      </c>
      <c r="AN273" s="437">
        <f t="shared" si="118"/>
        <v>0</v>
      </c>
      <c r="AO273" s="437">
        <f t="shared" si="119"/>
        <v>0</v>
      </c>
      <c r="AP273" s="437">
        <f t="shared" si="110"/>
        <v>0</v>
      </c>
      <c r="AQ273" s="437">
        <f t="shared" si="110"/>
        <v>0</v>
      </c>
      <c r="AR273" s="436"/>
      <c r="AS273" s="437">
        <f t="shared" si="120"/>
        <v>0</v>
      </c>
    </row>
    <row r="274" spans="1:46" s="438" customFormat="1" ht="24.95" customHeight="1">
      <c r="A274" s="1134"/>
      <c r="B274" s="1134"/>
      <c r="C274" s="1139" t="s">
        <v>564</v>
      </c>
      <c r="D274" s="1134" t="s">
        <v>665</v>
      </c>
      <c r="E274" s="1134" t="s">
        <v>676</v>
      </c>
      <c r="F274" s="1134">
        <v>9</v>
      </c>
      <c r="G274" s="1112">
        <v>5159</v>
      </c>
      <c r="H274" s="1112"/>
      <c r="I274" s="1138"/>
      <c r="J274" s="1138"/>
      <c r="K274" s="1112"/>
      <c r="L274" s="435">
        <v>0.15</v>
      </c>
      <c r="M274" s="1140"/>
      <c r="N274" s="1112">
        <f>G274+H275+K275+L275</f>
        <v>5932.85</v>
      </c>
      <c r="O274" s="1112">
        <v>1</v>
      </c>
      <c r="P274" s="1112"/>
      <c r="Q274" s="1140"/>
      <c r="R274" s="1140"/>
      <c r="S274" s="1140"/>
      <c r="T274" s="1134">
        <v>42</v>
      </c>
      <c r="U274" s="1138">
        <v>0.3</v>
      </c>
      <c r="V274" s="1112">
        <f>N274*U274</f>
        <v>1779.855</v>
      </c>
      <c r="W274" s="1112"/>
      <c r="X274" s="1112">
        <f>(N274+V274)*O274</f>
        <v>7712.7049999999999</v>
      </c>
      <c r="Y274" s="1112">
        <f>AB274</f>
        <v>5787.2950000000001</v>
      </c>
      <c r="Z274" s="1112">
        <f>X274+Y274</f>
        <v>13500</v>
      </c>
      <c r="AA274" s="1109">
        <f>13500*O274</f>
        <v>13500</v>
      </c>
      <c r="AB274" s="1109">
        <f>AA274-X274</f>
        <v>5787.2950000000001</v>
      </c>
      <c r="AC274" s="1112">
        <f>6700*O274</f>
        <v>6700</v>
      </c>
      <c r="AD274" s="1112"/>
      <c r="AE274" s="436">
        <f>G274*O274</f>
        <v>5159</v>
      </c>
      <c r="AF274" s="436">
        <f>G274*P274</f>
        <v>0</v>
      </c>
      <c r="AG274" s="436">
        <f>N274*O274</f>
        <v>5932.85</v>
      </c>
      <c r="AH274" s="436">
        <f>N274*P274</f>
        <v>0</v>
      </c>
      <c r="AI274" s="436">
        <f>AG274-AE274</f>
        <v>773.85000000000036</v>
      </c>
      <c r="AJ274" s="436">
        <f>AH274-AF274</f>
        <v>0</v>
      </c>
      <c r="AK274" s="437">
        <f>V274*O274</f>
        <v>1779.855</v>
      </c>
      <c r="AL274" s="437">
        <f>V274*P274</f>
        <v>0</v>
      </c>
      <c r="AM274" s="437">
        <f>W274</f>
        <v>0</v>
      </c>
      <c r="AN274" s="437">
        <f>S274*O274</f>
        <v>0</v>
      </c>
      <c r="AO274" s="437">
        <f>S274*P274</f>
        <v>0</v>
      </c>
      <c r="AP274" s="437">
        <f>AG274</f>
        <v>5932.85</v>
      </c>
      <c r="AQ274" s="437">
        <f>AH274</f>
        <v>0</v>
      </c>
      <c r="AR274" s="436"/>
      <c r="AS274" s="437">
        <f>AP274+AQ274-AR274</f>
        <v>5932.85</v>
      </c>
    </row>
    <row r="275" spans="1:46" s="438" customFormat="1" ht="24.95" customHeight="1">
      <c r="A275" s="1134"/>
      <c r="B275" s="1134"/>
      <c r="C275" s="1139"/>
      <c r="D275" s="1134"/>
      <c r="E275" s="1134"/>
      <c r="F275" s="1134"/>
      <c r="G275" s="1112"/>
      <c r="H275" s="1112"/>
      <c r="I275" s="1134"/>
      <c r="J275" s="1134"/>
      <c r="K275" s="1112"/>
      <c r="L275" s="439">
        <f>G274*L274</f>
        <v>773.85</v>
      </c>
      <c r="M275" s="1140"/>
      <c r="N275" s="1112"/>
      <c r="O275" s="1112"/>
      <c r="P275" s="1112"/>
      <c r="Q275" s="1140"/>
      <c r="R275" s="1140"/>
      <c r="S275" s="1140"/>
      <c r="T275" s="1134"/>
      <c r="U275" s="1138"/>
      <c r="V275" s="1112"/>
      <c r="W275" s="1112"/>
      <c r="X275" s="1112"/>
      <c r="Y275" s="1112"/>
      <c r="Z275" s="1112"/>
      <c r="AA275" s="1109"/>
      <c r="AB275" s="1109"/>
      <c r="AC275" s="1112"/>
      <c r="AD275" s="1112"/>
      <c r="AE275" s="436">
        <f>G275*O275</f>
        <v>0</v>
      </c>
      <c r="AF275" s="436">
        <f>G275*P275</f>
        <v>0</v>
      </c>
      <c r="AG275" s="436">
        <f>N275*O275</f>
        <v>0</v>
      </c>
      <c r="AH275" s="436">
        <f>N275*P275</f>
        <v>0</v>
      </c>
      <c r="AI275" s="436">
        <f>AG275-AE275</f>
        <v>0</v>
      </c>
      <c r="AJ275" s="436">
        <f>AH275-AF275</f>
        <v>0</v>
      </c>
      <c r="AK275" s="437">
        <f>V275*O275</f>
        <v>0</v>
      </c>
      <c r="AL275" s="437">
        <f>V275*P275</f>
        <v>0</v>
      </c>
      <c r="AM275" s="437">
        <f>W275</f>
        <v>0</v>
      </c>
      <c r="AN275" s="437">
        <f>S275*O275</f>
        <v>0</v>
      </c>
      <c r="AO275" s="437">
        <f>S275*P275</f>
        <v>0</v>
      </c>
      <c r="AP275" s="437">
        <f>AG275</f>
        <v>0</v>
      </c>
      <c r="AQ275" s="437">
        <f>AH275</f>
        <v>0</v>
      </c>
      <c r="AR275" s="436"/>
      <c r="AS275" s="437">
        <f>AP275+AQ275-AR275</f>
        <v>0</v>
      </c>
    </row>
    <row r="276" spans="1:46" s="438" customFormat="1" ht="24.95" customHeight="1">
      <c r="A276" s="1134"/>
      <c r="B276" s="1134"/>
      <c r="C276" s="1139" t="s">
        <v>612</v>
      </c>
      <c r="D276" s="1134" t="s">
        <v>613</v>
      </c>
      <c r="E276" s="1134" t="s">
        <v>614</v>
      </c>
      <c r="F276" s="1134">
        <v>10</v>
      </c>
      <c r="G276" s="1112">
        <v>5427</v>
      </c>
      <c r="H276" s="1112"/>
      <c r="I276" s="1112"/>
      <c r="J276" s="1112"/>
      <c r="K276" s="1112"/>
      <c r="L276" s="435">
        <v>0.15</v>
      </c>
      <c r="M276" s="1112"/>
      <c r="N276" s="1112">
        <f>G276+H277+L277</f>
        <v>6241.05</v>
      </c>
      <c r="O276" s="1112">
        <v>1</v>
      </c>
      <c r="P276" s="1112"/>
      <c r="Q276" s="1112"/>
      <c r="R276" s="1112"/>
      <c r="S276" s="1112"/>
      <c r="T276" s="1134">
        <v>27</v>
      </c>
      <c r="U276" s="1138">
        <v>0.3</v>
      </c>
      <c r="V276" s="1112">
        <f>N276*U276</f>
        <v>1872.3150000000001</v>
      </c>
      <c r="W276" s="1112"/>
      <c r="X276" s="1112">
        <f>(N276+V276)*O276+W276</f>
        <v>8113.3649999999998</v>
      </c>
      <c r="Y276" s="1112">
        <f>AB276</f>
        <v>5386.6350000000002</v>
      </c>
      <c r="Z276" s="1112">
        <f>X276+Y276</f>
        <v>13500</v>
      </c>
      <c r="AA276" s="1109">
        <f>13500*O276</f>
        <v>13500</v>
      </c>
      <c r="AB276" s="1109">
        <f>AA276-X276</f>
        <v>5386.6350000000002</v>
      </c>
      <c r="AC276" s="1112">
        <f>6700*O276</f>
        <v>6700</v>
      </c>
      <c r="AD276" s="1112"/>
      <c r="AE276" s="436">
        <f t="shared" si="111"/>
        <v>5427</v>
      </c>
      <c r="AF276" s="436">
        <f t="shared" si="112"/>
        <v>0</v>
      </c>
      <c r="AG276" s="436">
        <f t="shared" si="113"/>
        <v>6241.05</v>
      </c>
      <c r="AH276" s="436">
        <f t="shared" si="114"/>
        <v>0</v>
      </c>
      <c r="AI276" s="436">
        <f t="shared" si="121"/>
        <v>814.05000000000018</v>
      </c>
      <c r="AJ276" s="436">
        <f t="shared" si="121"/>
        <v>0</v>
      </c>
      <c r="AK276" s="437">
        <f t="shared" si="115"/>
        <v>1872.3150000000001</v>
      </c>
      <c r="AL276" s="437">
        <f t="shared" si="116"/>
        <v>0</v>
      </c>
      <c r="AM276" s="437">
        <f t="shared" si="117"/>
        <v>0</v>
      </c>
      <c r="AN276" s="437">
        <f t="shared" si="118"/>
        <v>0</v>
      </c>
      <c r="AO276" s="437">
        <f t="shared" si="119"/>
        <v>0</v>
      </c>
      <c r="AP276" s="437">
        <f t="shared" si="110"/>
        <v>6241.05</v>
      </c>
      <c r="AQ276" s="437">
        <f t="shared" si="110"/>
        <v>0</v>
      </c>
      <c r="AR276" s="436"/>
      <c r="AS276" s="437">
        <f t="shared" si="120"/>
        <v>6241.05</v>
      </c>
    </row>
    <row r="277" spans="1:46" s="438" customFormat="1" ht="24.95" customHeight="1">
      <c r="A277" s="1134"/>
      <c r="B277" s="1134"/>
      <c r="C277" s="1139"/>
      <c r="D277" s="1134"/>
      <c r="E277" s="1134"/>
      <c r="F277" s="1134"/>
      <c r="G277" s="1112"/>
      <c r="H277" s="1112"/>
      <c r="I277" s="1112"/>
      <c r="J277" s="1112"/>
      <c r="K277" s="1112"/>
      <c r="L277" s="439">
        <f>G276*L276</f>
        <v>814.05</v>
      </c>
      <c r="M277" s="1112"/>
      <c r="N277" s="1112"/>
      <c r="O277" s="1112"/>
      <c r="P277" s="1112"/>
      <c r="Q277" s="1112"/>
      <c r="R277" s="1112"/>
      <c r="S277" s="1112"/>
      <c r="T277" s="1134"/>
      <c r="U277" s="1138"/>
      <c r="V277" s="1112"/>
      <c r="W277" s="1112"/>
      <c r="X277" s="1112"/>
      <c r="Y277" s="1112"/>
      <c r="Z277" s="1112"/>
      <c r="AA277" s="1109"/>
      <c r="AB277" s="1109"/>
      <c r="AC277" s="1112"/>
      <c r="AD277" s="1112"/>
      <c r="AE277" s="436">
        <f t="shared" si="111"/>
        <v>0</v>
      </c>
      <c r="AF277" s="436">
        <f t="shared" si="112"/>
        <v>0</v>
      </c>
      <c r="AG277" s="436">
        <f t="shared" si="113"/>
        <v>0</v>
      </c>
      <c r="AH277" s="436">
        <f t="shared" si="114"/>
        <v>0</v>
      </c>
      <c r="AI277" s="436">
        <f t="shared" si="121"/>
        <v>0</v>
      </c>
      <c r="AJ277" s="436">
        <f t="shared" si="121"/>
        <v>0</v>
      </c>
      <c r="AK277" s="437">
        <f t="shared" si="115"/>
        <v>0</v>
      </c>
      <c r="AL277" s="437">
        <f t="shared" si="116"/>
        <v>0</v>
      </c>
      <c r="AM277" s="437">
        <f t="shared" si="117"/>
        <v>0</v>
      </c>
      <c r="AN277" s="437">
        <f t="shared" si="118"/>
        <v>0</v>
      </c>
      <c r="AO277" s="437">
        <f t="shared" si="119"/>
        <v>0</v>
      </c>
      <c r="AP277" s="437">
        <f t="shared" si="110"/>
        <v>0</v>
      </c>
      <c r="AQ277" s="437">
        <f t="shared" si="110"/>
        <v>0</v>
      </c>
      <c r="AR277" s="436"/>
      <c r="AS277" s="437">
        <f t="shared" si="120"/>
        <v>0</v>
      </c>
    </row>
    <row r="278" spans="1:46" s="438" customFormat="1" ht="24.95" customHeight="1">
      <c r="A278" s="1134"/>
      <c r="B278" s="1134"/>
      <c r="C278" s="1139" t="s">
        <v>612</v>
      </c>
      <c r="D278" s="1134" t="s">
        <v>681</v>
      </c>
      <c r="E278" s="1134" t="s">
        <v>682</v>
      </c>
      <c r="F278" s="1134">
        <v>10</v>
      </c>
      <c r="G278" s="1112">
        <v>5427</v>
      </c>
      <c r="H278" s="1112"/>
      <c r="I278" s="1112"/>
      <c r="J278" s="1112"/>
      <c r="K278" s="1112"/>
      <c r="L278" s="435">
        <v>0.15</v>
      </c>
      <c r="M278" s="1140"/>
      <c r="N278" s="1112">
        <f>G278+H279+L279</f>
        <v>6241.05</v>
      </c>
      <c r="O278" s="1112">
        <v>1</v>
      </c>
      <c r="P278" s="1112"/>
      <c r="Q278" s="1140"/>
      <c r="R278" s="1140"/>
      <c r="S278" s="1140"/>
      <c r="T278" s="1134">
        <v>33</v>
      </c>
      <c r="U278" s="1138">
        <v>0.3</v>
      </c>
      <c r="V278" s="1112">
        <f>N278*U278</f>
        <v>1872.3150000000001</v>
      </c>
      <c r="W278" s="1112"/>
      <c r="X278" s="1112">
        <f>(N278+V278)*O278+W278</f>
        <v>8113.3649999999998</v>
      </c>
      <c r="Y278" s="1112">
        <f>AB278</f>
        <v>5386.6350000000002</v>
      </c>
      <c r="Z278" s="1112">
        <f>X278+Y278</f>
        <v>13500</v>
      </c>
      <c r="AA278" s="1109">
        <f>13500*O278</f>
        <v>13500</v>
      </c>
      <c r="AB278" s="1109">
        <f>AA278-X278</f>
        <v>5386.6350000000002</v>
      </c>
      <c r="AC278" s="1112">
        <f>6700*O278</f>
        <v>6700</v>
      </c>
      <c r="AD278" s="1112"/>
      <c r="AE278" s="436">
        <f t="shared" si="111"/>
        <v>5427</v>
      </c>
      <c r="AF278" s="436">
        <f t="shared" si="112"/>
        <v>0</v>
      </c>
      <c r="AG278" s="436">
        <f t="shared" si="113"/>
        <v>6241.05</v>
      </c>
      <c r="AH278" s="436">
        <f t="shared" si="114"/>
        <v>0</v>
      </c>
      <c r="AI278" s="436">
        <f t="shared" si="121"/>
        <v>814.05000000000018</v>
      </c>
      <c r="AJ278" s="436">
        <f t="shared" si="121"/>
        <v>0</v>
      </c>
      <c r="AK278" s="437">
        <f t="shared" si="115"/>
        <v>1872.3150000000001</v>
      </c>
      <c r="AL278" s="437">
        <f t="shared" si="116"/>
        <v>0</v>
      </c>
      <c r="AM278" s="437">
        <f t="shared" si="117"/>
        <v>0</v>
      </c>
      <c r="AN278" s="437">
        <f t="shared" si="118"/>
        <v>0</v>
      </c>
      <c r="AO278" s="437">
        <f t="shared" si="119"/>
        <v>0</v>
      </c>
      <c r="AP278" s="437">
        <f t="shared" si="110"/>
        <v>6241.05</v>
      </c>
      <c r="AQ278" s="437">
        <f t="shared" si="110"/>
        <v>0</v>
      </c>
      <c r="AR278" s="436"/>
      <c r="AS278" s="437">
        <f t="shared" si="120"/>
        <v>6241.05</v>
      </c>
    </row>
    <row r="279" spans="1:46" s="438" customFormat="1" ht="24.95" customHeight="1">
      <c r="A279" s="1134"/>
      <c r="B279" s="1134"/>
      <c r="C279" s="1139"/>
      <c r="D279" s="1134"/>
      <c r="E279" s="1134"/>
      <c r="F279" s="1134"/>
      <c r="G279" s="1112"/>
      <c r="H279" s="1112"/>
      <c r="I279" s="1112"/>
      <c r="J279" s="1112"/>
      <c r="K279" s="1112"/>
      <c r="L279" s="439">
        <f>G278*L278</f>
        <v>814.05</v>
      </c>
      <c r="M279" s="1140"/>
      <c r="N279" s="1112"/>
      <c r="O279" s="1112"/>
      <c r="P279" s="1112"/>
      <c r="Q279" s="1140"/>
      <c r="R279" s="1140"/>
      <c r="S279" s="1140"/>
      <c r="T279" s="1134"/>
      <c r="U279" s="1138"/>
      <c r="V279" s="1112"/>
      <c r="W279" s="1112"/>
      <c r="X279" s="1112"/>
      <c r="Y279" s="1112"/>
      <c r="Z279" s="1112"/>
      <c r="AA279" s="1109"/>
      <c r="AB279" s="1109"/>
      <c r="AC279" s="1112"/>
      <c r="AD279" s="1112"/>
      <c r="AE279" s="436">
        <f t="shared" si="111"/>
        <v>0</v>
      </c>
      <c r="AF279" s="436">
        <f t="shared" si="112"/>
        <v>0</v>
      </c>
      <c r="AG279" s="436">
        <f t="shared" si="113"/>
        <v>0</v>
      </c>
      <c r="AH279" s="436">
        <f t="shared" si="114"/>
        <v>0</v>
      </c>
      <c r="AI279" s="436">
        <f t="shared" si="121"/>
        <v>0</v>
      </c>
      <c r="AJ279" s="436">
        <f t="shared" si="121"/>
        <v>0</v>
      </c>
      <c r="AK279" s="437">
        <f t="shared" si="115"/>
        <v>0</v>
      </c>
      <c r="AL279" s="437">
        <f t="shared" si="116"/>
        <v>0</v>
      </c>
      <c r="AM279" s="437">
        <f t="shared" si="117"/>
        <v>0</v>
      </c>
      <c r="AN279" s="437">
        <f t="shared" si="118"/>
        <v>0</v>
      </c>
      <c r="AO279" s="437">
        <f t="shared" si="119"/>
        <v>0</v>
      </c>
      <c r="AP279" s="437">
        <f t="shared" si="110"/>
        <v>0</v>
      </c>
      <c r="AQ279" s="437">
        <f t="shared" si="110"/>
        <v>0</v>
      </c>
      <c r="AR279" s="436"/>
      <c r="AS279" s="437">
        <f t="shared" si="120"/>
        <v>0</v>
      </c>
    </row>
    <row r="280" spans="1:46" s="446" customFormat="1" ht="24.95" customHeight="1">
      <c r="A280" s="441"/>
      <c r="B280" s="441"/>
      <c r="C280" s="442" t="s">
        <v>318</v>
      </c>
      <c r="D280" s="443"/>
      <c r="E280" s="441"/>
      <c r="F280" s="441"/>
      <c r="G280" s="444">
        <f>SUM(G250:G279)</f>
        <v>76548</v>
      </c>
      <c r="H280" s="444">
        <f>H251</f>
        <v>515.9</v>
      </c>
      <c r="I280" s="444"/>
      <c r="J280" s="444"/>
      <c r="K280" s="444"/>
      <c r="L280" s="444">
        <f>L251+L253+L255+L257+L259+L261+L263+L265+L267+L269+L271+L279</f>
        <v>9197.8350000000009</v>
      </c>
      <c r="M280" s="444">
        <f>SUM(M250:M279)</f>
        <v>0</v>
      </c>
      <c r="N280" s="444">
        <f>SUM(N250:N279)</f>
        <v>88623.485000000001</v>
      </c>
      <c r="O280" s="444">
        <f>SUM(O250:O279)</f>
        <v>15</v>
      </c>
      <c r="P280" s="444">
        <f>SUM(P250:P279)</f>
        <v>0</v>
      </c>
      <c r="Q280" s="444"/>
      <c r="R280" s="444"/>
      <c r="S280" s="444"/>
      <c r="T280" s="444"/>
      <c r="U280" s="444"/>
      <c r="V280" s="444">
        <f t="shared" ref="V280:AO280" si="122">SUM(V250:V279)</f>
        <v>24371.800499999998</v>
      </c>
      <c r="W280" s="444">
        <f t="shared" si="122"/>
        <v>732.87999999999954</v>
      </c>
      <c r="X280" s="444">
        <f t="shared" si="122"/>
        <v>113728.16550000002</v>
      </c>
      <c r="Y280" s="444">
        <f>SUM(Y250:Y279)</f>
        <v>88771.834499999983</v>
      </c>
      <c r="Z280" s="444">
        <f>SUM(Z250:Z279)</f>
        <v>202500</v>
      </c>
      <c r="AA280" s="499">
        <f>SUM(AA250:AA279)</f>
        <v>202500</v>
      </c>
      <c r="AB280" s="499">
        <f>SUM(AB250:AB279)</f>
        <v>88771.834499999983</v>
      </c>
      <c r="AC280" s="444">
        <f t="shared" si="122"/>
        <v>100500</v>
      </c>
      <c r="AD280" s="444">
        <f t="shared" si="122"/>
        <v>732.87999999999954</v>
      </c>
      <c r="AE280" s="444">
        <f t="shared" si="122"/>
        <v>76548</v>
      </c>
      <c r="AF280" s="444">
        <f t="shared" si="122"/>
        <v>0</v>
      </c>
      <c r="AG280" s="444">
        <f t="shared" si="122"/>
        <v>88623.485000000001</v>
      </c>
      <c r="AH280" s="444">
        <f t="shared" si="122"/>
        <v>0</v>
      </c>
      <c r="AI280" s="444">
        <f t="shared" si="122"/>
        <v>12075.485000000001</v>
      </c>
      <c r="AJ280" s="444">
        <f t="shared" si="122"/>
        <v>0</v>
      </c>
      <c r="AK280" s="444">
        <f t="shared" si="122"/>
        <v>24371.800499999998</v>
      </c>
      <c r="AL280" s="444">
        <f t="shared" si="122"/>
        <v>0</v>
      </c>
      <c r="AM280" s="444">
        <f t="shared" si="122"/>
        <v>732.87999999999954</v>
      </c>
      <c r="AN280" s="444">
        <f t="shared" si="122"/>
        <v>0</v>
      </c>
      <c r="AO280" s="444">
        <f t="shared" si="122"/>
        <v>0</v>
      </c>
      <c r="AP280" s="444"/>
      <c r="AQ280" s="444"/>
      <c r="AR280" s="444"/>
      <c r="AS280" s="444"/>
      <c r="AT280" s="457"/>
    </row>
    <row r="281" spans="1:46" s="456" customFormat="1" ht="24.95" customHeight="1">
      <c r="A281" s="455"/>
      <c r="B281" s="455"/>
      <c r="C281" s="1136" t="s">
        <v>1028</v>
      </c>
      <c r="D281" s="1136"/>
      <c r="E281" s="455"/>
      <c r="F281" s="455"/>
      <c r="G281" s="455"/>
      <c r="H281" s="455"/>
      <c r="I281" s="455"/>
      <c r="J281" s="455"/>
      <c r="K281" s="455"/>
      <c r="L281" s="455"/>
      <c r="M281" s="455"/>
      <c r="N281" s="455"/>
      <c r="O281" s="455"/>
      <c r="P281" s="455"/>
      <c r="Q281" s="455"/>
      <c r="R281" s="455"/>
      <c r="S281" s="455"/>
      <c r="T281" s="455"/>
      <c r="U281" s="455"/>
      <c r="V281" s="455"/>
      <c r="W281" s="455"/>
      <c r="X281" s="455"/>
      <c r="Y281" s="455"/>
      <c r="Z281" s="455"/>
      <c r="AA281" s="504"/>
      <c r="AB281" s="504"/>
      <c r="AC281" s="455"/>
      <c r="AD281" s="455"/>
      <c r="AE281" s="436">
        <f t="shared" si="96"/>
        <v>0</v>
      </c>
      <c r="AF281" s="436">
        <f t="shared" si="97"/>
        <v>0</v>
      </c>
      <c r="AG281" s="436">
        <f t="shared" si="98"/>
        <v>0</v>
      </c>
      <c r="AH281" s="436">
        <f t="shared" si="99"/>
        <v>0</v>
      </c>
      <c r="AI281" s="436">
        <f>AG281-AE281</f>
        <v>0</v>
      </c>
      <c r="AJ281" s="436">
        <f t="shared" si="107"/>
        <v>0</v>
      </c>
      <c r="AK281" s="437">
        <f t="shared" si="101"/>
        <v>0</v>
      </c>
      <c r="AL281" s="437">
        <f t="shared" si="102"/>
        <v>0</v>
      </c>
      <c r="AM281" s="437">
        <f t="shared" si="103"/>
        <v>0</v>
      </c>
      <c r="AN281" s="437">
        <f t="shared" si="104"/>
        <v>0</v>
      </c>
      <c r="AO281" s="437">
        <f t="shared" si="105"/>
        <v>0</v>
      </c>
      <c r="AP281" s="437">
        <f t="shared" ref="AP281:AQ300" si="123">AG281</f>
        <v>0</v>
      </c>
      <c r="AQ281" s="437">
        <f t="shared" si="123"/>
        <v>0</v>
      </c>
      <c r="AR281" s="436"/>
      <c r="AS281" s="437">
        <f t="shared" si="94"/>
        <v>0</v>
      </c>
      <c r="AT281" s="457"/>
    </row>
    <row r="282" spans="1:46" s="438" customFormat="1" ht="24.95" customHeight="1">
      <c r="A282" s="1134"/>
      <c r="B282" s="1134"/>
      <c r="C282" s="1139" t="s">
        <v>590</v>
      </c>
      <c r="D282" s="1134" t="s">
        <v>1053</v>
      </c>
      <c r="E282" s="1134" t="s">
        <v>634</v>
      </c>
      <c r="F282" s="1134">
        <v>8</v>
      </c>
      <c r="G282" s="1112">
        <v>4890</v>
      </c>
      <c r="H282" s="435">
        <v>0.1</v>
      </c>
      <c r="I282" s="1140"/>
      <c r="J282" s="1140"/>
      <c r="K282" s="1140"/>
      <c r="L282" s="1140"/>
      <c r="M282" s="1140"/>
      <c r="N282" s="1112">
        <f>G282+H283+K283</f>
        <v>5379</v>
      </c>
      <c r="O282" s="1112">
        <v>1</v>
      </c>
      <c r="P282" s="1140"/>
      <c r="Q282" s="1140"/>
      <c r="R282" s="1140"/>
      <c r="S282" s="1140"/>
      <c r="T282" s="1134">
        <v>18</v>
      </c>
      <c r="U282" s="1138">
        <v>0.2</v>
      </c>
      <c r="V282" s="1112">
        <f>N282*U282</f>
        <v>1075.8</v>
      </c>
      <c r="W282" s="1112">
        <f>AD282</f>
        <v>245.20000000000005</v>
      </c>
      <c r="X282" s="1112">
        <f>(N282+V282)*O282+W282</f>
        <v>6700</v>
      </c>
      <c r="Y282" s="1112">
        <f>AB282</f>
        <v>6800</v>
      </c>
      <c r="Z282" s="1112">
        <f>X282+Y282</f>
        <v>13500</v>
      </c>
      <c r="AA282" s="1109">
        <f>13500*O282</f>
        <v>13500</v>
      </c>
      <c r="AB282" s="1109">
        <f>AA282-X282</f>
        <v>6800</v>
      </c>
      <c r="AC282" s="1112">
        <f>6700*O282</f>
        <v>6700</v>
      </c>
      <c r="AD282" s="1112">
        <f>AC282-(N282*O282)-V282</f>
        <v>245.20000000000005</v>
      </c>
      <c r="AE282" s="436">
        <f t="shared" si="96"/>
        <v>4890</v>
      </c>
      <c r="AF282" s="436">
        <f t="shared" si="97"/>
        <v>0</v>
      </c>
      <c r="AG282" s="436">
        <f t="shared" si="98"/>
        <v>5379</v>
      </c>
      <c r="AH282" s="436">
        <f t="shared" si="99"/>
        <v>0</v>
      </c>
      <c r="AI282" s="436">
        <f>AG282-AE282</f>
        <v>489</v>
      </c>
      <c r="AJ282" s="436">
        <f t="shared" si="107"/>
        <v>0</v>
      </c>
      <c r="AK282" s="437">
        <f t="shared" si="101"/>
        <v>1075.8</v>
      </c>
      <c r="AL282" s="437">
        <f t="shared" si="102"/>
        <v>0</v>
      </c>
      <c r="AM282" s="437">
        <f t="shared" si="103"/>
        <v>245.20000000000005</v>
      </c>
      <c r="AN282" s="437">
        <f t="shared" si="104"/>
        <v>0</v>
      </c>
      <c r="AO282" s="437">
        <f t="shared" si="105"/>
        <v>0</v>
      </c>
      <c r="AP282" s="437">
        <f t="shared" si="123"/>
        <v>5379</v>
      </c>
      <c r="AQ282" s="437">
        <f t="shared" si="123"/>
        <v>0</v>
      </c>
      <c r="AR282" s="436"/>
      <c r="AS282" s="437">
        <f t="shared" si="94"/>
        <v>5379</v>
      </c>
    </row>
    <row r="283" spans="1:46" s="438" customFormat="1" ht="24.95" customHeight="1">
      <c r="A283" s="1134"/>
      <c r="B283" s="1134"/>
      <c r="C283" s="1139"/>
      <c r="D283" s="1134"/>
      <c r="E283" s="1134"/>
      <c r="F283" s="1134"/>
      <c r="G283" s="1112"/>
      <c r="H283" s="449">
        <f>G282*H282</f>
        <v>489</v>
      </c>
      <c r="I283" s="1140"/>
      <c r="J283" s="1140"/>
      <c r="K283" s="1140"/>
      <c r="L283" s="1140"/>
      <c r="M283" s="1140"/>
      <c r="N283" s="1112"/>
      <c r="O283" s="1112"/>
      <c r="P283" s="1140"/>
      <c r="Q283" s="1140"/>
      <c r="R283" s="1140"/>
      <c r="S283" s="1140"/>
      <c r="T283" s="1134"/>
      <c r="U283" s="1138"/>
      <c r="V283" s="1112"/>
      <c r="W283" s="1112"/>
      <c r="X283" s="1112"/>
      <c r="Y283" s="1112"/>
      <c r="Z283" s="1112"/>
      <c r="AA283" s="1109"/>
      <c r="AB283" s="1109"/>
      <c r="AC283" s="1112"/>
      <c r="AD283" s="1112"/>
      <c r="AE283" s="436">
        <f t="shared" si="96"/>
        <v>0</v>
      </c>
      <c r="AF283" s="436">
        <f t="shared" si="97"/>
        <v>0</v>
      </c>
      <c r="AG283" s="436">
        <f t="shared" si="98"/>
        <v>0</v>
      </c>
      <c r="AH283" s="436">
        <f t="shared" si="99"/>
        <v>0</v>
      </c>
      <c r="AI283" s="436">
        <f>AG283-AE283</f>
        <v>0</v>
      </c>
      <c r="AJ283" s="436">
        <f t="shared" si="107"/>
        <v>0</v>
      </c>
      <c r="AK283" s="437">
        <f t="shared" si="101"/>
        <v>0</v>
      </c>
      <c r="AL283" s="437">
        <f t="shared" si="102"/>
        <v>0</v>
      </c>
      <c r="AM283" s="437">
        <f t="shared" si="103"/>
        <v>0</v>
      </c>
      <c r="AN283" s="437">
        <f t="shared" si="104"/>
        <v>0</v>
      </c>
      <c r="AO283" s="437">
        <f t="shared" si="105"/>
        <v>0</v>
      </c>
      <c r="AP283" s="437">
        <f t="shared" si="123"/>
        <v>0</v>
      </c>
      <c r="AQ283" s="437">
        <f t="shared" si="123"/>
        <v>0</v>
      </c>
      <c r="AR283" s="436"/>
      <c r="AS283" s="437">
        <f t="shared" si="94"/>
        <v>0</v>
      </c>
    </row>
    <row r="284" spans="1:46" s="438" customFormat="1" ht="24.95" customHeight="1">
      <c r="A284" s="1134"/>
      <c r="B284" s="1134"/>
      <c r="C284" s="1139" t="s">
        <v>615</v>
      </c>
      <c r="D284" s="1134" t="s">
        <v>635</v>
      </c>
      <c r="E284" s="1134" t="s">
        <v>636</v>
      </c>
      <c r="F284" s="1134">
        <v>9</v>
      </c>
      <c r="G284" s="1112">
        <v>5159</v>
      </c>
      <c r="H284" s="1112"/>
      <c r="I284" s="1112"/>
      <c r="J284" s="1112"/>
      <c r="K284" s="1112"/>
      <c r="L284" s="1112"/>
      <c r="M284" s="1140"/>
      <c r="N284" s="1112">
        <f>G284+H285+K285+L285</f>
        <v>5159</v>
      </c>
      <c r="O284" s="1112">
        <v>1</v>
      </c>
      <c r="P284" s="1112"/>
      <c r="Q284" s="1140"/>
      <c r="R284" s="1140"/>
      <c r="S284" s="1140"/>
      <c r="T284" s="1134">
        <v>29</v>
      </c>
      <c r="U284" s="1138">
        <v>0.3</v>
      </c>
      <c r="V284" s="1112">
        <f>N284*U284</f>
        <v>1547.7</v>
      </c>
      <c r="W284" s="1112"/>
      <c r="X284" s="1112">
        <f>(N284+V284)*O284+W284</f>
        <v>6706.7</v>
      </c>
      <c r="Y284" s="1112">
        <f>AB284</f>
        <v>6793.3</v>
      </c>
      <c r="Z284" s="1112">
        <f>X284+Y284</f>
        <v>13500</v>
      </c>
      <c r="AA284" s="1109">
        <f>13500*O284</f>
        <v>13500</v>
      </c>
      <c r="AB284" s="1109">
        <f>AA284-X284</f>
        <v>6793.3</v>
      </c>
      <c r="AC284" s="1112">
        <f>6700*O284</f>
        <v>6700</v>
      </c>
      <c r="AD284" s="1112"/>
      <c r="AE284" s="436">
        <f t="shared" si="96"/>
        <v>5159</v>
      </c>
      <c r="AF284" s="436">
        <f t="shared" si="97"/>
        <v>0</v>
      </c>
      <c r="AG284" s="436">
        <f t="shared" si="98"/>
        <v>5159</v>
      </c>
      <c r="AH284" s="436">
        <f t="shared" si="99"/>
        <v>0</v>
      </c>
      <c r="AI284" s="436">
        <f>AG284-AE284</f>
        <v>0</v>
      </c>
      <c r="AJ284" s="436">
        <f t="shared" si="107"/>
        <v>0</v>
      </c>
      <c r="AK284" s="437">
        <f t="shared" si="101"/>
        <v>1547.7</v>
      </c>
      <c r="AL284" s="437">
        <f t="shared" si="102"/>
        <v>0</v>
      </c>
      <c r="AM284" s="437">
        <f t="shared" si="103"/>
        <v>0</v>
      </c>
      <c r="AN284" s="437">
        <f t="shared" si="104"/>
        <v>0</v>
      </c>
      <c r="AO284" s="437">
        <f t="shared" si="105"/>
        <v>0</v>
      </c>
      <c r="AP284" s="437">
        <f t="shared" si="123"/>
        <v>5159</v>
      </c>
      <c r="AQ284" s="437">
        <f t="shared" si="123"/>
        <v>0</v>
      </c>
      <c r="AR284" s="436"/>
      <c r="AS284" s="437">
        <f t="shared" si="94"/>
        <v>5159</v>
      </c>
    </row>
    <row r="285" spans="1:46" s="438" customFormat="1" ht="24.95" customHeight="1">
      <c r="A285" s="1134"/>
      <c r="B285" s="1134"/>
      <c r="C285" s="1139"/>
      <c r="D285" s="1134"/>
      <c r="E285" s="1134"/>
      <c r="F285" s="1134"/>
      <c r="G285" s="1112"/>
      <c r="H285" s="1112"/>
      <c r="I285" s="1112"/>
      <c r="J285" s="1112"/>
      <c r="K285" s="1112"/>
      <c r="L285" s="1112"/>
      <c r="M285" s="1140"/>
      <c r="N285" s="1112"/>
      <c r="O285" s="1112"/>
      <c r="P285" s="1112"/>
      <c r="Q285" s="1140"/>
      <c r="R285" s="1140"/>
      <c r="S285" s="1140"/>
      <c r="T285" s="1134"/>
      <c r="U285" s="1138"/>
      <c r="V285" s="1112"/>
      <c r="W285" s="1112"/>
      <c r="X285" s="1112"/>
      <c r="Y285" s="1112"/>
      <c r="Z285" s="1112"/>
      <c r="AA285" s="1109"/>
      <c r="AB285" s="1109"/>
      <c r="AC285" s="1112"/>
      <c r="AD285" s="1112"/>
      <c r="AE285" s="436">
        <f t="shared" si="96"/>
        <v>0</v>
      </c>
      <c r="AF285" s="436">
        <f t="shared" si="97"/>
        <v>0</v>
      </c>
      <c r="AG285" s="436">
        <f t="shared" si="98"/>
        <v>0</v>
      </c>
      <c r="AH285" s="436">
        <f t="shared" si="99"/>
        <v>0</v>
      </c>
      <c r="AI285" s="436">
        <f>AG285-AE285</f>
        <v>0</v>
      </c>
      <c r="AJ285" s="436">
        <f t="shared" si="107"/>
        <v>0</v>
      </c>
      <c r="AK285" s="437">
        <f t="shared" si="101"/>
        <v>0</v>
      </c>
      <c r="AL285" s="437">
        <f t="shared" si="102"/>
        <v>0</v>
      </c>
      <c r="AM285" s="437">
        <f t="shared" si="103"/>
        <v>0</v>
      </c>
      <c r="AN285" s="437">
        <f t="shared" si="104"/>
        <v>0</v>
      </c>
      <c r="AO285" s="437">
        <f t="shared" si="105"/>
        <v>0</v>
      </c>
      <c r="AP285" s="437">
        <f t="shared" si="123"/>
        <v>0</v>
      </c>
      <c r="AQ285" s="437">
        <f t="shared" si="123"/>
        <v>0</v>
      </c>
      <c r="AR285" s="436"/>
      <c r="AS285" s="437">
        <f t="shared" si="94"/>
        <v>0</v>
      </c>
    </row>
    <row r="286" spans="1:46" s="438" customFormat="1" ht="24.95" customHeight="1">
      <c r="A286" s="1134"/>
      <c r="B286" s="1134"/>
      <c r="C286" s="1139" t="s">
        <v>564</v>
      </c>
      <c r="D286" s="1134" t="s">
        <v>641</v>
      </c>
      <c r="E286" s="1134" t="s">
        <v>642</v>
      </c>
      <c r="F286" s="1134">
        <v>8</v>
      </c>
      <c r="G286" s="1112">
        <v>4890</v>
      </c>
      <c r="H286" s="1112"/>
      <c r="I286" s="1112"/>
      <c r="J286" s="1112"/>
      <c r="K286" s="1112"/>
      <c r="L286" s="1112"/>
      <c r="M286" s="1112"/>
      <c r="N286" s="1112">
        <f>G286+H287</f>
        <v>4890</v>
      </c>
      <c r="O286" s="1112">
        <v>1</v>
      </c>
      <c r="P286" s="1112"/>
      <c r="Q286" s="1112"/>
      <c r="R286" s="1112"/>
      <c r="S286" s="1112"/>
      <c r="T286" s="1134">
        <v>12</v>
      </c>
      <c r="U286" s="1138">
        <v>0.2</v>
      </c>
      <c r="V286" s="1112">
        <f>N286*U286</f>
        <v>978</v>
      </c>
      <c r="W286" s="1112">
        <f>AD286</f>
        <v>832</v>
      </c>
      <c r="X286" s="1112">
        <f>(N286+V286)*O286+W286</f>
        <v>6700</v>
      </c>
      <c r="Y286" s="1112">
        <f>AB286</f>
        <v>6800</v>
      </c>
      <c r="Z286" s="1112">
        <f>X286+Y286</f>
        <v>13500</v>
      </c>
      <c r="AA286" s="1109">
        <f>13500*O286</f>
        <v>13500</v>
      </c>
      <c r="AB286" s="1109">
        <f>AA286-X286</f>
        <v>6800</v>
      </c>
      <c r="AC286" s="1112">
        <f>6700*O286</f>
        <v>6700</v>
      </c>
      <c r="AD286" s="1112">
        <f>AC286-(N286*O286)-V286</f>
        <v>832</v>
      </c>
      <c r="AE286" s="436">
        <f t="shared" si="96"/>
        <v>4890</v>
      </c>
      <c r="AF286" s="436">
        <f t="shared" si="97"/>
        <v>0</v>
      </c>
      <c r="AG286" s="436">
        <f t="shared" si="98"/>
        <v>4890</v>
      </c>
      <c r="AH286" s="436">
        <f t="shared" si="99"/>
        <v>0</v>
      </c>
      <c r="AI286" s="436">
        <f t="shared" ref="AI286:AI295" si="124">AG286-AE286</f>
        <v>0</v>
      </c>
      <c r="AJ286" s="436">
        <f t="shared" si="107"/>
        <v>0</v>
      </c>
      <c r="AK286" s="437">
        <f t="shared" si="101"/>
        <v>978</v>
      </c>
      <c r="AL286" s="437">
        <f t="shared" si="102"/>
        <v>0</v>
      </c>
      <c r="AM286" s="437">
        <f t="shared" si="103"/>
        <v>832</v>
      </c>
      <c r="AN286" s="437">
        <f t="shared" si="104"/>
        <v>0</v>
      </c>
      <c r="AO286" s="437">
        <f t="shared" si="105"/>
        <v>0</v>
      </c>
      <c r="AP286" s="437">
        <f t="shared" si="123"/>
        <v>4890</v>
      </c>
      <c r="AQ286" s="437">
        <f t="shared" si="123"/>
        <v>0</v>
      </c>
      <c r="AR286" s="436"/>
      <c r="AS286" s="437">
        <f t="shared" ref="AS286:AS357" si="125">AP286+AQ286-AR286</f>
        <v>4890</v>
      </c>
    </row>
    <row r="287" spans="1:46" s="438" customFormat="1" ht="24.95" customHeight="1">
      <c r="A287" s="1134"/>
      <c r="B287" s="1134"/>
      <c r="C287" s="1139"/>
      <c r="D287" s="1134"/>
      <c r="E287" s="1134"/>
      <c r="F287" s="1134"/>
      <c r="G287" s="1112"/>
      <c r="H287" s="1112"/>
      <c r="I287" s="1112"/>
      <c r="J287" s="1112"/>
      <c r="K287" s="1112"/>
      <c r="L287" s="1112"/>
      <c r="M287" s="1112"/>
      <c r="N287" s="1112"/>
      <c r="O287" s="1112"/>
      <c r="P287" s="1112"/>
      <c r="Q287" s="1112"/>
      <c r="R287" s="1112"/>
      <c r="S287" s="1112"/>
      <c r="T287" s="1134"/>
      <c r="U287" s="1138"/>
      <c r="V287" s="1112"/>
      <c r="W287" s="1112"/>
      <c r="X287" s="1112"/>
      <c r="Y287" s="1112"/>
      <c r="Z287" s="1112"/>
      <c r="AA287" s="1109"/>
      <c r="AB287" s="1109"/>
      <c r="AC287" s="1112"/>
      <c r="AD287" s="1112"/>
      <c r="AE287" s="436">
        <f t="shared" si="96"/>
        <v>0</v>
      </c>
      <c r="AF287" s="436">
        <f t="shared" si="97"/>
        <v>0</v>
      </c>
      <c r="AG287" s="436">
        <f t="shared" si="98"/>
        <v>0</v>
      </c>
      <c r="AH287" s="436">
        <f t="shared" si="99"/>
        <v>0</v>
      </c>
      <c r="AI287" s="436">
        <f t="shared" si="124"/>
        <v>0</v>
      </c>
      <c r="AJ287" s="436">
        <f t="shared" si="107"/>
        <v>0</v>
      </c>
      <c r="AK287" s="437">
        <f t="shared" si="101"/>
        <v>0</v>
      </c>
      <c r="AL287" s="437">
        <f t="shared" si="102"/>
        <v>0</v>
      </c>
      <c r="AM287" s="437">
        <f t="shared" si="103"/>
        <v>0</v>
      </c>
      <c r="AN287" s="437">
        <f t="shared" si="104"/>
        <v>0</v>
      </c>
      <c r="AO287" s="437">
        <f t="shared" si="105"/>
        <v>0</v>
      </c>
      <c r="AP287" s="437">
        <f t="shared" si="123"/>
        <v>0</v>
      </c>
      <c r="AQ287" s="437">
        <f t="shared" si="123"/>
        <v>0</v>
      </c>
      <c r="AR287" s="436"/>
      <c r="AS287" s="437">
        <f t="shared" si="125"/>
        <v>0</v>
      </c>
    </row>
    <row r="288" spans="1:46" s="438" customFormat="1" ht="24.95" customHeight="1">
      <c r="A288" s="1134"/>
      <c r="B288" s="1134"/>
      <c r="C288" s="1139" t="s">
        <v>564</v>
      </c>
      <c r="D288" s="1134" t="s">
        <v>643</v>
      </c>
      <c r="E288" s="1134" t="s">
        <v>644</v>
      </c>
      <c r="F288" s="1134">
        <v>9</v>
      </c>
      <c r="G288" s="1112">
        <v>5159</v>
      </c>
      <c r="H288" s="1112"/>
      <c r="I288" s="1112"/>
      <c r="J288" s="1112"/>
      <c r="K288" s="1112"/>
      <c r="L288" s="1112"/>
      <c r="M288" s="1112"/>
      <c r="N288" s="1112">
        <f>G288+H289</f>
        <v>5159</v>
      </c>
      <c r="O288" s="1112">
        <v>1</v>
      </c>
      <c r="P288" s="1112"/>
      <c r="Q288" s="1112"/>
      <c r="R288" s="1112"/>
      <c r="S288" s="1112"/>
      <c r="T288" s="1134">
        <v>15</v>
      </c>
      <c r="U288" s="1138">
        <v>0.2</v>
      </c>
      <c r="V288" s="1112">
        <f>N288*U288</f>
        <v>1031.8</v>
      </c>
      <c r="W288" s="1112">
        <f>AD288</f>
        <v>509.20000000000005</v>
      </c>
      <c r="X288" s="1112">
        <f>(N288+V288)*O288+W288</f>
        <v>6700</v>
      </c>
      <c r="Y288" s="1112">
        <f>AB288</f>
        <v>6800</v>
      </c>
      <c r="Z288" s="1112">
        <f>X288+Y288</f>
        <v>13500</v>
      </c>
      <c r="AA288" s="1109">
        <f>13500*O288</f>
        <v>13500</v>
      </c>
      <c r="AB288" s="1109">
        <f>AA288-X288</f>
        <v>6800</v>
      </c>
      <c r="AC288" s="1112">
        <f>6700*O288</f>
        <v>6700</v>
      </c>
      <c r="AD288" s="1112">
        <f>AC288-(N288*O288)-V288</f>
        <v>509.20000000000005</v>
      </c>
      <c r="AE288" s="436">
        <f t="shared" si="96"/>
        <v>5159</v>
      </c>
      <c r="AF288" s="436">
        <f t="shared" si="97"/>
        <v>0</v>
      </c>
      <c r="AG288" s="436">
        <f t="shared" si="98"/>
        <v>5159</v>
      </c>
      <c r="AH288" s="436">
        <f t="shared" si="99"/>
        <v>0</v>
      </c>
      <c r="AI288" s="436">
        <f t="shared" si="124"/>
        <v>0</v>
      </c>
      <c r="AJ288" s="436">
        <f t="shared" si="107"/>
        <v>0</v>
      </c>
      <c r="AK288" s="437">
        <f t="shared" si="101"/>
        <v>1031.8</v>
      </c>
      <c r="AL288" s="437">
        <f t="shared" si="102"/>
        <v>0</v>
      </c>
      <c r="AM288" s="437">
        <f t="shared" si="103"/>
        <v>509.20000000000005</v>
      </c>
      <c r="AN288" s="437">
        <f t="shared" si="104"/>
        <v>0</v>
      </c>
      <c r="AO288" s="437">
        <f t="shared" si="105"/>
        <v>0</v>
      </c>
      <c r="AP288" s="437">
        <f t="shared" si="123"/>
        <v>5159</v>
      </c>
      <c r="AQ288" s="437">
        <f t="shared" si="123"/>
        <v>0</v>
      </c>
      <c r="AR288" s="436"/>
      <c r="AS288" s="437">
        <f t="shared" si="125"/>
        <v>5159</v>
      </c>
    </row>
    <row r="289" spans="1:46" s="438" customFormat="1" ht="24.95" customHeight="1">
      <c r="A289" s="1134"/>
      <c r="B289" s="1134"/>
      <c r="C289" s="1139"/>
      <c r="D289" s="1134"/>
      <c r="E289" s="1134"/>
      <c r="F289" s="1134"/>
      <c r="G289" s="1112"/>
      <c r="H289" s="1112"/>
      <c r="I289" s="1112"/>
      <c r="J289" s="1112"/>
      <c r="K289" s="1112"/>
      <c r="L289" s="1112"/>
      <c r="M289" s="1112"/>
      <c r="N289" s="1112"/>
      <c r="O289" s="1112"/>
      <c r="P289" s="1112"/>
      <c r="Q289" s="1112"/>
      <c r="R289" s="1112"/>
      <c r="S289" s="1112"/>
      <c r="T289" s="1134"/>
      <c r="U289" s="1138"/>
      <c r="V289" s="1112"/>
      <c r="W289" s="1112"/>
      <c r="X289" s="1112"/>
      <c r="Y289" s="1112"/>
      <c r="Z289" s="1112"/>
      <c r="AA289" s="1109"/>
      <c r="AB289" s="1109"/>
      <c r="AC289" s="1112"/>
      <c r="AD289" s="1112"/>
      <c r="AE289" s="436">
        <f t="shared" si="96"/>
        <v>0</v>
      </c>
      <c r="AF289" s="436">
        <f t="shared" si="97"/>
        <v>0</v>
      </c>
      <c r="AG289" s="436">
        <f t="shared" si="98"/>
        <v>0</v>
      </c>
      <c r="AH289" s="436">
        <f t="shared" si="99"/>
        <v>0</v>
      </c>
      <c r="AI289" s="436">
        <f t="shared" si="124"/>
        <v>0</v>
      </c>
      <c r="AJ289" s="436">
        <f t="shared" si="107"/>
        <v>0</v>
      </c>
      <c r="AK289" s="437">
        <f t="shared" si="101"/>
        <v>0</v>
      </c>
      <c r="AL289" s="437">
        <f t="shared" si="102"/>
        <v>0</v>
      </c>
      <c r="AM289" s="437">
        <f t="shared" si="103"/>
        <v>0</v>
      </c>
      <c r="AN289" s="437">
        <f t="shared" si="104"/>
        <v>0</v>
      </c>
      <c r="AO289" s="437">
        <f t="shared" si="105"/>
        <v>0</v>
      </c>
      <c r="AP289" s="437">
        <f t="shared" si="123"/>
        <v>0</v>
      </c>
      <c r="AQ289" s="437">
        <f t="shared" si="123"/>
        <v>0</v>
      </c>
      <c r="AR289" s="436"/>
      <c r="AS289" s="437">
        <f t="shared" si="125"/>
        <v>0</v>
      </c>
    </row>
    <row r="290" spans="1:46" s="438" customFormat="1" ht="24.95" customHeight="1">
      <c r="A290" s="1134"/>
      <c r="B290" s="1134"/>
      <c r="C290" s="1139" t="s">
        <v>564</v>
      </c>
      <c r="D290" s="1134" t="s">
        <v>1054</v>
      </c>
      <c r="E290" s="1134" t="s">
        <v>645</v>
      </c>
      <c r="F290" s="1134">
        <v>7</v>
      </c>
      <c r="G290" s="1112">
        <v>4592</v>
      </c>
      <c r="H290" s="1112"/>
      <c r="I290" s="1112"/>
      <c r="J290" s="1112"/>
      <c r="K290" s="1112"/>
      <c r="L290" s="1112"/>
      <c r="M290" s="1112"/>
      <c r="N290" s="1112">
        <f>G290+H291</f>
        <v>4592</v>
      </c>
      <c r="O290" s="1112">
        <v>1</v>
      </c>
      <c r="P290" s="1112"/>
      <c r="Q290" s="1112"/>
      <c r="R290" s="1112"/>
      <c r="S290" s="1112"/>
      <c r="T290" s="1134">
        <v>11</v>
      </c>
      <c r="U290" s="1138">
        <v>0.2</v>
      </c>
      <c r="V290" s="1112">
        <f>N290*U290</f>
        <v>918.40000000000009</v>
      </c>
      <c r="W290" s="1112">
        <f>AD290</f>
        <v>1189.5999999999999</v>
      </c>
      <c r="X290" s="1112">
        <f>(N290+V290)*O290+W290</f>
        <v>6700</v>
      </c>
      <c r="Y290" s="1112">
        <f>AB290</f>
        <v>6800</v>
      </c>
      <c r="Z290" s="1112">
        <f>X290+Y290</f>
        <v>13500</v>
      </c>
      <c r="AA290" s="1109">
        <f>13500*O290</f>
        <v>13500</v>
      </c>
      <c r="AB290" s="1109">
        <f>AA290-X290</f>
        <v>6800</v>
      </c>
      <c r="AC290" s="1112">
        <f>6700*O290</f>
        <v>6700</v>
      </c>
      <c r="AD290" s="1112">
        <f>AC290-(N290*O290)-V290</f>
        <v>1189.5999999999999</v>
      </c>
      <c r="AE290" s="436">
        <f t="shared" si="96"/>
        <v>4592</v>
      </c>
      <c r="AF290" s="436">
        <f t="shared" si="97"/>
        <v>0</v>
      </c>
      <c r="AG290" s="436">
        <f t="shared" si="98"/>
        <v>4592</v>
      </c>
      <c r="AH290" s="436">
        <f t="shared" si="99"/>
        <v>0</v>
      </c>
      <c r="AI290" s="436">
        <f t="shared" si="124"/>
        <v>0</v>
      </c>
      <c r="AJ290" s="436">
        <f t="shared" si="107"/>
        <v>0</v>
      </c>
      <c r="AK290" s="437">
        <f t="shared" si="101"/>
        <v>918.40000000000009</v>
      </c>
      <c r="AL290" s="437">
        <f t="shared" si="102"/>
        <v>0</v>
      </c>
      <c r="AM290" s="437">
        <f t="shared" si="103"/>
        <v>1189.5999999999999</v>
      </c>
      <c r="AN290" s="437">
        <f t="shared" si="104"/>
        <v>0</v>
      </c>
      <c r="AO290" s="437">
        <f t="shared" si="105"/>
        <v>0</v>
      </c>
      <c r="AP290" s="437">
        <f t="shared" si="123"/>
        <v>4592</v>
      </c>
      <c r="AQ290" s="437">
        <f t="shared" si="123"/>
        <v>0</v>
      </c>
      <c r="AR290" s="436"/>
      <c r="AS290" s="437">
        <f t="shared" si="125"/>
        <v>4592</v>
      </c>
    </row>
    <row r="291" spans="1:46" s="438" customFormat="1" ht="24.95" customHeight="1">
      <c r="A291" s="1134"/>
      <c r="B291" s="1134"/>
      <c r="C291" s="1139"/>
      <c r="D291" s="1134"/>
      <c r="E291" s="1134"/>
      <c r="F291" s="1134"/>
      <c r="G291" s="1112"/>
      <c r="H291" s="1112"/>
      <c r="I291" s="1112"/>
      <c r="J291" s="1112"/>
      <c r="K291" s="1112"/>
      <c r="L291" s="1112"/>
      <c r="M291" s="1112"/>
      <c r="N291" s="1112"/>
      <c r="O291" s="1112"/>
      <c r="P291" s="1112"/>
      <c r="Q291" s="1112"/>
      <c r="R291" s="1112"/>
      <c r="S291" s="1112"/>
      <c r="T291" s="1134"/>
      <c r="U291" s="1138"/>
      <c r="V291" s="1112"/>
      <c r="W291" s="1112"/>
      <c r="X291" s="1112"/>
      <c r="Y291" s="1112"/>
      <c r="Z291" s="1112"/>
      <c r="AA291" s="1109"/>
      <c r="AB291" s="1109"/>
      <c r="AC291" s="1112"/>
      <c r="AD291" s="1112"/>
      <c r="AE291" s="436">
        <f t="shared" si="96"/>
        <v>0</v>
      </c>
      <c r="AF291" s="436">
        <f t="shared" si="97"/>
        <v>0</v>
      </c>
      <c r="AG291" s="436">
        <f t="shared" si="98"/>
        <v>0</v>
      </c>
      <c r="AH291" s="436">
        <f t="shared" si="99"/>
        <v>0</v>
      </c>
      <c r="AI291" s="436">
        <f t="shared" si="124"/>
        <v>0</v>
      </c>
      <c r="AJ291" s="436">
        <f t="shared" si="107"/>
        <v>0</v>
      </c>
      <c r="AK291" s="437">
        <f t="shared" si="101"/>
        <v>0</v>
      </c>
      <c r="AL291" s="437">
        <f t="shared" si="102"/>
        <v>0</v>
      </c>
      <c r="AM291" s="437">
        <f t="shared" si="103"/>
        <v>0</v>
      </c>
      <c r="AN291" s="437">
        <f t="shared" si="104"/>
        <v>0</v>
      </c>
      <c r="AO291" s="437">
        <f t="shared" si="105"/>
        <v>0</v>
      </c>
      <c r="AP291" s="437">
        <f t="shared" si="123"/>
        <v>0</v>
      </c>
      <c r="AQ291" s="437">
        <f t="shared" si="123"/>
        <v>0</v>
      </c>
      <c r="AR291" s="436"/>
      <c r="AS291" s="437">
        <f t="shared" si="125"/>
        <v>0</v>
      </c>
    </row>
    <row r="292" spans="1:46" s="438" customFormat="1" ht="24.95" customHeight="1">
      <c r="A292" s="1134"/>
      <c r="B292" s="1134"/>
      <c r="C292" s="1139" t="s">
        <v>564</v>
      </c>
      <c r="D292" s="1134" t="s">
        <v>646</v>
      </c>
      <c r="E292" s="1134" t="s">
        <v>647</v>
      </c>
      <c r="F292" s="1134">
        <v>9</v>
      </c>
      <c r="G292" s="1112">
        <v>5159</v>
      </c>
      <c r="H292" s="1112"/>
      <c r="I292" s="1138"/>
      <c r="J292" s="1138"/>
      <c r="K292" s="1112"/>
      <c r="L292" s="1140"/>
      <c r="M292" s="1140"/>
      <c r="N292" s="1112">
        <f>G292+I293</f>
        <v>5159</v>
      </c>
      <c r="O292" s="1112">
        <v>0.5</v>
      </c>
      <c r="P292" s="1112"/>
      <c r="Q292" s="1140"/>
      <c r="R292" s="1140"/>
      <c r="S292" s="1140"/>
      <c r="T292" s="1134">
        <v>28</v>
      </c>
      <c r="U292" s="1138">
        <v>0.3</v>
      </c>
      <c r="V292" s="1112">
        <f>N292*U292</f>
        <v>1547.7</v>
      </c>
      <c r="W292" s="1112"/>
      <c r="X292" s="1112">
        <f>(N292+V292)*O292</f>
        <v>3353.35</v>
      </c>
      <c r="Y292" s="1112">
        <f>AB292</f>
        <v>3396.65</v>
      </c>
      <c r="Z292" s="1112">
        <f>X292+Y292</f>
        <v>6750</v>
      </c>
      <c r="AA292" s="1109">
        <f>13500*O292</f>
        <v>6750</v>
      </c>
      <c r="AB292" s="1109">
        <f>AA292-X292</f>
        <v>3396.65</v>
      </c>
      <c r="AC292" s="1112">
        <f>6700*O292</f>
        <v>3350</v>
      </c>
      <c r="AD292" s="1112"/>
      <c r="AE292" s="436">
        <f t="shared" ref="AE292:AE359" si="126">G292*O292</f>
        <v>2579.5</v>
      </c>
      <c r="AF292" s="436">
        <f t="shared" ref="AF292:AF359" si="127">G292*P292</f>
        <v>0</v>
      </c>
      <c r="AG292" s="436">
        <f t="shared" ref="AG292:AG359" si="128">N292*O292</f>
        <v>2579.5</v>
      </c>
      <c r="AH292" s="436">
        <f t="shared" ref="AH292:AH359" si="129">N292*P292</f>
        <v>0</v>
      </c>
      <c r="AI292" s="436">
        <f t="shared" si="124"/>
        <v>0</v>
      </c>
      <c r="AJ292" s="436">
        <f t="shared" si="107"/>
        <v>0</v>
      </c>
      <c r="AK292" s="437">
        <f t="shared" ref="AK292:AK359" si="130">V292*O292</f>
        <v>773.85</v>
      </c>
      <c r="AL292" s="437">
        <f t="shared" ref="AL292:AL359" si="131">V292*P292</f>
        <v>0</v>
      </c>
      <c r="AM292" s="437">
        <f t="shared" ref="AM292:AM359" si="132">W292</f>
        <v>0</v>
      </c>
      <c r="AN292" s="437">
        <f t="shared" ref="AN292:AN355" si="133">S292*O292</f>
        <v>0</v>
      </c>
      <c r="AO292" s="437">
        <f t="shared" ref="AO292:AO355" si="134">S292*P292</f>
        <v>0</v>
      </c>
      <c r="AP292" s="437">
        <f t="shared" si="123"/>
        <v>2579.5</v>
      </c>
      <c r="AQ292" s="437">
        <f t="shared" si="123"/>
        <v>0</v>
      </c>
      <c r="AR292" s="436"/>
      <c r="AS292" s="437">
        <f t="shared" si="125"/>
        <v>2579.5</v>
      </c>
    </row>
    <row r="293" spans="1:46" s="438" customFormat="1" ht="24.95" customHeight="1">
      <c r="A293" s="1134"/>
      <c r="B293" s="1134"/>
      <c r="C293" s="1139"/>
      <c r="D293" s="1134"/>
      <c r="E293" s="1134"/>
      <c r="F293" s="1134"/>
      <c r="G293" s="1112"/>
      <c r="H293" s="1112"/>
      <c r="I293" s="1134"/>
      <c r="J293" s="1134"/>
      <c r="K293" s="1112"/>
      <c r="L293" s="1140"/>
      <c r="M293" s="1140"/>
      <c r="N293" s="1112"/>
      <c r="O293" s="1112"/>
      <c r="P293" s="1112"/>
      <c r="Q293" s="1140"/>
      <c r="R293" s="1140"/>
      <c r="S293" s="1140"/>
      <c r="T293" s="1134"/>
      <c r="U293" s="1138"/>
      <c r="V293" s="1112"/>
      <c r="W293" s="1112"/>
      <c r="X293" s="1112"/>
      <c r="Y293" s="1112"/>
      <c r="Z293" s="1112"/>
      <c r="AA293" s="1109"/>
      <c r="AB293" s="1109"/>
      <c r="AC293" s="1112"/>
      <c r="AD293" s="1112"/>
      <c r="AE293" s="436">
        <f t="shared" si="126"/>
        <v>0</v>
      </c>
      <c r="AF293" s="436">
        <f t="shared" si="127"/>
        <v>0</v>
      </c>
      <c r="AG293" s="436">
        <f t="shared" si="128"/>
        <v>0</v>
      </c>
      <c r="AH293" s="436">
        <f t="shared" si="129"/>
        <v>0</v>
      </c>
      <c r="AI293" s="436">
        <f t="shared" si="124"/>
        <v>0</v>
      </c>
      <c r="AJ293" s="436">
        <f t="shared" si="107"/>
        <v>0</v>
      </c>
      <c r="AK293" s="437">
        <f t="shared" si="130"/>
        <v>0</v>
      </c>
      <c r="AL293" s="437">
        <f t="shared" si="131"/>
        <v>0</v>
      </c>
      <c r="AM293" s="437">
        <f t="shared" si="132"/>
        <v>0</v>
      </c>
      <c r="AN293" s="437">
        <f t="shared" si="133"/>
        <v>0</v>
      </c>
      <c r="AO293" s="437">
        <f t="shared" si="134"/>
        <v>0</v>
      </c>
      <c r="AP293" s="437">
        <f t="shared" si="123"/>
        <v>0</v>
      </c>
      <c r="AQ293" s="437">
        <f t="shared" si="123"/>
        <v>0</v>
      </c>
      <c r="AR293" s="436"/>
      <c r="AS293" s="437">
        <f t="shared" si="125"/>
        <v>0</v>
      </c>
    </row>
    <row r="294" spans="1:46" s="438" customFormat="1" ht="24.95" customHeight="1">
      <c r="A294" s="1134"/>
      <c r="B294" s="1134"/>
      <c r="C294" s="1139" t="s">
        <v>564</v>
      </c>
      <c r="D294" s="1134" t="s">
        <v>1055</v>
      </c>
      <c r="E294" s="1134" t="s">
        <v>648</v>
      </c>
      <c r="F294" s="1134">
        <v>9</v>
      </c>
      <c r="G294" s="1112">
        <v>5159</v>
      </c>
      <c r="H294" s="1112"/>
      <c r="I294" s="1112"/>
      <c r="J294" s="1112"/>
      <c r="K294" s="1112"/>
      <c r="L294" s="1112"/>
      <c r="M294" s="1112"/>
      <c r="N294" s="1112">
        <f>G294+I295</f>
        <v>5159</v>
      </c>
      <c r="O294" s="1112">
        <v>1</v>
      </c>
      <c r="P294" s="1112"/>
      <c r="Q294" s="1112"/>
      <c r="R294" s="1112"/>
      <c r="S294" s="1112"/>
      <c r="T294" s="1134">
        <v>29</v>
      </c>
      <c r="U294" s="1138">
        <v>0.3</v>
      </c>
      <c r="V294" s="1112">
        <f>N294*U294</f>
        <v>1547.7</v>
      </c>
      <c r="W294" s="1112"/>
      <c r="X294" s="1112">
        <f>(N294+V294)*O294</f>
        <v>6706.7</v>
      </c>
      <c r="Y294" s="1112">
        <f>AB294</f>
        <v>6793.3</v>
      </c>
      <c r="Z294" s="1112">
        <f>X294+Y294</f>
        <v>13500</v>
      </c>
      <c r="AA294" s="1109">
        <f>13500*O294</f>
        <v>13500</v>
      </c>
      <c r="AB294" s="1109">
        <f>AA294-X294</f>
        <v>6793.3</v>
      </c>
      <c r="AC294" s="1112">
        <f>6700*O294</f>
        <v>6700</v>
      </c>
      <c r="AD294" s="1112"/>
      <c r="AE294" s="436">
        <f t="shared" si="126"/>
        <v>5159</v>
      </c>
      <c r="AF294" s="436">
        <f t="shared" si="127"/>
        <v>0</v>
      </c>
      <c r="AG294" s="436">
        <f t="shared" si="128"/>
        <v>5159</v>
      </c>
      <c r="AH294" s="436">
        <f t="shared" si="129"/>
        <v>0</v>
      </c>
      <c r="AI294" s="436">
        <f t="shared" si="124"/>
        <v>0</v>
      </c>
      <c r="AJ294" s="436">
        <f t="shared" si="107"/>
        <v>0</v>
      </c>
      <c r="AK294" s="437">
        <f t="shared" si="130"/>
        <v>1547.7</v>
      </c>
      <c r="AL294" s="437">
        <f t="shared" si="131"/>
        <v>0</v>
      </c>
      <c r="AM294" s="437">
        <f t="shared" si="132"/>
        <v>0</v>
      </c>
      <c r="AN294" s="437">
        <f t="shared" si="133"/>
        <v>0</v>
      </c>
      <c r="AO294" s="437">
        <f t="shared" si="134"/>
        <v>0</v>
      </c>
      <c r="AP294" s="437">
        <f t="shared" si="123"/>
        <v>5159</v>
      </c>
      <c r="AQ294" s="437">
        <f t="shared" si="123"/>
        <v>0</v>
      </c>
      <c r="AR294" s="436"/>
      <c r="AS294" s="437">
        <f t="shared" si="125"/>
        <v>5159</v>
      </c>
    </row>
    <row r="295" spans="1:46" s="438" customFormat="1" ht="24.95" customHeight="1">
      <c r="A295" s="1134"/>
      <c r="B295" s="1134"/>
      <c r="C295" s="1139"/>
      <c r="D295" s="1134"/>
      <c r="E295" s="1134"/>
      <c r="F295" s="1134"/>
      <c r="G295" s="1112"/>
      <c r="H295" s="1112"/>
      <c r="I295" s="1112"/>
      <c r="J295" s="1112"/>
      <c r="K295" s="1112"/>
      <c r="L295" s="1112"/>
      <c r="M295" s="1112"/>
      <c r="N295" s="1112"/>
      <c r="O295" s="1112"/>
      <c r="P295" s="1112"/>
      <c r="Q295" s="1112"/>
      <c r="R295" s="1112"/>
      <c r="S295" s="1112"/>
      <c r="T295" s="1134"/>
      <c r="U295" s="1138"/>
      <c r="V295" s="1112"/>
      <c r="W295" s="1112"/>
      <c r="X295" s="1112"/>
      <c r="Y295" s="1112"/>
      <c r="Z295" s="1112"/>
      <c r="AA295" s="1109"/>
      <c r="AB295" s="1109"/>
      <c r="AC295" s="1112"/>
      <c r="AD295" s="1112"/>
      <c r="AE295" s="436">
        <f t="shared" si="126"/>
        <v>0</v>
      </c>
      <c r="AF295" s="436">
        <f t="shared" si="127"/>
        <v>0</v>
      </c>
      <c r="AG295" s="436">
        <f t="shared" si="128"/>
        <v>0</v>
      </c>
      <c r="AH295" s="436">
        <f t="shared" si="129"/>
        <v>0</v>
      </c>
      <c r="AI295" s="436">
        <f t="shared" si="124"/>
        <v>0</v>
      </c>
      <c r="AJ295" s="436">
        <f t="shared" si="107"/>
        <v>0</v>
      </c>
      <c r="AK295" s="437">
        <f t="shared" si="130"/>
        <v>0</v>
      </c>
      <c r="AL295" s="437">
        <f t="shared" si="131"/>
        <v>0</v>
      </c>
      <c r="AM295" s="437">
        <f t="shared" si="132"/>
        <v>0</v>
      </c>
      <c r="AN295" s="437">
        <f t="shared" si="133"/>
        <v>0</v>
      </c>
      <c r="AO295" s="437">
        <f t="shared" si="134"/>
        <v>0</v>
      </c>
      <c r="AP295" s="437">
        <f t="shared" si="123"/>
        <v>0</v>
      </c>
      <c r="AQ295" s="437">
        <f t="shared" si="123"/>
        <v>0</v>
      </c>
      <c r="AR295" s="436"/>
      <c r="AS295" s="437">
        <f t="shared" si="125"/>
        <v>0</v>
      </c>
    </row>
    <row r="296" spans="1:46" s="446" customFormat="1" ht="24.95" customHeight="1">
      <c r="A296" s="441"/>
      <c r="B296" s="441"/>
      <c r="C296" s="442" t="s">
        <v>318</v>
      </c>
      <c r="D296" s="443"/>
      <c r="E296" s="441"/>
      <c r="F296" s="441"/>
      <c r="G296" s="444">
        <f>SUM(G282:G295)</f>
        <v>35008</v>
      </c>
      <c r="H296" s="441">
        <f>H283</f>
        <v>489</v>
      </c>
      <c r="I296" s="441"/>
      <c r="J296" s="441"/>
      <c r="K296" s="441"/>
      <c r="L296" s="441"/>
      <c r="M296" s="441"/>
      <c r="N296" s="444">
        <f>SUM(N282:N295)</f>
        <v>35497</v>
      </c>
      <c r="O296" s="444">
        <f>SUM(O282:O295)</f>
        <v>6.5</v>
      </c>
      <c r="P296" s="444">
        <f>SUM(P282:P295)</f>
        <v>0</v>
      </c>
      <c r="Q296" s="444"/>
      <c r="R296" s="444"/>
      <c r="S296" s="444"/>
      <c r="T296" s="444"/>
      <c r="U296" s="444"/>
      <c r="V296" s="444">
        <f t="shared" ref="V296:AD296" si="135">SUM(V282:V295)</f>
        <v>8647.1</v>
      </c>
      <c r="W296" s="444">
        <f t="shared" si="135"/>
        <v>2776</v>
      </c>
      <c r="X296" s="444">
        <f t="shared" si="135"/>
        <v>43566.749999999993</v>
      </c>
      <c r="Y296" s="444">
        <f t="shared" si="135"/>
        <v>44183.250000000007</v>
      </c>
      <c r="Z296" s="444">
        <f t="shared" si="135"/>
        <v>87750</v>
      </c>
      <c r="AA296" s="499">
        <f t="shared" si="135"/>
        <v>87750</v>
      </c>
      <c r="AB296" s="499">
        <f t="shared" si="135"/>
        <v>44183.250000000007</v>
      </c>
      <c r="AC296" s="444">
        <f t="shared" si="135"/>
        <v>43550</v>
      </c>
      <c r="AD296" s="444">
        <f t="shared" si="135"/>
        <v>2776</v>
      </c>
      <c r="AE296" s="436"/>
      <c r="AF296" s="436"/>
      <c r="AG296" s="436"/>
      <c r="AH296" s="436"/>
      <c r="AI296" s="436"/>
      <c r="AJ296" s="436"/>
      <c r="AK296" s="437"/>
      <c r="AL296" s="437"/>
      <c r="AM296" s="437"/>
      <c r="AN296" s="437"/>
      <c r="AO296" s="437"/>
      <c r="AP296" s="437">
        <f t="shared" si="123"/>
        <v>0</v>
      </c>
      <c r="AQ296" s="437">
        <f t="shared" si="123"/>
        <v>0</v>
      </c>
      <c r="AR296" s="436"/>
      <c r="AS296" s="437">
        <f t="shared" si="125"/>
        <v>0</v>
      </c>
      <c r="AT296" s="457"/>
    </row>
    <row r="297" spans="1:46" s="456" customFormat="1" ht="24.95" customHeight="1">
      <c r="A297" s="455"/>
      <c r="B297" s="455"/>
      <c r="C297" s="1136" t="s">
        <v>1029</v>
      </c>
      <c r="D297" s="1136"/>
      <c r="E297" s="455"/>
      <c r="F297" s="455"/>
      <c r="G297" s="455"/>
      <c r="H297" s="455"/>
      <c r="I297" s="455"/>
      <c r="J297" s="455"/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55"/>
      <c r="V297" s="455"/>
      <c r="W297" s="455"/>
      <c r="X297" s="455"/>
      <c r="Y297" s="455"/>
      <c r="Z297" s="455"/>
      <c r="AA297" s="504"/>
      <c r="AB297" s="504"/>
      <c r="AC297" s="455"/>
      <c r="AD297" s="455"/>
      <c r="AE297" s="436">
        <f t="shared" si="126"/>
        <v>0</v>
      </c>
      <c r="AF297" s="436">
        <f t="shared" si="127"/>
        <v>0</v>
      </c>
      <c r="AG297" s="436">
        <f t="shared" si="128"/>
        <v>0</v>
      </c>
      <c r="AH297" s="436">
        <f t="shared" si="129"/>
        <v>0</v>
      </c>
      <c r="AI297" s="436">
        <f t="shared" ref="AI297:AI313" si="136">AG297-AE297</f>
        <v>0</v>
      </c>
      <c r="AJ297" s="436">
        <f t="shared" si="107"/>
        <v>0</v>
      </c>
      <c r="AK297" s="437">
        <f t="shared" si="130"/>
        <v>0</v>
      </c>
      <c r="AL297" s="437">
        <f t="shared" si="131"/>
        <v>0</v>
      </c>
      <c r="AM297" s="437">
        <f t="shared" si="132"/>
        <v>0</v>
      </c>
      <c r="AN297" s="437">
        <f t="shared" si="133"/>
        <v>0</v>
      </c>
      <c r="AO297" s="437">
        <f t="shared" si="134"/>
        <v>0</v>
      </c>
      <c r="AP297" s="437">
        <f t="shared" si="123"/>
        <v>0</v>
      </c>
      <c r="AQ297" s="437">
        <f t="shared" si="123"/>
        <v>0</v>
      </c>
      <c r="AR297" s="436"/>
      <c r="AS297" s="437">
        <f t="shared" si="125"/>
        <v>0</v>
      </c>
      <c r="AT297" s="457"/>
    </row>
    <row r="298" spans="1:46" s="438" customFormat="1" ht="24.95" customHeight="1">
      <c r="A298" s="1134"/>
      <c r="B298" s="1134"/>
      <c r="C298" s="1139" t="s">
        <v>590</v>
      </c>
      <c r="D298" s="1134" t="s">
        <v>1047</v>
      </c>
      <c r="E298" s="1134" t="s">
        <v>649</v>
      </c>
      <c r="F298" s="1134">
        <v>9</v>
      </c>
      <c r="G298" s="1112">
        <v>5159</v>
      </c>
      <c r="H298" s="435">
        <v>0.1</v>
      </c>
      <c r="I298" s="1140"/>
      <c r="J298" s="1140"/>
      <c r="K298" s="1140"/>
      <c r="L298" s="1140"/>
      <c r="M298" s="1140"/>
      <c r="N298" s="1112">
        <f>G298+H299+K299</f>
        <v>5674.9</v>
      </c>
      <c r="O298" s="1112">
        <v>1</v>
      </c>
      <c r="P298" s="1140"/>
      <c r="Q298" s="1140"/>
      <c r="R298" s="1140"/>
      <c r="S298" s="1140"/>
      <c r="T298" s="1134">
        <v>31</v>
      </c>
      <c r="U298" s="1138">
        <v>0.3</v>
      </c>
      <c r="V298" s="1112">
        <f>N298*U298</f>
        <v>1702.4699999999998</v>
      </c>
      <c r="W298" s="1112"/>
      <c r="X298" s="1112">
        <f>(N298+V298)*O298</f>
        <v>7377.369999999999</v>
      </c>
      <c r="Y298" s="1112">
        <f>AB298</f>
        <v>6122.630000000001</v>
      </c>
      <c r="Z298" s="1112">
        <f>X298+Y298</f>
        <v>13500</v>
      </c>
      <c r="AA298" s="1109">
        <f>13500*O298</f>
        <v>13500</v>
      </c>
      <c r="AB298" s="1109">
        <f>AA298-X298</f>
        <v>6122.630000000001</v>
      </c>
      <c r="AC298" s="1112">
        <f>6700*O298</f>
        <v>6700</v>
      </c>
      <c r="AD298" s="1112"/>
      <c r="AE298" s="436">
        <f t="shared" si="126"/>
        <v>5159</v>
      </c>
      <c r="AF298" s="436">
        <f t="shared" si="127"/>
        <v>0</v>
      </c>
      <c r="AG298" s="436">
        <f t="shared" si="128"/>
        <v>5674.9</v>
      </c>
      <c r="AH298" s="436">
        <f t="shared" si="129"/>
        <v>0</v>
      </c>
      <c r="AI298" s="436">
        <f t="shared" si="136"/>
        <v>515.89999999999964</v>
      </c>
      <c r="AJ298" s="436">
        <f t="shared" si="107"/>
        <v>0</v>
      </c>
      <c r="AK298" s="437">
        <f t="shared" si="130"/>
        <v>1702.4699999999998</v>
      </c>
      <c r="AL298" s="437">
        <f t="shared" si="131"/>
        <v>0</v>
      </c>
      <c r="AM298" s="437">
        <f t="shared" si="132"/>
        <v>0</v>
      </c>
      <c r="AN298" s="437">
        <f t="shared" si="133"/>
        <v>0</v>
      </c>
      <c r="AO298" s="437">
        <f t="shared" si="134"/>
        <v>0</v>
      </c>
      <c r="AP298" s="437">
        <f t="shared" si="123"/>
        <v>5674.9</v>
      </c>
      <c r="AQ298" s="437">
        <f t="shared" si="123"/>
        <v>0</v>
      </c>
      <c r="AR298" s="436"/>
      <c r="AS298" s="437">
        <f t="shared" si="125"/>
        <v>5674.9</v>
      </c>
    </row>
    <row r="299" spans="1:46" s="438" customFormat="1" ht="24.95" customHeight="1">
      <c r="A299" s="1134"/>
      <c r="B299" s="1134"/>
      <c r="C299" s="1139"/>
      <c r="D299" s="1134"/>
      <c r="E299" s="1134"/>
      <c r="F299" s="1134"/>
      <c r="G299" s="1112"/>
      <c r="H299" s="449">
        <f>G298*H298</f>
        <v>515.9</v>
      </c>
      <c r="I299" s="1140"/>
      <c r="J299" s="1140"/>
      <c r="K299" s="1140"/>
      <c r="L299" s="1140"/>
      <c r="M299" s="1140"/>
      <c r="N299" s="1112"/>
      <c r="O299" s="1112"/>
      <c r="P299" s="1140"/>
      <c r="Q299" s="1140"/>
      <c r="R299" s="1140"/>
      <c r="S299" s="1140"/>
      <c r="T299" s="1134"/>
      <c r="U299" s="1138"/>
      <c r="V299" s="1112"/>
      <c r="W299" s="1112"/>
      <c r="X299" s="1112"/>
      <c r="Y299" s="1112"/>
      <c r="Z299" s="1112"/>
      <c r="AA299" s="1109"/>
      <c r="AB299" s="1109"/>
      <c r="AC299" s="1112"/>
      <c r="AD299" s="1112"/>
      <c r="AE299" s="436">
        <f t="shared" si="126"/>
        <v>0</v>
      </c>
      <c r="AF299" s="436">
        <f t="shared" si="127"/>
        <v>0</v>
      </c>
      <c r="AG299" s="436">
        <f t="shared" si="128"/>
        <v>0</v>
      </c>
      <c r="AH299" s="436">
        <f t="shared" si="129"/>
        <v>0</v>
      </c>
      <c r="AI299" s="436">
        <f t="shared" si="136"/>
        <v>0</v>
      </c>
      <c r="AJ299" s="436">
        <f t="shared" si="107"/>
        <v>0</v>
      </c>
      <c r="AK299" s="437">
        <f t="shared" si="130"/>
        <v>0</v>
      </c>
      <c r="AL299" s="437">
        <f t="shared" si="131"/>
        <v>0</v>
      </c>
      <c r="AM299" s="437">
        <f t="shared" si="132"/>
        <v>0</v>
      </c>
      <c r="AN299" s="437">
        <f t="shared" si="133"/>
        <v>0</v>
      </c>
      <c r="AO299" s="437">
        <f t="shared" si="134"/>
        <v>0</v>
      </c>
      <c r="AP299" s="437">
        <f t="shared" si="123"/>
        <v>0</v>
      </c>
      <c r="AQ299" s="437">
        <f t="shared" si="123"/>
        <v>0</v>
      </c>
      <c r="AR299" s="436"/>
      <c r="AS299" s="437">
        <f t="shared" si="125"/>
        <v>0</v>
      </c>
    </row>
    <row r="300" spans="1:46" s="438" customFormat="1" ht="24.95" customHeight="1">
      <c r="A300" s="1134"/>
      <c r="B300" s="1134"/>
      <c r="C300" s="1139" t="s">
        <v>615</v>
      </c>
      <c r="D300" s="1134" t="s">
        <v>1042</v>
      </c>
      <c r="E300" s="1134" t="s">
        <v>650</v>
      </c>
      <c r="F300" s="1134">
        <v>9</v>
      </c>
      <c r="G300" s="1112">
        <v>5159</v>
      </c>
      <c r="H300" s="1112"/>
      <c r="I300" s="1112"/>
      <c r="J300" s="1112"/>
      <c r="K300" s="1112"/>
      <c r="L300" s="1112"/>
      <c r="M300" s="1112"/>
      <c r="N300" s="1112">
        <f>G300+H301</f>
        <v>5159</v>
      </c>
      <c r="O300" s="1112">
        <v>1</v>
      </c>
      <c r="P300" s="1140"/>
      <c r="Q300" s="1140"/>
      <c r="R300" s="1140"/>
      <c r="S300" s="1140"/>
      <c r="T300" s="1134">
        <v>16</v>
      </c>
      <c r="U300" s="1138">
        <v>0.2</v>
      </c>
      <c r="V300" s="1112">
        <f>N300*U300</f>
        <v>1031.8</v>
      </c>
      <c r="W300" s="1112">
        <f>AD300</f>
        <v>509.20000000000005</v>
      </c>
      <c r="X300" s="1112">
        <f>(N300+V300)*O300+W300</f>
        <v>6700</v>
      </c>
      <c r="Y300" s="1112">
        <f>AB300</f>
        <v>6800</v>
      </c>
      <c r="Z300" s="1112">
        <f>X300+Y300</f>
        <v>13500</v>
      </c>
      <c r="AA300" s="1109">
        <f>13500*O300</f>
        <v>13500</v>
      </c>
      <c r="AB300" s="1109">
        <f>AA300-X300</f>
        <v>6800</v>
      </c>
      <c r="AC300" s="1112">
        <f>6700*O300</f>
        <v>6700</v>
      </c>
      <c r="AD300" s="1112">
        <f>AC300-(N300*O300)-V300</f>
        <v>509.20000000000005</v>
      </c>
      <c r="AE300" s="436">
        <f t="shared" si="126"/>
        <v>5159</v>
      </c>
      <c r="AF300" s="436">
        <f t="shared" si="127"/>
        <v>0</v>
      </c>
      <c r="AG300" s="436">
        <f t="shared" si="128"/>
        <v>5159</v>
      </c>
      <c r="AH300" s="436">
        <f t="shared" si="129"/>
        <v>0</v>
      </c>
      <c r="AI300" s="436">
        <f t="shared" si="136"/>
        <v>0</v>
      </c>
      <c r="AJ300" s="436">
        <f t="shared" si="107"/>
        <v>0</v>
      </c>
      <c r="AK300" s="437">
        <f t="shared" si="130"/>
        <v>1031.8</v>
      </c>
      <c r="AL300" s="437">
        <f t="shared" si="131"/>
        <v>0</v>
      </c>
      <c r="AM300" s="437">
        <f t="shared" si="132"/>
        <v>509.20000000000005</v>
      </c>
      <c r="AN300" s="437">
        <f t="shared" si="133"/>
        <v>0</v>
      </c>
      <c r="AO300" s="437">
        <f t="shared" si="134"/>
        <v>0</v>
      </c>
      <c r="AP300" s="437">
        <f t="shared" si="123"/>
        <v>5159</v>
      </c>
      <c r="AQ300" s="437">
        <f t="shared" si="123"/>
        <v>0</v>
      </c>
      <c r="AR300" s="436"/>
      <c r="AS300" s="437">
        <f t="shared" si="125"/>
        <v>5159</v>
      </c>
    </row>
    <row r="301" spans="1:46" s="438" customFormat="1" ht="24.95" customHeight="1">
      <c r="A301" s="1134"/>
      <c r="B301" s="1134"/>
      <c r="C301" s="1139"/>
      <c r="D301" s="1134"/>
      <c r="E301" s="1134"/>
      <c r="F301" s="1134"/>
      <c r="G301" s="1112"/>
      <c r="H301" s="1112"/>
      <c r="I301" s="1112"/>
      <c r="J301" s="1112"/>
      <c r="K301" s="1112"/>
      <c r="L301" s="1112"/>
      <c r="M301" s="1112"/>
      <c r="N301" s="1112"/>
      <c r="O301" s="1112"/>
      <c r="P301" s="1140"/>
      <c r="Q301" s="1140"/>
      <c r="R301" s="1140"/>
      <c r="S301" s="1140"/>
      <c r="T301" s="1134"/>
      <c r="U301" s="1138"/>
      <c r="V301" s="1112"/>
      <c r="W301" s="1112"/>
      <c r="X301" s="1112"/>
      <c r="Y301" s="1112"/>
      <c r="Z301" s="1112"/>
      <c r="AA301" s="1109"/>
      <c r="AB301" s="1109"/>
      <c r="AC301" s="1112"/>
      <c r="AD301" s="1112"/>
      <c r="AE301" s="436">
        <f t="shared" si="126"/>
        <v>0</v>
      </c>
      <c r="AF301" s="436">
        <f t="shared" si="127"/>
        <v>0</v>
      </c>
      <c r="AG301" s="436">
        <f t="shared" si="128"/>
        <v>0</v>
      </c>
      <c r="AH301" s="436">
        <f t="shared" si="129"/>
        <v>0</v>
      </c>
      <c r="AI301" s="436">
        <f t="shared" si="136"/>
        <v>0</v>
      </c>
      <c r="AJ301" s="436">
        <f t="shared" si="107"/>
        <v>0</v>
      </c>
      <c r="AK301" s="437">
        <f t="shared" si="130"/>
        <v>0</v>
      </c>
      <c r="AL301" s="437">
        <f t="shared" si="131"/>
        <v>0</v>
      </c>
      <c r="AM301" s="437">
        <f t="shared" si="132"/>
        <v>0</v>
      </c>
      <c r="AN301" s="437">
        <f t="shared" si="133"/>
        <v>0</v>
      </c>
      <c r="AO301" s="437">
        <f t="shared" si="134"/>
        <v>0</v>
      </c>
      <c r="AP301" s="437">
        <f t="shared" ref="AP301:AQ347" si="137">AG301</f>
        <v>0</v>
      </c>
      <c r="AQ301" s="437">
        <f t="shared" si="137"/>
        <v>0</v>
      </c>
      <c r="AR301" s="436"/>
      <c r="AS301" s="437">
        <f t="shared" si="125"/>
        <v>0</v>
      </c>
    </row>
    <row r="302" spans="1:46" s="438" customFormat="1" ht="24.95" customHeight="1">
      <c r="A302" s="1134"/>
      <c r="B302" s="1134"/>
      <c r="C302" s="1139" t="s">
        <v>564</v>
      </c>
      <c r="D302" s="1134" t="s">
        <v>651</v>
      </c>
      <c r="E302" s="1140" t="s">
        <v>652</v>
      </c>
      <c r="F302" s="1134">
        <v>9</v>
      </c>
      <c r="G302" s="1112">
        <v>5159</v>
      </c>
      <c r="H302" s="1112"/>
      <c r="I302" s="1112"/>
      <c r="J302" s="1112"/>
      <c r="K302" s="1112"/>
      <c r="L302" s="1112"/>
      <c r="M302" s="1112"/>
      <c r="N302" s="1112">
        <f>G302+H303</f>
        <v>5159</v>
      </c>
      <c r="O302" s="1112">
        <v>1</v>
      </c>
      <c r="P302" s="1112"/>
      <c r="Q302" s="1112"/>
      <c r="R302" s="1112"/>
      <c r="S302" s="1112"/>
      <c r="T302" s="1134">
        <v>38</v>
      </c>
      <c r="U302" s="1138">
        <v>0.3</v>
      </c>
      <c r="V302" s="1112">
        <f>N302*U302</f>
        <v>1547.7</v>
      </c>
      <c r="W302" s="1112"/>
      <c r="X302" s="1112">
        <f>(N302+V302)*O302</f>
        <v>6706.7</v>
      </c>
      <c r="Y302" s="1112">
        <f>AB302</f>
        <v>6793.3</v>
      </c>
      <c r="Z302" s="1112">
        <f>X302+Y302</f>
        <v>13500</v>
      </c>
      <c r="AA302" s="1109">
        <f>13500*O302</f>
        <v>13500</v>
      </c>
      <c r="AB302" s="1109">
        <f>AA302-X302</f>
        <v>6793.3</v>
      </c>
      <c r="AC302" s="1112">
        <f>6700*O302</f>
        <v>6700</v>
      </c>
      <c r="AD302" s="1112"/>
      <c r="AE302" s="436">
        <f t="shared" si="126"/>
        <v>5159</v>
      </c>
      <c r="AF302" s="436">
        <f t="shared" si="127"/>
        <v>0</v>
      </c>
      <c r="AG302" s="436">
        <f t="shared" si="128"/>
        <v>5159</v>
      </c>
      <c r="AH302" s="436">
        <f t="shared" si="129"/>
        <v>0</v>
      </c>
      <c r="AI302" s="436">
        <f t="shared" si="136"/>
        <v>0</v>
      </c>
      <c r="AJ302" s="436">
        <f t="shared" si="107"/>
        <v>0</v>
      </c>
      <c r="AK302" s="437">
        <f t="shared" si="130"/>
        <v>1547.7</v>
      </c>
      <c r="AL302" s="437">
        <f t="shared" si="131"/>
        <v>0</v>
      </c>
      <c r="AM302" s="437">
        <f t="shared" si="132"/>
        <v>0</v>
      </c>
      <c r="AN302" s="437">
        <f t="shared" si="133"/>
        <v>0</v>
      </c>
      <c r="AO302" s="437">
        <f t="shared" si="134"/>
        <v>0</v>
      </c>
      <c r="AP302" s="437">
        <f t="shared" si="137"/>
        <v>5159</v>
      </c>
      <c r="AQ302" s="437">
        <f t="shared" si="137"/>
        <v>0</v>
      </c>
      <c r="AR302" s="436"/>
      <c r="AS302" s="437">
        <f t="shared" si="125"/>
        <v>5159</v>
      </c>
    </row>
    <row r="303" spans="1:46" s="438" customFormat="1" ht="24.95" customHeight="1">
      <c r="A303" s="1134"/>
      <c r="B303" s="1134"/>
      <c r="C303" s="1139"/>
      <c r="D303" s="1134"/>
      <c r="E303" s="1140"/>
      <c r="F303" s="1134"/>
      <c r="G303" s="1112"/>
      <c r="H303" s="1112"/>
      <c r="I303" s="1112"/>
      <c r="J303" s="1112"/>
      <c r="K303" s="1112"/>
      <c r="L303" s="1112"/>
      <c r="M303" s="1112"/>
      <c r="N303" s="1112"/>
      <c r="O303" s="1112"/>
      <c r="P303" s="1112"/>
      <c r="Q303" s="1112"/>
      <c r="R303" s="1112"/>
      <c r="S303" s="1112"/>
      <c r="T303" s="1134"/>
      <c r="U303" s="1138"/>
      <c r="V303" s="1112"/>
      <c r="W303" s="1112"/>
      <c r="X303" s="1112"/>
      <c r="Y303" s="1112"/>
      <c r="Z303" s="1112"/>
      <c r="AA303" s="1109"/>
      <c r="AB303" s="1109"/>
      <c r="AC303" s="1112"/>
      <c r="AD303" s="1112"/>
      <c r="AE303" s="436">
        <f t="shared" si="126"/>
        <v>0</v>
      </c>
      <c r="AF303" s="436">
        <f t="shared" si="127"/>
        <v>0</v>
      </c>
      <c r="AG303" s="436">
        <f t="shared" si="128"/>
        <v>0</v>
      </c>
      <c r="AH303" s="436">
        <f t="shared" si="129"/>
        <v>0</v>
      </c>
      <c r="AI303" s="436">
        <f t="shared" si="136"/>
        <v>0</v>
      </c>
      <c r="AJ303" s="436">
        <f t="shared" si="107"/>
        <v>0</v>
      </c>
      <c r="AK303" s="437">
        <f t="shared" si="130"/>
        <v>0</v>
      </c>
      <c r="AL303" s="437">
        <f t="shared" si="131"/>
        <v>0</v>
      </c>
      <c r="AM303" s="437">
        <f t="shared" si="132"/>
        <v>0</v>
      </c>
      <c r="AN303" s="437">
        <f t="shared" si="133"/>
        <v>0</v>
      </c>
      <c r="AO303" s="437">
        <f t="shared" si="134"/>
        <v>0</v>
      </c>
      <c r="AP303" s="437">
        <f t="shared" si="137"/>
        <v>0</v>
      </c>
      <c r="AQ303" s="437">
        <f t="shared" si="137"/>
        <v>0</v>
      </c>
      <c r="AR303" s="436"/>
      <c r="AS303" s="437">
        <f t="shared" si="125"/>
        <v>0</v>
      </c>
    </row>
    <row r="304" spans="1:46" s="438" customFormat="1" ht="24.95" customHeight="1">
      <c r="A304" s="1134"/>
      <c r="B304" s="1134"/>
      <c r="C304" s="1139" t="s">
        <v>564</v>
      </c>
      <c r="D304" s="1134" t="s">
        <v>653</v>
      </c>
      <c r="E304" s="1140" t="s">
        <v>654</v>
      </c>
      <c r="F304" s="1134">
        <v>9</v>
      </c>
      <c r="G304" s="1112">
        <v>5159</v>
      </c>
      <c r="H304" s="1112"/>
      <c r="I304" s="1112"/>
      <c r="J304" s="1112"/>
      <c r="K304" s="1112"/>
      <c r="L304" s="1112"/>
      <c r="M304" s="1112"/>
      <c r="N304" s="1112">
        <f>G304+H305</f>
        <v>5159</v>
      </c>
      <c r="O304" s="1112">
        <v>1</v>
      </c>
      <c r="P304" s="1112"/>
      <c r="Q304" s="1112"/>
      <c r="R304" s="1112"/>
      <c r="S304" s="1112"/>
      <c r="T304" s="1134">
        <v>35</v>
      </c>
      <c r="U304" s="1138">
        <v>0.3</v>
      </c>
      <c r="V304" s="1112">
        <f>N304*U304</f>
        <v>1547.7</v>
      </c>
      <c r="W304" s="1112"/>
      <c r="X304" s="1112">
        <f>(N304+V304)*O304</f>
        <v>6706.7</v>
      </c>
      <c r="Y304" s="1112">
        <f>AB304</f>
        <v>6793.3</v>
      </c>
      <c r="Z304" s="1112">
        <f>X304+Y304</f>
        <v>13500</v>
      </c>
      <c r="AA304" s="1109">
        <f>13500*O304</f>
        <v>13500</v>
      </c>
      <c r="AB304" s="1109">
        <f>AA304-X304</f>
        <v>6793.3</v>
      </c>
      <c r="AC304" s="1112">
        <f>6700*O304</f>
        <v>6700</v>
      </c>
      <c r="AD304" s="1112"/>
      <c r="AE304" s="436">
        <f t="shared" si="126"/>
        <v>5159</v>
      </c>
      <c r="AF304" s="436">
        <f t="shared" si="127"/>
        <v>0</v>
      </c>
      <c r="AG304" s="436">
        <f t="shared" si="128"/>
        <v>5159</v>
      </c>
      <c r="AH304" s="436">
        <f t="shared" si="129"/>
        <v>0</v>
      </c>
      <c r="AI304" s="436">
        <f t="shared" si="136"/>
        <v>0</v>
      </c>
      <c r="AJ304" s="436">
        <f t="shared" si="107"/>
        <v>0</v>
      </c>
      <c r="AK304" s="437">
        <f t="shared" si="130"/>
        <v>1547.7</v>
      </c>
      <c r="AL304" s="437">
        <f t="shared" si="131"/>
        <v>0</v>
      </c>
      <c r="AM304" s="437">
        <f t="shared" si="132"/>
        <v>0</v>
      </c>
      <c r="AN304" s="437">
        <f t="shared" si="133"/>
        <v>0</v>
      </c>
      <c r="AO304" s="437">
        <f t="shared" si="134"/>
        <v>0</v>
      </c>
      <c r="AP304" s="437">
        <f t="shared" si="137"/>
        <v>5159</v>
      </c>
      <c r="AQ304" s="437">
        <f t="shared" si="137"/>
        <v>0</v>
      </c>
      <c r="AR304" s="436"/>
      <c r="AS304" s="437">
        <f t="shared" si="125"/>
        <v>5159</v>
      </c>
    </row>
    <row r="305" spans="1:46" s="438" customFormat="1" ht="24.95" customHeight="1">
      <c r="A305" s="1134"/>
      <c r="B305" s="1134"/>
      <c r="C305" s="1139"/>
      <c r="D305" s="1134"/>
      <c r="E305" s="1140"/>
      <c r="F305" s="1134"/>
      <c r="G305" s="1112"/>
      <c r="H305" s="1112"/>
      <c r="I305" s="1112"/>
      <c r="J305" s="1112"/>
      <c r="K305" s="1112"/>
      <c r="L305" s="1112"/>
      <c r="M305" s="1112"/>
      <c r="N305" s="1112"/>
      <c r="O305" s="1112"/>
      <c r="P305" s="1112"/>
      <c r="Q305" s="1112"/>
      <c r="R305" s="1112"/>
      <c r="S305" s="1112"/>
      <c r="T305" s="1134"/>
      <c r="U305" s="1138"/>
      <c r="V305" s="1112"/>
      <c r="W305" s="1112"/>
      <c r="X305" s="1112"/>
      <c r="Y305" s="1112"/>
      <c r="Z305" s="1112"/>
      <c r="AA305" s="1109"/>
      <c r="AB305" s="1109"/>
      <c r="AC305" s="1112"/>
      <c r="AD305" s="1112"/>
      <c r="AE305" s="436">
        <f t="shared" si="126"/>
        <v>0</v>
      </c>
      <c r="AF305" s="436">
        <f t="shared" si="127"/>
        <v>0</v>
      </c>
      <c r="AG305" s="436">
        <f t="shared" si="128"/>
        <v>0</v>
      </c>
      <c r="AH305" s="436">
        <f t="shared" si="129"/>
        <v>0</v>
      </c>
      <c r="AI305" s="436">
        <f t="shared" si="136"/>
        <v>0</v>
      </c>
      <c r="AJ305" s="436">
        <f t="shared" si="107"/>
        <v>0</v>
      </c>
      <c r="AK305" s="437">
        <f t="shared" si="130"/>
        <v>0</v>
      </c>
      <c r="AL305" s="437">
        <f t="shared" si="131"/>
        <v>0</v>
      </c>
      <c r="AM305" s="437">
        <f t="shared" si="132"/>
        <v>0</v>
      </c>
      <c r="AN305" s="437">
        <f t="shared" si="133"/>
        <v>0</v>
      </c>
      <c r="AO305" s="437">
        <f t="shared" si="134"/>
        <v>0</v>
      </c>
      <c r="AP305" s="437">
        <f t="shared" si="137"/>
        <v>0</v>
      </c>
      <c r="AQ305" s="437">
        <f t="shared" si="137"/>
        <v>0</v>
      </c>
      <c r="AR305" s="436"/>
      <c r="AS305" s="437">
        <f t="shared" si="125"/>
        <v>0</v>
      </c>
    </row>
    <row r="306" spans="1:46" s="438" customFormat="1" ht="24.95" customHeight="1">
      <c r="A306" s="1134"/>
      <c r="B306" s="1134"/>
      <c r="C306" s="1139" t="s">
        <v>564</v>
      </c>
      <c r="D306" s="1134" t="s">
        <v>646</v>
      </c>
      <c r="E306" s="1134" t="s">
        <v>647</v>
      </c>
      <c r="F306" s="1134">
        <v>9</v>
      </c>
      <c r="G306" s="1112">
        <v>5159</v>
      </c>
      <c r="H306" s="1112"/>
      <c r="I306" s="1112"/>
      <c r="J306" s="1112"/>
      <c r="K306" s="1112"/>
      <c r="L306" s="1112"/>
      <c r="M306" s="1112"/>
      <c r="N306" s="1112">
        <f>G306+H307</f>
        <v>5159</v>
      </c>
      <c r="O306" s="1112">
        <v>0.5</v>
      </c>
      <c r="P306" s="1112"/>
      <c r="Q306" s="1112"/>
      <c r="R306" s="1112"/>
      <c r="S306" s="1112"/>
      <c r="T306" s="1134">
        <v>28</v>
      </c>
      <c r="U306" s="1138">
        <v>0.3</v>
      </c>
      <c r="V306" s="1112">
        <f>N306*U306</f>
        <v>1547.7</v>
      </c>
      <c r="W306" s="1112"/>
      <c r="X306" s="1112">
        <f>(N306+V306)*O306</f>
        <v>3353.35</v>
      </c>
      <c r="Y306" s="1112">
        <f>AB306</f>
        <v>3396.65</v>
      </c>
      <c r="Z306" s="1112">
        <f>X306+Y306</f>
        <v>6750</v>
      </c>
      <c r="AA306" s="1109">
        <f>13500*O306</f>
        <v>6750</v>
      </c>
      <c r="AB306" s="1109">
        <f>AA306-X306</f>
        <v>3396.65</v>
      </c>
      <c r="AC306" s="1112">
        <f>6700*O306</f>
        <v>3350</v>
      </c>
      <c r="AD306" s="1112"/>
      <c r="AE306" s="436">
        <f t="shared" si="126"/>
        <v>2579.5</v>
      </c>
      <c r="AF306" s="436">
        <f t="shared" si="127"/>
        <v>0</v>
      </c>
      <c r="AG306" s="436">
        <f t="shared" si="128"/>
        <v>2579.5</v>
      </c>
      <c r="AH306" s="436">
        <f t="shared" si="129"/>
        <v>0</v>
      </c>
      <c r="AI306" s="436">
        <f t="shared" si="136"/>
        <v>0</v>
      </c>
      <c r="AJ306" s="436">
        <f t="shared" si="107"/>
        <v>0</v>
      </c>
      <c r="AK306" s="437">
        <f t="shared" si="130"/>
        <v>773.85</v>
      </c>
      <c r="AL306" s="437">
        <f t="shared" si="131"/>
        <v>0</v>
      </c>
      <c r="AM306" s="437">
        <f t="shared" si="132"/>
        <v>0</v>
      </c>
      <c r="AN306" s="437">
        <f t="shared" si="133"/>
        <v>0</v>
      </c>
      <c r="AO306" s="437">
        <f t="shared" si="134"/>
        <v>0</v>
      </c>
      <c r="AP306" s="437">
        <f t="shared" si="137"/>
        <v>2579.5</v>
      </c>
      <c r="AQ306" s="437">
        <f t="shared" si="137"/>
        <v>0</v>
      </c>
      <c r="AR306" s="436"/>
      <c r="AS306" s="437">
        <f t="shared" si="125"/>
        <v>2579.5</v>
      </c>
    </row>
    <row r="307" spans="1:46" s="438" customFormat="1" ht="24.95" customHeight="1">
      <c r="A307" s="1134"/>
      <c r="B307" s="1134"/>
      <c r="C307" s="1139"/>
      <c r="D307" s="1134"/>
      <c r="E307" s="1134"/>
      <c r="F307" s="1134"/>
      <c r="G307" s="1112"/>
      <c r="H307" s="1112"/>
      <c r="I307" s="1112"/>
      <c r="J307" s="1112"/>
      <c r="K307" s="1112"/>
      <c r="L307" s="1112"/>
      <c r="M307" s="1112"/>
      <c r="N307" s="1112"/>
      <c r="O307" s="1112"/>
      <c r="P307" s="1112"/>
      <c r="Q307" s="1112"/>
      <c r="R307" s="1112"/>
      <c r="S307" s="1112"/>
      <c r="T307" s="1134"/>
      <c r="U307" s="1138"/>
      <c r="V307" s="1112"/>
      <c r="W307" s="1112"/>
      <c r="X307" s="1112"/>
      <c r="Y307" s="1112"/>
      <c r="Z307" s="1112"/>
      <c r="AA307" s="1109"/>
      <c r="AB307" s="1109"/>
      <c r="AC307" s="1112"/>
      <c r="AD307" s="1112"/>
      <c r="AE307" s="436">
        <f t="shared" si="126"/>
        <v>0</v>
      </c>
      <c r="AF307" s="436">
        <f t="shared" si="127"/>
        <v>0</v>
      </c>
      <c r="AG307" s="436">
        <f t="shared" si="128"/>
        <v>0</v>
      </c>
      <c r="AH307" s="436">
        <f t="shared" si="129"/>
        <v>0</v>
      </c>
      <c r="AI307" s="436">
        <f t="shared" si="136"/>
        <v>0</v>
      </c>
      <c r="AJ307" s="436">
        <f t="shared" si="107"/>
        <v>0</v>
      </c>
      <c r="AK307" s="437">
        <f t="shared" si="130"/>
        <v>0</v>
      </c>
      <c r="AL307" s="437">
        <f t="shared" si="131"/>
        <v>0</v>
      </c>
      <c r="AM307" s="437">
        <f t="shared" si="132"/>
        <v>0</v>
      </c>
      <c r="AN307" s="437">
        <f t="shared" si="133"/>
        <v>0</v>
      </c>
      <c r="AO307" s="437">
        <f t="shared" si="134"/>
        <v>0</v>
      </c>
      <c r="AP307" s="437">
        <f t="shared" si="137"/>
        <v>0</v>
      </c>
      <c r="AQ307" s="437">
        <f t="shared" si="137"/>
        <v>0</v>
      </c>
      <c r="AR307" s="436"/>
      <c r="AS307" s="437">
        <f t="shared" si="125"/>
        <v>0</v>
      </c>
    </row>
    <row r="308" spans="1:46" s="438" customFormat="1" ht="24.95" customHeight="1">
      <c r="A308" s="1134"/>
      <c r="B308" s="1134"/>
      <c r="C308" s="1139" t="s">
        <v>564</v>
      </c>
      <c r="D308" s="1134" t="s">
        <v>620</v>
      </c>
      <c r="E308" s="1140" t="s">
        <v>655</v>
      </c>
      <c r="F308" s="1134">
        <v>9</v>
      </c>
      <c r="G308" s="1112">
        <v>5159</v>
      </c>
      <c r="H308" s="1112"/>
      <c r="I308" s="1112"/>
      <c r="J308" s="1112"/>
      <c r="K308" s="1112"/>
      <c r="L308" s="1140"/>
      <c r="M308" s="1140"/>
      <c r="N308" s="1112">
        <f>G308+I309</f>
        <v>5159</v>
      </c>
      <c r="O308" s="1112">
        <v>1</v>
      </c>
      <c r="P308" s="1112"/>
      <c r="Q308" s="1140"/>
      <c r="R308" s="1140"/>
      <c r="S308" s="1140"/>
      <c r="T308" s="1134">
        <v>32</v>
      </c>
      <c r="U308" s="1138">
        <v>0.3</v>
      </c>
      <c r="V308" s="1112">
        <f>N308*U308</f>
        <v>1547.7</v>
      </c>
      <c r="W308" s="1112"/>
      <c r="X308" s="1112">
        <f>(N308+V308)*O308</f>
        <v>6706.7</v>
      </c>
      <c r="Y308" s="1112">
        <f>AB308</f>
        <v>6793.3</v>
      </c>
      <c r="Z308" s="1112">
        <f>X308+Y308</f>
        <v>13500</v>
      </c>
      <c r="AA308" s="1109">
        <f>13500*O308</f>
        <v>13500</v>
      </c>
      <c r="AB308" s="1109">
        <f>AA308-X308</f>
        <v>6793.3</v>
      </c>
      <c r="AC308" s="1112">
        <f>6700*O308</f>
        <v>6700</v>
      </c>
      <c r="AD308" s="1112"/>
      <c r="AE308" s="436">
        <f t="shared" si="126"/>
        <v>5159</v>
      </c>
      <c r="AF308" s="436">
        <f t="shared" si="127"/>
        <v>0</v>
      </c>
      <c r="AG308" s="436">
        <f t="shared" si="128"/>
        <v>5159</v>
      </c>
      <c r="AH308" s="436">
        <f t="shared" si="129"/>
        <v>0</v>
      </c>
      <c r="AI308" s="436">
        <f t="shared" si="136"/>
        <v>0</v>
      </c>
      <c r="AJ308" s="436">
        <f t="shared" si="107"/>
        <v>0</v>
      </c>
      <c r="AK308" s="437">
        <f t="shared" si="130"/>
        <v>1547.7</v>
      </c>
      <c r="AL308" s="437">
        <f t="shared" si="131"/>
        <v>0</v>
      </c>
      <c r="AM308" s="437">
        <f t="shared" si="132"/>
        <v>0</v>
      </c>
      <c r="AN308" s="437">
        <f t="shared" si="133"/>
        <v>0</v>
      </c>
      <c r="AO308" s="437">
        <f t="shared" si="134"/>
        <v>0</v>
      </c>
      <c r="AP308" s="437">
        <f t="shared" si="137"/>
        <v>5159</v>
      </c>
      <c r="AQ308" s="437">
        <f t="shared" si="137"/>
        <v>0</v>
      </c>
      <c r="AR308" s="436"/>
      <c r="AS308" s="437">
        <f t="shared" si="125"/>
        <v>5159</v>
      </c>
    </row>
    <row r="309" spans="1:46" s="438" customFormat="1" ht="24.95" customHeight="1">
      <c r="A309" s="1134"/>
      <c r="B309" s="1134"/>
      <c r="C309" s="1139"/>
      <c r="D309" s="1134"/>
      <c r="E309" s="1140"/>
      <c r="F309" s="1134"/>
      <c r="G309" s="1112"/>
      <c r="H309" s="1112"/>
      <c r="I309" s="1112"/>
      <c r="J309" s="1112"/>
      <c r="K309" s="1112"/>
      <c r="L309" s="1140"/>
      <c r="M309" s="1140"/>
      <c r="N309" s="1112"/>
      <c r="O309" s="1112"/>
      <c r="P309" s="1112"/>
      <c r="Q309" s="1140"/>
      <c r="R309" s="1140"/>
      <c r="S309" s="1140"/>
      <c r="T309" s="1134"/>
      <c r="U309" s="1138"/>
      <c r="V309" s="1112"/>
      <c r="W309" s="1112"/>
      <c r="X309" s="1112"/>
      <c r="Y309" s="1112"/>
      <c r="Z309" s="1112"/>
      <c r="AA309" s="1109"/>
      <c r="AB309" s="1109"/>
      <c r="AC309" s="1112"/>
      <c r="AD309" s="1112"/>
      <c r="AE309" s="436">
        <f t="shared" si="126"/>
        <v>0</v>
      </c>
      <c r="AF309" s="436">
        <f t="shared" si="127"/>
        <v>0</v>
      </c>
      <c r="AG309" s="436">
        <f t="shared" si="128"/>
        <v>0</v>
      </c>
      <c r="AH309" s="436">
        <f t="shared" si="129"/>
        <v>0</v>
      </c>
      <c r="AI309" s="436">
        <f t="shared" si="136"/>
        <v>0</v>
      </c>
      <c r="AJ309" s="436">
        <f t="shared" si="107"/>
        <v>0</v>
      </c>
      <c r="AK309" s="437">
        <f t="shared" si="130"/>
        <v>0</v>
      </c>
      <c r="AL309" s="437">
        <f t="shared" si="131"/>
        <v>0</v>
      </c>
      <c r="AM309" s="437">
        <f t="shared" si="132"/>
        <v>0</v>
      </c>
      <c r="AN309" s="437">
        <f t="shared" si="133"/>
        <v>0</v>
      </c>
      <c r="AO309" s="437">
        <f t="shared" si="134"/>
        <v>0</v>
      </c>
      <c r="AP309" s="437">
        <f t="shared" si="137"/>
        <v>0</v>
      </c>
      <c r="AQ309" s="437">
        <f t="shared" si="137"/>
        <v>0</v>
      </c>
      <c r="AR309" s="436"/>
      <c r="AS309" s="437">
        <f t="shared" si="125"/>
        <v>0</v>
      </c>
    </row>
    <row r="310" spans="1:46" s="438" customFormat="1" ht="24.95" customHeight="1">
      <c r="A310" s="1134"/>
      <c r="B310" s="1134"/>
      <c r="C310" s="1139" t="s">
        <v>564</v>
      </c>
      <c r="D310" s="1134"/>
      <c r="E310" s="1140"/>
      <c r="F310" s="1134">
        <v>9</v>
      </c>
      <c r="G310" s="1112">
        <v>5159</v>
      </c>
      <c r="H310" s="1112"/>
      <c r="I310" s="1138"/>
      <c r="J310" s="1138"/>
      <c r="K310" s="1112"/>
      <c r="L310" s="1140"/>
      <c r="M310" s="1140"/>
      <c r="N310" s="1112">
        <f>G310+I311</f>
        <v>5159</v>
      </c>
      <c r="O310" s="1112"/>
      <c r="P310" s="1112"/>
      <c r="Q310" s="1140"/>
      <c r="R310" s="1140"/>
      <c r="S310" s="1140"/>
      <c r="T310" s="1134">
        <v>30</v>
      </c>
      <c r="U310" s="1138">
        <v>0.3</v>
      </c>
      <c r="V310" s="1112">
        <f>N310*U310</f>
        <v>1547.7</v>
      </c>
      <c r="W310" s="1112"/>
      <c r="X310" s="1112">
        <f>(N310+V310)*O310</f>
        <v>0</v>
      </c>
      <c r="Y310" s="1112">
        <f>AB310</f>
        <v>0</v>
      </c>
      <c r="Z310" s="1112">
        <f>X310+Y310</f>
        <v>0</v>
      </c>
      <c r="AA310" s="1109">
        <f>13500*O310</f>
        <v>0</v>
      </c>
      <c r="AB310" s="1109">
        <f>AA310-X310</f>
        <v>0</v>
      </c>
      <c r="AC310" s="1112">
        <f>6700*O310</f>
        <v>0</v>
      </c>
      <c r="AD310" s="1112"/>
      <c r="AE310" s="436">
        <f t="shared" si="126"/>
        <v>0</v>
      </c>
      <c r="AF310" s="436">
        <f t="shared" si="127"/>
        <v>0</v>
      </c>
      <c r="AG310" s="436">
        <f t="shared" si="128"/>
        <v>0</v>
      </c>
      <c r="AH310" s="436">
        <f t="shared" si="129"/>
        <v>0</v>
      </c>
      <c r="AI310" s="436">
        <f t="shared" si="136"/>
        <v>0</v>
      </c>
      <c r="AJ310" s="436">
        <f t="shared" si="107"/>
        <v>0</v>
      </c>
      <c r="AK310" s="437">
        <f t="shared" si="130"/>
        <v>0</v>
      </c>
      <c r="AL310" s="437">
        <f t="shared" si="131"/>
        <v>0</v>
      </c>
      <c r="AM310" s="437">
        <f t="shared" si="132"/>
        <v>0</v>
      </c>
      <c r="AN310" s="437">
        <f t="shared" si="133"/>
        <v>0</v>
      </c>
      <c r="AO310" s="437">
        <f t="shared" si="134"/>
        <v>0</v>
      </c>
      <c r="AP310" s="437">
        <f t="shared" si="137"/>
        <v>0</v>
      </c>
      <c r="AQ310" s="437">
        <f t="shared" si="137"/>
        <v>0</v>
      </c>
      <c r="AR310" s="436"/>
      <c r="AS310" s="437">
        <f t="shared" si="125"/>
        <v>0</v>
      </c>
    </row>
    <row r="311" spans="1:46" s="438" customFormat="1" ht="24.95" customHeight="1">
      <c r="A311" s="1134"/>
      <c r="B311" s="1134"/>
      <c r="C311" s="1139"/>
      <c r="D311" s="1134"/>
      <c r="E311" s="1140"/>
      <c r="F311" s="1134"/>
      <c r="G311" s="1112"/>
      <c r="H311" s="1112"/>
      <c r="I311" s="1134"/>
      <c r="J311" s="1134"/>
      <c r="K311" s="1112"/>
      <c r="L311" s="1140"/>
      <c r="M311" s="1140"/>
      <c r="N311" s="1112"/>
      <c r="O311" s="1112"/>
      <c r="P311" s="1112"/>
      <c r="Q311" s="1140"/>
      <c r="R311" s="1140"/>
      <c r="S311" s="1140"/>
      <c r="T311" s="1134"/>
      <c r="U311" s="1138"/>
      <c r="V311" s="1112"/>
      <c r="W311" s="1112"/>
      <c r="X311" s="1112"/>
      <c r="Y311" s="1112"/>
      <c r="Z311" s="1112"/>
      <c r="AA311" s="1109"/>
      <c r="AB311" s="1109"/>
      <c r="AC311" s="1112"/>
      <c r="AD311" s="1112"/>
      <c r="AE311" s="436">
        <f t="shared" si="126"/>
        <v>0</v>
      </c>
      <c r="AF311" s="436">
        <f t="shared" si="127"/>
        <v>0</v>
      </c>
      <c r="AG311" s="436">
        <f t="shared" si="128"/>
        <v>0</v>
      </c>
      <c r="AH311" s="436">
        <f t="shared" si="129"/>
        <v>0</v>
      </c>
      <c r="AI311" s="436">
        <f t="shared" si="136"/>
        <v>0</v>
      </c>
      <c r="AJ311" s="436">
        <f t="shared" si="107"/>
        <v>0</v>
      </c>
      <c r="AK311" s="437">
        <f t="shared" si="130"/>
        <v>0</v>
      </c>
      <c r="AL311" s="437">
        <f t="shared" si="131"/>
        <v>0</v>
      </c>
      <c r="AM311" s="437">
        <f t="shared" si="132"/>
        <v>0</v>
      </c>
      <c r="AN311" s="437">
        <f t="shared" si="133"/>
        <v>0</v>
      </c>
      <c r="AO311" s="437">
        <f t="shared" si="134"/>
        <v>0</v>
      </c>
      <c r="AP311" s="437">
        <f t="shared" si="137"/>
        <v>0</v>
      </c>
      <c r="AQ311" s="437">
        <f t="shared" si="137"/>
        <v>0</v>
      </c>
      <c r="AR311" s="436"/>
      <c r="AS311" s="437">
        <f t="shared" si="125"/>
        <v>0</v>
      </c>
    </row>
    <row r="312" spans="1:46" s="438" customFormat="1" ht="24.95" customHeight="1">
      <c r="A312" s="1134"/>
      <c r="B312" s="1134"/>
      <c r="C312" s="1139" t="s">
        <v>564</v>
      </c>
      <c r="D312" s="1134" t="s">
        <v>639</v>
      </c>
      <c r="E312" s="1134" t="s">
        <v>656</v>
      </c>
      <c r="F312" s="1134">
        <v>9</v>
      </c>
      <c r="G312" s="1112">
        <v>5159</v>
      </c>
      <c r="H312" s="1112"/>
      <c r="I312" s="1112"/>
      <c r="J312" s="1112"/>
      <c r="K312" s="1112"/>
      <c r="L312" s="1112"/>
      <c r="M312" s="1112"/>
      <c r="N312" s="1112">
        <f>G312+I313</f>
        <v>5159</v>
      </c>
      <c r="O312" s="1112">
        <v>1</v>
      </c>
      <c r="P312" s="1112"/>
      <c r="Q312" s="1112"/>
      <c r="R312" s="1112"/>
      <c r="S312" s="1112"/>
      <c r="T312" s="1134">
        <v>28</v>
      </c>
      <c r="U312" s="1138">
        <v>0.3</v>
      </c>
      <c r="V312" s="1112">
        <f>N312*U312</f>
        <v>1547.7</v>
      </c>
      <c r="W312" s="1112"/>
      <c r="X312" s="1112">
        <f>(N312+V312)*O312+W312</f>
        <v>6706.7</v>
      </c>
      <c r="Y312" s="1112">
        <f>AB312</f>
        <v>6793.3</v>
      </c>
      <c r="Z312" s="1112">
        <f>X312+Y312</f>
        <v>13500</v>
      </c>
      <c r="AA312" s="1109">
        <f>13500*O312</f>
        <v>13500</v>
      </c>
      <c r="AB312" s="1109">
        <f>AA312-X312</f>
        <v>6793.3</v>
      </c>
      <c r="AC312" s="1112">
        <f>6700*O312</f>
        <v>6700</v>
      </c>
      <c r="AD312" s="1112"/>
      <c r="AE312" s="436">
        <f t="shared" si="126"/>
        <v>5159</v>
      </c>
      <c r="AF312" s="436">
        <f t="shared" si="127"/>
        <v>0</v>
      </c>
      <c r="AG312" s="436">
        <f t="shared" si="128"/>
        <v>5159</v>
      </c>
      <c r="AH312" s="436">
        <f t="shared" si="129"/>
        <v>0</v>
      </c>
      <c r="AI312" s="436">
        <f t="shared" si="136"/>
        <v>0</v>
      </c>
      <c r="AJ312" s="436">
        <f t="shared" si="107"/>
        <v>0</v>
      </c>
      <c r="AK312" s="437">
        <f t="shared" si="130"/>
        <v>1547.7</v>
      </c>
      <c r="AL312" s="437">
        <f t="shared" si="131"/>
        <v>0</v>
      </c>
      <c r="AM312" s="437">
        <f t="shared" si="132"/>
        <v>0</v>
      </c>
      <c r="AN312" s="437">
        <f t="shared" si="133"/>
        <v>0</v>
      </c>
      <c r="AO312" s="437">
        <f t="shared" si="134"/>
        <v>0</v>
      </c>
      <c r="AP312" s="437">
        <f t="shared" si="137"/>
        <v>5159</v>
      </c>
      <c r="AQ312" s="437">
        <f t="shared" si="137"/>
        <v>0</v>
      </c>
      <c r="AR312" s="436"/>
      <c r="AS312" s="437">
        <f t="shared" si="125"/>
        <v>5159</v>
      </c>
    </row>
    <row r="313" spans="1:46" s="438" customFormat="1" ht="24.95" customHeight="1">
      <c r="A313" s="1134"/>
      <c r="B313" s="1134"/>
      <c r="C313" s="1139"/>
      <c r="D313" s="1134"/>
      <c r="E313" s="1134"/>
      <c r="F313" s="1134"/>
      <c r="G313" s="1112"/>
      <c r="H313" s="1112"/>
      <c r="I313" s="1112"/>
      <c r="J313" s="1112"/>
      <c r="K313" s="1112"/>
      <c r="L313" s="1112"/>
      <c r="M313" s="1112"/>
      <c r="N313" s="1112"/>
      <c r="O313" s="1112"/>
      <c r="P313" s="1112"/>
      <c r="Q313" s="1112"/>
      <c r="R313" s="1112"/>
      <c r="S313" s="1112"/>
      <c r="T313" s="1134"/>
      <c r="U313" s="1138"/>
      <c r="V313" s="1112"/>
      <c r="W313" s="1112"/>
      <c r="X313" s="1112"/>
      <c r="Y313" s="1112"/>
      <c r="Z313" s="1112"/>
      <c r="AA313" s="1109"/>
      <c r="AB313" s="1109"/>
      <c r="AC313" s="1112"/>
      <c r="AD313" s="1112"/>
      <c r="AE313" s="436">
        <f t="shared" si="126"/>
        <v>0</v>
      </c>
      <c r="AF313" s="436">
        <f t="shared" si="127"/>
        <v>0</v>
      </c>
      <c r="AG313" s="436">
        <f t="shared" si="128"/>
        <v>0</v>
      </c>
      <c r="AH313" s="436">
        <f t="shared" si="129"/>
        <v>0</v>
      </c>
      <c r="AI313" s="436">
        <f t="shared" si="136"/>
        <v>0</v>
      </c>
      <c r="AJ313" s="436">
        <f t="shared" si="107"/>
        <v>0</v>
      </c>
      <c r="AK313" s="437">
        <f t="shared" si="130"/>
        <v>0</v>
      </c>
      <c r="AL313" s="437">
        <f t="shared" si="131"/>
        <v>0</v>
      </c>
      <c r="AM313" s="437">
        <f t="shared" si="132"/>
        <v>0</v>
      </c>
      <c r="AN313" s="437">
        <f t="shared" si="133"/>
        <v>0</v>
      </c>
      <c r="AO313" s="437">
        <f t="shared" si="134"/>
        <v>0</v>
      </c>
      <c r="AP313" s="437">
        <f t="shared" si="137"/>
        <v>0</v>
      </c>
      <c r="AQ313" s="437">
        <f t="shared" si="137"/>
        <v>0</v>
      </c>
      <c r="AR313" s="436"/>
      <c r="AS313" s="437">
        <f t="shared" si="125"/>
        <v>0</v>
      </c>
    </row>
    <row r="314" spans="1:46" s="446" customFormat="1" ht="24.95" customHeight="1">
      <c r="A314" s="441"/>
      <c r="B314" s="441"/>
      <c r="C314" s="442" t="s">
        <v>318</v>
      </c>
      <c r="D314" s="443"/>
      <c r="E314" s="441"/>
      <c r="F314" s="441"/>
      <c r="G314" s="444">
        <f>SUM(G298:G313)</f>
        <v>41272</v>
      </c>
      <c r="H314" s="441">
        <f>H299</f>
        <v>515.9</v>
      </c>
      <c r="I314" s="441"/>
      <c r="J314" s="441"/>
      <c r="K314" s="441"/>
      <c r="L314" s="441"/>
      <c r="M314" s="441"/>
      <c r="N314" s="444">
        <f>SUM(N298:N313)</f>
        <v>41787.9</v>
      </c>
      <c r="O314" s="444">
        <f>SUM(O298:O313)</f>
        <v>6.5</v>
      </c>
      <c r="P314" s="444">
        <f>SUM(P298:P313)</f>
        <v>0</v>
      </c>
      <c r="Q314" s="444"/>
      <c r="R314" s="444"/>
      <c r="S314" s="444"/>
      <c r="T314" s="444"/>
      <c r="U314" s="444"/>
      <c r="V314" s="444">
        <f t="shared" ref="V314:AD314" si="138">SUM(V298:V313)</f>
        <v>12020.470000000001</v>
      </c>
      <c r="W314" s="444">
        <f t="shared" si="138"/>
        <v>509.20000000000005</v>
      </c>
      <c r="X314" s="444">
        <f t="shared" si="138"/>
        <v>44257.52</v>
      </c>
      <c r="Y314" s="444">
        <f t="shared" si="138"/>
        <v>43492.480000000003</v>
      </c>
      <c r="Z314" s="444">
        <f t="shared" si="138"/>
        <v>87750</v>
      </c>
      <c r="AA314" s="499">
        <f t="shared" si="138"/>
        <v>87750</v>
      </c>
      <c r="AB314" s="499">
        <f t="shared" si="138"/>
        <v>43492.480000000003</v>
      </c>
      <c r="AC314" s="444">
        <f t="shared" si="138"/>
        <v>43550</v>
      </c>
      <c r="AD314" s="444">
        <f t="shared" si="138"/>
        <v>509.20000000000005</v>
      </c>
      <c r="AE314" s="436"/>
      <c r="AF314" s="436"/>
      <c r="AG314" s="436"/>
      <c r="AH314" s="436"/>
      <c r="AI314" s="436"/>
      <c r="AJ314" s="436"/>
      <c r="AK314" s="437"/>
      <c r="AL314" s="437"/>
      <c r="AM314" s="437"/>
      <c r="AN314" s="437"/>
      <c r="AO314" s="437"/>
      <c r="AP314" s="437">
        <f t="shared" si="137"/>
        <v>0</v>
      </c>
      <c r="AQ314" s="437">
        <f t="shared" si="137"/>
        <v>0</v>
      </c>
      <c r="AR314" s="436"/>
      <c r="AS314" s="437">
        <f t="shared" si="125"/>
        <v>0</v>
      </c>
      <c r="AT314" s="457"/>
    </row>
    <row r="315" spans="1:46" s="456" customFormat="1" ht="24.95" customHeight="1">
      <c r="A315" s="455"/>
      <c r="B315" s="455"/>
      <c r="C315" s="1136" t="s">
        <v>1031</v>
      </c>
      <c r="D315" s="1136"/>
      <c r="E315" s="455"/>
      <c r="F315" s="455"/>
      <c r="G315" s="455"/>
      <c r="H315" s="455"/>
      <c r="I315" s="455"/>
      <c r="J315" s="455"/>
      <c r="K315" s="455"/>
      <c r="L315" s="455"/>
      <c r="M315" s="455"/>
      <c r="N315" s="455"/>
      <c r="O315" s="455"/>
      <c r="P315" s="455"/>
      <c r="Q315" s="455"/>
      <c r="R315" s="455"/>
      <c r="S315" s="455"/>
      <c r="T315" s="455"/>
      <c r="U315" s="455"/>
      <c r="V315" s="455"/>
      <c r="W315" s="455"/>
      <c r="X315" s="455"/>
      <c r="Y315" s="455"/>
      <c r="Z315" s="455"/>
      <c r="AA315" s="504"/>
      <c r="AB315" s="504"/>
      <c r="AC315" s="455"/>
      <c r="AD315" s="455"/>
      <c r="AE315" s="436">
        <f t="shared" si="126"/>
        <v>0</v>
      </c>
      <c r="AF315" s="436">
        <f t="shared" si="127"/>
        <v>0</v>
      </c>
      <c r="AG315" s="436">
        <f t="shared" si="128"/>
        <v>0</v>
      </c>
      <c r="AH315" s="436">
        <f t="shared" si="129"/>
        <v>0</v>
      </c>
      <c r="AI315" s="436">
        <f t="shared" ref="AI315:AJ330" si="139">AG315-AE315</f>
        <v>0</v>
      </c>
      <c r="AJ315" s="436">
        <f t="shared" si="107"/>
        <v>0</v>
      </c>
      <c r="AK315" s="437">
        <f t="shared" si="130"/>
        <v>0</v>
      </c>
      <c r="AL315" s="437">
        <f t="shared" si="131"/>
        <v>0</v>
      </c>
      <c r="AM315" s="437">
        <f t="shared" si="132"/>
        <v>0</v>
      </c>
      <c r="AN315" s="437">
        <f t="shared" si="133"/>
        <v>0</v>
      </c>
      <c r="AO315" s="437">
        <f t="shared" si="134"/>
        <v>0</v>
      </c>
      <c r="AP315" s="437">
        <f t="shared" si="137"/>
        <v>0</v>
      </c>
      <c r="AQ315" s="437">
        <f t="shared" si="137"/>
        <v>0</v>
      </c>
      <c r="AR315" s="436"/>
      <c r="AS315" s="437">
        <f t="shared" si="125"/>
        <v>0</v>
      </c>
      <c r="AT315" s="457"/>
    </row>
    <row r="316" spans="1:46" s="461" customFormat="1" ht="24.95" customHeight="1">
      <c r="A316" s="1143"/>
      <c r="B316" s="1143"/>
      <c r="C316" s="1141" t="s">
        <v>590</v>
      </c>
      <c r="D316" s="1134" t="s">
        <v>1056</v>
      </c>
      <c r="E316" s="1144" t="s">
        <v>658</v>
      </c>
      <c r="F316" s="1143">
        <v>9</v>
      </c>
      <c r="G316" s="1142">
        <v>5159</v>
      </c>
      <c r="H316" s="458">
        <v>0.1</v>
      </c>
      <c r="I316" s="1142"/>
      <c r="J316" s="1142"/>
      <c r="K316" s="1142"/>
      <c r="L316" s="1142"/>
      <c r="M316" s="1142"/>
      <c r="N316" s="1142">
        <f>G316+H317</f>
        <v>5674.9</v>
      </c>
      <c r="O316" s="1142">
        <v>1</v>
      </c>
      <c r="P316" s="1142"/>
      <c r="Q316" s="1142"/>
      <c r="R316" s="1142"/>
      <c r="S316" s="1142"/>
      <c r="T316" s="1143">
        <v>14</v>
      </c>
      <c r="U316" s="1173">
        <v>0.2</v>
      </c>
      <c r="V316" s="1142">
        <f>N316*U316</f>
        <v>1134.98</v>
      </c>
      <c r="W316" s="1142"/>
      <c r="X316" s="1142">
        <f>(N316+V316)*O316+W316</f>
        <v>6809.8799999999992</v>
      </c>
      <c r="Y316" s="1112">
        <f>AB316</f>
        <v>6690.1200000000008</v>
      </c>
      <c r="Z316" s="1112">
        <f>X316+Y316</f>
        <v>13500</v>
      </c>
      <c r="AA316" s="1109">
        <f>13500*O316</f>
        <v>13500</v>
      </c>
      <c r="AB316" s="1109">
        <f>AA316-X316</f>
        <v>6690.1200000000008</v>
      </c>
      <c r="AC316" s="1112">
        <f>6700*O316</f>
        <v>6700</v>
      </c>
      <c r="AD316" s="1142"/>
      <c r="AE316" s="459">
        <f t="shared" si="126"/>
        <v>5159</v>
      </c>
      <c r="AF316" s="459">
        <f t="shared" si="127"/>
        <v>0</v>
      </c>
      <c r="AG316" s="459">
        <f t="shared" si="128"/>
        <v>5674.9</v>
      </c>
      <c r="AH316" s="459">
        <f t="shared" si="129"/>
        <v>0</v>
      </c>
      <c r="AI316" s="459">
        <f t="shared" si="139"/>
        <v>515.89999999999964</v>
      </c>
      <c r="AJ316" s="459">
        <f t="shared" si="107"/>
        <v>0</v>
      </c>
      <c r="AK316" s="460">
        <f t="shared" si="130"/>
        <v>1134.98</v>
      </c>
      <c r="AL316" s="460">
        <f t="shared" si="131"/>
        <v>0</v>
      </c>
      <c r="AM316" s="460">
        <f t="shared" si="132"/>
        <v>0</v>
      </c>
      <c r="AN316" s="460">
        <f t="shared" si="133"/>
        <v>0</v>
      </c>
      <c r="AO316" s="460">
        <f t="shared" si="134"/>
        <v>0</v>
      </c>
      <c r="AP316" s="460">
        <f t="shared" si="137"/>
        <v>5674.9</v>
      </c>
      <c r="AQ316" s="460">
        <f t="shared" si="137"/>
        <v>0</v>
      </c>
      <c r="AR316" s="459"/>
      <c r="AS316" s="460">
        <f t="shared" si="125"/>
        <v>5674.9</v>
      </c>
      <c r="AT316" s="438"/>
    </row>
    <row r="317" spans="1:46" s="461" customFormat="1" ht="24.95" customHeight="1">
      <c r="A317" s="1143"/>
      <c r="B317" s="1143"/>
      <c r="C317" s="1141"/>
      <c r="D317" s="1134"/>
      <c r="E317" s="1144"/>
      <c r="F317" s="1143"/>
      <c r="G317" s="1142"/>
      <c r="H317" s="462">
        <f>G316*H316</f>
        <v>515.9</v>
      </c>
      <c r="I317" s="1142"/>
      <c r="J317" s="1142"/>
      <c r="K317" s="1142"/>
      <c r="L317" s="1142"/>
      <c r="M317" s="1142"/>
      <c r="N317" s="1142"/>
      <c r="O317" s="1142"/>
      <c r="P317" s="1142"/>
      <c r="Q317" s="1142"/>
      <c r="R317" s="1142"/>
      <c r="S317" s="1142"/>
      <c r="T317" s="1143"/>
      <c r="U317" s="1173"/>
      <c r="V317" s="1142"/>
      <c r="W317" s="1142"/>
      <c r="X317" s="1142"/>
      <c r="Y317" s="1112"/>
      <c r="Z317" s="1112"/>
      <c r="AA317" s="1109"/>
      <c r="AB317" s="1109"/>
      <c r="AC317" s="1112"/>
      <c r="AD317" s="1142"/>
      <c r="AE317" s="459">
        <f t="shared" si="126"/>
        <v>0</v>
      </c>
      <c r="AF317" s="459">
        <f t="shared" si="127"/>
        <v>0</v>
      </c>
      <c r="AG317" s="459">
        <f t="shared" si="128"/>
        <v>0</v>
      </c>
      <c r="AH317" s="459">
        <f t="shared" si="129"/>
        <v>0</v>
      </c>
      <c r="AI317" s="459">
        <f t="shared" si="139"/>
        <v>0</v>
      </c>
      <c r="AJ317" s="459">
        <f t="shared" si="107"/>
        <v>0</v>
      </c>
      <c r="AK317" s="460">
        <f t="shared" si="130"/>
        <v>0</v>
      </c>
      <c r="AL317" s="460">
        <f t="shared" si="131"/>
        <v>0</v>
      </c>
      <c r="AM317" s="460">
        <f t="shared" si="132"/>
        <v>0</v>
      </c>
      <c r="AN317" s="460">
        <f t="shared" si="133"/>
        <v>0</v>
      </c>
      <c r="AO317" s="460">
        <f t="shared" si="134"/>
        <v>0</v>
      </c>
      <c r="AP317" s="460">
        <f t="shared" si="137"/>
        <v>0</v>
      </c>
      <c r="AQ317" s="460">
        <f t="shared" si="137"/>
        <v>0</v>
      </c>
      <c r="AR317" s="459"/>
      <c r="AS317" s="460">
        <f t="shared" si="125"/>
        <v>0</v>
      </c>
      <c r="AT317" s="438"/>
    </row>
    <row r="318" spans="1:46" s="461" customFormat="1" ht="24.95" customHeight="1">
      <c r="A318" s="1143"/>
      <c r="B318" s="1143"/>
      <c r="C318" s="1141" t="s">
        <v>657</v>
      </c>
      <c r="D318" s="1134" t="s">
        <v>605</v>
      </c>
      <c r="E318" s="1134" t="s">
        <v>606</v>
      </c>
      <c r="F318" s="1143">
        <v>9</v>
      </c>
      <c r="G318" s="1142">
        <v>5159</v>
      </c>
      <c r="H318" s="1142"/>
      <c r="I318" s="1142"/>
      <c r="J318" s="1142"/>
      <c r="K318" s="1142"/>
      <c r="L318" s="1142"/>
      <c r="M318" s="1142"/>
      <c r="N318" s="1142">
        <f>G318+H319</f>
        <v>5159</v>
      </c>
      <c r="O318" s="1142">
        <v>1</v>
      </c>
      <c r="P318" s="1142"/>
      <c r="Q318" s="1142"/>
      <c r="R318" s="1142"/>
      <c r="S318" s="1142"/>
      <c r="T318" s="1143">
        <v>26</v>
      </c>
      <c r="U318" s="1173">
        <v>0.3</v>
      </c>
      <c r="V318" s="1142">
        <f>N318*U318</f>
        <v>1547.7</v>
      </c>
      <c r="W318" s="1142"/>
      <c r="X318" s="1142">
        <f>(N318+V318)*O318+W318</f>
        <v>6706.7</v>
      </c>
      <c r="Y318" s="1112">
        <f>AB318</f>
        <v>6793.3</v>
      </c>
      <c r="Z318" s="1112">
        <f>X318+Y318</f>
        <v>13500</v>
      </c>
      <c r="AA318" s="1109">
        <f>13500*O318</f>
        <v>13500</v>
      </c>
      <c r="AB318" s="1109">
        <f>AA318-X318</f>
        <v>6793.3</v>
      </c>
      <c r="AC318" s="1112">
        <f>6700*O318</f>
        <v>6700</v>
      </c>
      <c r="AD318" s="1142"/>
      <c r="AE318" s="459">
        <f t="shared" si="126"/>
        <v>5159</v>
      </c>
      <c r="AF318" s="459">
        <f t="shared" si="127"/>
        <v>0</v>
      </c>
      <c r="AG318" s="459">
        <f t="shared" si="128"/>
        <v>5159</v>
      </c>
      <c r="AH318" s="459">
        <f t="shared" si="129"/>
        <v>0</v>
      </c>
      <c r="AI318" s="459">
        <f t="shared" si="139"/>
        <v>0</v>
      </c>
      <c r="AJ318" s="459">
        <f t="shared" si="107"/>
        <v>0</v>
      </c>
      <c r="AK318" s="460">
        <f t="shared" si="130"/>
        <v>1547.7</v>
      </c>
      <c r="AL318" s="460">
        <f t="shared" si="131"/>
        <v>0</v>
      </c>
      <c r="AM318" s="460">
        <f t="shared" si="132"/>
        <v>0</v>
      </c>
      <c r="AN318" s="460">
        <f t="shared" si="133"/>
        <v>0</v>
      </c>
      <c r="AO318" s="460">
        <f t="shared" si="134"/>
        <v>0</v>
      </c>
      <c r="AP318" s="460">
        <f t="shared" si="137"/>
        <v>5159</v>
      </c>
      <c r="AQ318" s="460">
        <f t="shared" si="137"/>
        <v>0</v>
      </c>
      <c r="AR318" s="459"/>
      <c r="AS318" s="460">
        <f t="shared" si="125"/>
        <v>5159</v>
      </c>
      <c r="AT318" s="438"/>
    </row>
    <row r="319" spans="1:46" s="461" customFormat="1" ht="24.95" customHeight="1">
      <c r="A319" s="1143"/>
      <c r="B319" s="1143"/>
      <c r="C319" s="1141"/>
      <c r="D319" s="1134"/>
      <c r="E319" s="1134"/>
      <c r="F319" s="1143"/>
      <c r="G319" s="1142"/>
      <c r="H319" s="1142"/>
      <c r="I319" s="1142"/>
      <c r="J319" s="1142"/>
      <c r="K319" s="1142"/>
      <c r="L319" s="1142"/>
      <c r="M319" s="1142"/>
      <c r="N319" s="1142"/>
      <c r="O319" s="1142"/>
      <c r="P319" s="1142"/>
      <c r="Q319" s="1142"/>
      <c r="R319" s="1142"/>
      <c r="S319" s="1142"/>
      <c r="T319" s="1143"/>
      <c r="U319" s="1173"/>
      <c r="V319" s="1142"/>
      <c r="W319" s="1142"/>
      <c r="X319" s="1142"/>
      <c r="Y319" s="1112"/>
      <c r="Z319" s="1112"/>
      <c r="AA319" s="1109"/>
      <c r="AB319" s="1109"/>
      <c r="AC319" s="1112"/>
      <c r="AD319" s="1142"/>
      <c r="AE319" s="459">
        <f t="shared" si="126"/>
        <v>0</v>
      </c>
      <c r="AF319" s="459">
        <f t="shared" si="127"/>
        <v>0</v>
      </c>
      <c r="AG319" s="459">
        <f t="shared" si="128"/>
        <v>0</v>
      </c>
      <c r="AH319" s="459">
        <f t="shared" si="129"/>
        <v>0</v>
      </c>
      <c r="AI319" s="459">
        <f t="shared" si="139"/>
        <v>0</v>
      </c>
      <c r="AJ319" s="459">
        <f t="shared" si="107"/>
        <v>0</v>
      </c>
      <c r="AK319" s="460">
        <f t="shared" si="130"/>
        <v>0</v>
      </c>
      <c r="AL319" s="460">
        <f t="shared" si="131"/>
        <v>0</v>
      </c>
      <c r="AM319" s="460">
        <f t="shared" si="132"/>
        <v>0</v>
      </c>
      <c r="AN319" s="460">
        <f t="shared" si="133"/>
        <v>0</v>
      </c>
      <c r="AO319" s="460">
        <f t="shared" si="134"/>
        <v>0</v>
      </c>
      <c r="AP319" s="460">
        <f t="shared" si="137"/>
        <v>0</v>
      </c>
      <c r="AQ319" s="460">
        <f t="shared" si="137"/>
        <v>0</v>
      </c>
      <c r="AR319" s="459"/>
      <c r="AS319" s="460">
        <f t="shared" si="125"/>
        <v>0</v>
      </c>
      <c r="AT319" s="438"/>
    </row>
    <row r="320" spans="1:46" s="461" customFormat="1" ht="24.95" customHeight="1">
      <c r="A320" s="1143"/>
      <c r="B320" s="1143"/>
      <c r="C320" s="1141" t="s">
        <v>657</v>
      </c>
      <c r="D320" s="1134" t="s">
        <v>659</v>
      </c>
      <c r="E320" s="1134" t="s">
        <v>660</v>
      </c>
      <c r="F320" s="1143">
        <v>9</v>
      </c>
      <c r="G320" s="1142">
        <v>5159</v>
      </c>
      <c r="H320" s="1142"/>
      <c r="I320" s="1142"/>
      <c r="J320" s="1142"/>
      <c r="K320" s="1142"/>
      <c r="L320" s="1142"/>
      <c r="M320" s="1142"/>
      <c r="N320" s="1142">
        <f>G320+H321</f>
        <v>5159</v>
      </c>
      <c r="O320" s="1142">
        <f>0.5+0.5</f>
        <v>1</v>
      </c>
      <c r="P320" s="1142"/>
      <c r="Q320" s="1142"/>
      <c r="R320" s="1142"/>
      <c r="S320" s="1142"/>
      <c r="T320" s="1143">
        <v>34</v>
      </c>
      <c r="U320" s="1173">
        <v>0.3</v>
      </c>
      <c r="V320" s="1142">
        <f>N320*U320</f>
        <v>1547.7</v>
      </c>
      <c r="W320" s="1142"/>
      <c r="X320" s="1142">
        <f>(N320+V320)*O320+W320</f>
        <v>6706.7</v>
      </c>
      <c r="Y320" s="1112">
        <f>AB320</f>
        <v>6793.3</v>
      </c>
      <c r="Z320" s="1112">
        <f>X320+Y320</f>
        <v>13500</v>
      </c>
      <c r="AA320" s="1109">
        <f>13500*O320</f>
        <v>13500</v>
      </c>
      <c r="AB320" s="1109">
        <f>AA320-X320</f>
        <v>6793.3</v>
      </c>
      <c r="AC320" s="1112">
        <f>6700*O320</f>
        <v>6700</v>
      </c>
      <c r="AD320" s="1142"/>
      <c r="AE320" s="459">
        <f t="shared" si="126"/>
        <v>5159</v>
      </c>
      <c r="AF320" s="459">
        <f t="shared" si="127"/>
        <v>0</v>
      </c>
      <c r="AG320" s="459">
        <f t="shared" si="128"/>
        <v>5159</v>
      </c>
      <c r="AH320" s="459">
        <f t="shared" si="129"/>
        <v>0</v>
      </c>
      <c r="AI320" s="459">
        <f t="shared" si="139"/>
        <v>0</v>
      </c>
      <c r="AJ320" s="459">
        <f t="shared" si="107"/>
        <v>0</v>
      </c>
      <c r="AK320" s="460">
        <f t="shared" si="130"/>
        <v>1547.7</v>
      </c>
      <c r="AL320" s="460">
        <f t="shared" si="131"/>
        <v>0</v>
      </c>
      <c r="AM320" s="460">
        <f t="shared" si="132"/>
        <v>0</v>
      </c>
      <c r="AN320" s="460">
        <f t="shared" si="133"/>
        <v>0</v>
      </c>
      <c r="AO320" s="460">
        <f t="shared" si="134"/>
        <v>0</v>
      </c>
      <c r="AP320" s="460">
        <f t="shared" si="137"/>
        <v>5159</v>
      </c>
      <c r="AQ320" s="460">
        <f t="shared" si="137"/>
        <v>0</v>
      </c>
      <c r="AR320" s="459"/>
      <c r="AS320" s="460">
        <f t="shared" si="125"/>
        <v>5159</v>
      </c>
      <c r="AT320" s="438"/>
    </row>
    <row r="321" spans="1:46" s="461" customFormat="1" ht="24.95" customHeight="1">
      <c r="A321" s="1143"/>
      <c r="B321" s="1143"/>
      <c r="C321" s="1141"/>
      <c r="D321" s="1134"/>
      <c r="E321" s="1134"/>
      <c r="F321" s="1143"/>
      <c r="G321" s="1142"/>
      <c r="H321" s="1142"/>
      <c r="I321" s="1142"/>
      <c r="J321" s="1142"/>
      <c r="K321" s="1142"/>
      <c r="L321" s="1142"/>
      <c r="M321" s="1142"/>
      <c r="N321" s="1142"/>
      <c r="O321" s="1142"/>
      <c r="P321" s="1142"/>
      <c r="Q321" s="1142"/>
      <c r="R321" s="1142"/>
      <c r="S321" s="1142"/>
      <c r="T321" s="1143"/>
      <c r="U321" s="1173"/>
      <c r="V321" s="1142"/>
      <c r="W321" s="1142"/>
      <c r="X321" s="1142"/>
      <c r="Y321" s="1112"/>
      <c r="Z321" s="1112"/>
      <c r="AA321" s="1109"/>
      <c r="AB321" s="1109"/>
      <c r="AC321" s="1112"/>
      <c r="AD321" s="1142"/>
      <c r="AE321" s="459">
        <f t="shared" si="126"/>
        <v>0</v>
      </c>
      <c r="AF321" s="459">
        <f t="shared" si="127"/>
        <v>0</v>
      </c>
      <c r="AG321" s="459">
        <f t="shared" si="128"/>
        <v>0</v>
      </c>
      <c r="AH321" s="459">
        <f t="shared" si="129"/>
        <v>0</v>
      </c>
      <c r="AI321" s="459">
        <f t="shared" si="139"/>
        <v>0</v>
      </c>
      <c r="AJ321" s="459">
        <f t="shared" si="139"/>
        <v>0</v>
      </c>
      <c r="AK321" s="460">
        <f t="shared" si="130"/>
        <v>0</v>
      </c>
      <c r="AL321" s="460">
        <f t="shared" si="131"/>
        <v>0</v>
      </c>
      <c r="AM321" s="460">
        <f t="shared" si="132"/>
        <v>0</v>
      </c>
      <c r="AN321" s="460">
        <f t="shared" si="133"/>
        <v>0</v>
      </c>
      <c r="AO321" s="460">
        <f t="shared" si="134"/>
        <v>0</v>
      </c>
      <c r="AP321" s="460">
        <f t="shared" si="137"/>
        <v>0</v>
      </c>
      <c r="AQ321" s="460">
        <f t="shared" si="137"/>
        <v>0</v>
      </c>
      <c r="AR321" s="459"/>
      <c r="AS321" s="460">
        <f t="shared" si="125"/>
        <v>0</v>
      </c>
      <c r="AT321" s="438"/>
    </row>
    <row r="322" spans="1:46" s="461" customFormat="1" ht="24.95" customHeight="1">
      <c r="A322" s="1143"/>
      <c r="B322" s="1143"/>
      <c r="C322" s="1141" t="s">
        <v>657</v>
      </c>
      <c r="D322" s="1134" t="s">
        <v>637</v>
      </c>
      <c r="E322" s="1134" t="s">
        <v>638</v>
      </c>
      <c r="F322" s="1143">
        <v>9</v>
      </c>
      <c r="G322" s="1142">
        <v>5159</v>
      </c>
      <c r="H322" s="1142"/>
      <c r="I322" s="1142"/>
      <c r="J322" s="1142"/>
      <c r="K322" s="1142"/>
      <c r="L322" s="1144"/>
      <c r="M322" s="1144"/>
      <c r="N322" s="1142">
        <f>G322+I323</f>
        <v>5159</v>
      </c>
      <c r="O322" s="1142">
        <v>1</v>
      </c>
      <c r="P322" s="1142"/>
      <c r="Q322" s="1144"/>
      <c r="R322" s="1144"/>
      <c r="S322" s="1144"/>
      <c r="T322" s="1134">
        <v>15</v>
      </c>
      <c r="U322" s="1138">
        <v>0.2</v>
      </c>
      <c r="V322" s="1142">
        <f>N322*U322</f>
        <v>1031.8</v>
      </c>
      <c r="W322" s="1142">
        <f>AD322</f>
        <v>509.20000000000005</v>
      </c>
      <c r="X322" s="1142">
        <f>(N322+V322)*O322+W322</f>
        <v>6700</v>
      </c>
      <c r="Y322" s="1112">
        <f>AB322</f>
        <v>6800</v>
      </c>
      <c r="Z322" s="1112">
        <f>X322+Y322</f>
        <v>13500</v>
      </c>
      <c r="AA322" s="1109">
        <f>13500*O322</f>
        <v>13500</v>
      </c>
      <c r="AB322" s="1109">
        <f>AA322-X322</f>
        <v>6800</v>
      </c>
      <c r="AC322" s="1112">
        <f>6700*O322</f>
        <v>6700</v>
      </c>
      <c r="AD322" s="1142">
        <f>AC322-(N322*O322)-V322</f>
        <v>509.20000000000005</v>
      </c>
      <c r="AE322" s="459">
        <f t="shared" si="126"/>
        <v>5159</v>
      </c>
      <c r="AF322" s="459">
        <f t="shared" si="127"/>
        <v>0</v>
      </c>
      <c r="AG322" s="459">
        <f t="shared" si="128"/>
        <v>5159</v>
      </c>
      <c r="AH322" s="459">
        <f t="shared" si="129"/>
        <v>0</v>
      </c>
      <c r="AI322" s="459">
        <f t="shared" si="139"/>
        <v>0</v>
      </c>
      <c r="AJ322" s="459">
        <f t="shared" si="139"/>
        <v>0</v>
      </c>
      <c r="AK322" s="460">
        <f t="shared" si="130"/>
        <v>1031.8</v>
      </c>
      <c r="AL322" s="460">
        <f t="shared" si="131"/>
        <v>0</v>
      </c>
      <c r="AM322" s="460">
        <f t="shared" si="132"/>
        <v>509.20000000000005</v>
      </c>
      <c r="AN322" s="460">
        <f t="shared" si="133"/>
        <v>0</v>
      </c>
      <c r="AO322" s="460">
        <f t="shared" si="134"/>
        <v>0</v>
      </c>
      <c r="AP322" s="460">
        <f t="shared" si="137"/>
        <v>5159</v>
      </c>
      <c r="AQ322" s="460">
        <f t="shared" si="137"/>
        <v>0</v>
      </c>
      <c r="AR322" s="459"/>
      <c r="AS322" s="460">
        <f t="shared" si="125"/>
        <v>5159</v>
      </c>
      <c r="AT322" s="438"/>
    </row>
    <row r="323" spans="1:46" s="461" customFormat="1" ht="24.95" customHeight="1">
      <c r="A323" s="1143"/>
      <c r="B323" s="1143"/>
      <c r="C323" s="1141"/>
      <c r="D323" s="1134"/>
      <c r="E323" s="1134"/>
      <c r="F323" s="1143"/>
      <c r="G323" s="1142"/>
      <c r="H323" s="1142"/>
      <c r="I323" s="1142"/>
      <c r="J323" s="1142"/>
      <c r="K323" s="1142"/>
      <c r="L323" s="1144"/>
      <c r="M323" s="1144"/>
      <c r="N323" s="1142"/>
      <c r="O323" s="1142"/>
      <c r="P323" s="1142"/>
      <c r="Q323" s="1144"/>
      <c r="R323" s="1144"/>
      <c r="S323" s="1144"/>
      <c r="T323" s="1134"/>
      <c r="U323" s="1138"/>
      <c r="V323" s="1142"/>
      <c r="W323" s="1142"/>
      <c r="X323" s="1142"/>
      <c r="Y323" s="1112"/>
      <c r="Z323" s="1112"/>
      <c r="AA323" s="1109"/>
      <c r="AB323" s="1109"/>
      <c r="AC323" s="1112"/>
      <c r="AD323" s="1142"/>
      <c r="AE323" s="459">
        <f t="shared" si="126"/>
        <v>0</v>
      </c>
      <c r="AF323" s="459">
        <f t="shared" si="127"/>
        <v>0</v>
      </c>
      <c r="AG323" s="459">
        <f t="shared" si="128"/>
        <v>0</v>
      </c>
      <c r="AH323" s="459">
        <f t="shared" si="129"/>
        <v>0</v>
      </c>
      <c r="AI323" s="459">
        <f t="shared" si="139"/>
        <v>0</v>
      </c>
      <c r="AJ323" s="459">
        <f t="shared" si="139"/>
        <v>0</v>
      </c>
      <c r="AK323" s="460">
        <f t="shared" si="130"/>
        <v>0</v>
      </c>
      <c r="AL323" s="460">
        <f t="shared" si="131"/>
        <v>0</v>
      </c>
      <c r="AM323" s="460">
        <f t="shared" si="132"/>
        <v>0</v>
      </c>
      <c r="AN323" s="460">
        <f t="shared" si="133"/>
        <v>0</v>
      </c>
      <c r="AO323" s="460">
        <f t="shared" si="134"/>
        <v>0</v>
      </c>
      <c r="AP323" s="460">
        <f t="shared" si="137"/>
        <v>0</v>
      </c>
      <c r="AQ323" s="460">
        <f t="shared" si="137"/>
        <v>0</v>
      </c>
      <c r="AR323" s="459"/>
      <c r="AS323" s="460">
        <f t="shared" si="125"/>
        <v>0</v>
      </c>
      <c r="AT323" s="438"/>
    </row>
    <row r="324" spans="1:46" s="461" customFormat="1" ht="24.95" customHeight="1">
      <c r="A324" s="1143"/>
      <c r="B324" s="1143"/>
      <c r="C324" s="1141" t="s">
        <v>657</v>
      </c>
      <c r="D324" s="1134" t="s">
        <v>628</v>
      </c>
      <c r="E324" s="1134" t="s">
        <v>667</v>
      </c>
      <c r="F324" s="1143">
        <v>9</v>
      </c>
      <c r="G324" s="1142">
        <v>5159</v>
      </c>
      <c r="H324" s="1142"/>
      <c r="I324" s="1173"/>
      <c r="J324" s="1173"/>
      <c r="K324" s="1142"/>
      <c r="L324" s="1144"/>
      <c r="M324" s="1144"/>
      <c r="N324" s="1142">
        <f>G324+I325</f>
        <v>5159</v>
      </c>
      <c r="O324" s="1142">
        <v>1</v>
      </c>
      <c r="P324" s="1142"/>
      <c r="Q324" s="1144"/>
      <c r="R324" s="1144"/>
      <c r="S324" s="1144"/>
      <c r="T324" s="1134">
        <v>20</v>
      </c>
      <c r="U324" s="1138">
        <v>0.2</v>
      </c>
      <c r="V324" s="1142">
        <f>N324*U324</f>
        <v>1031.8</v>
      </c>
      <c r="W324" s="1142">
        <f>AD324</f>
        <v>509.20000000000005</v>
      </c>
      <c r="X324" s="1142">
        <f>(N324+V324)*O324+W324</f>
        <v>6700</v>
      </c>
      <c r="Y324" s="1112">
        <f>AB324</f>
        <v>6800</v>
      </c>
      <c r="Z324" s="1112">
        <f>X324+Y324</f>
        <v>13500</v>
      </c>
      <c r="AA324" s="1109">
        <f>13500*O324</f>
        <v>13500</v>
      </c>
      <c r="AB324" s="1109">
        <f>AA324-X324</f>
        <v>6800</v>
      </c>
      <c r="AC324" s="1112">
        <f>6700*O324</f>
        <v>6700</v>
      </c>
      <c r="AD324" s="1142">
        <f>AC324-(N324*O324)-V324</f>
        <v>509.20000000000005</v>
      </c>
      <c r="AE324" s="459">
        <f>G324*O324</f>
        <v>5159</v>
      </c>
      <c r="AF324" s="459">
        <f>G324*P324</f>
        <v>0</v>
      </c>
      <c r="AG324" s="459">
        <f>N324*O324</f>
        <v>5159</v>
      </c>
      <c r="AH324" s="459">
        <f>N324*P324</f>
        <v>0</v>
      </c>
      <c r="AI324" s="459">
        <f>AG324-AE324</f>
        <v>0</v>
      </c>
      <c r="AJ324" s="459">
        <f>AH324-AF324</f>
        <v>0</v>
      </c>
      <c r="AK324" s="460">
        <f>V324*O324</f>
        <v>1031.8</v>
      </c>
      <c r="AL324" s="460">
        <f>V324*P324</f>
        <v>0</v>
      </c>
      <c r="AM324" s="460">
        <f>W324</f>
        <v>509.20000000000005</v>
      </c>
      <c r="AN324" s="460">
        <f>S324*O324</f>
        <v>0</v>
      </c>
      <c r="AO324" s="460">
        <f>S324*P324</f>
        <v>0</v>
      </c>
      <c r="AP324" s="460">
        <f>AG324</f>
        <v>5159</v>
      </c>
      <c r="AQ324" s="460">
        <f>AH324</f>
        <v>0</v>
      </c>
      <c r="AR324" s="459"/>
      <c r="AS324" s="460">
        <f>AP324+AQ324-AR324</f>
        <v>5159</v>
      </c>
      <c r="AT324" s="438"/>
    </row>
    <row r="325" spans="1:46" s="461" customFormat="1" ht="24.95" customHeight="1">
      <c r="A325" s="1143"/>
      <c r="B325" s="1143"/>
      <c r="C325" s="1141"/>
      <c r="D325" s="1134"/>
      <c r="E325" s="1134"/>
      <c r="F325" s="1143"/>
      <c r="G325" s="1142"/>
      <c r="H325" s="1142"/>
      <c r="I325" s="1143"/>
      <c r="J325" s="1143"/>
      <c r="K325" s="1142"/>
      <c r="L325" s="1144"/>
      <c r="M325" s="1144"/>
      <c r="N325" s="1142"/>
      <c r="O325" s="1142"/>
      <c r="P325" s="1142"/>
      <c r="Q325" s="1144"/>
      <c r="R325" s="1144"/>
      <c r="S325" s="1144"/>
      <c r="T325" s="1134"/>
      <c r="U325" s="1138"/>
      <c r="V325" s="1142"/>
      <c r="W325" s="1142"/>
      <c r="X325" s="1142"/>
      <c r="Y325" s="1112"/>
      <c r="Z325" s="1112"/>
      <c r="AA325" s="1109"/>
      <c r="AB325" s="1109"/>
      <c r="AC325" s="1112"/>
      <c r="AD325" s="1142"/>
      <c r="AE325" s="459">
        <f>G325*O325</f>
        <v>0</v>
      </c>
      <c r="AF325" s="459">
        <f>G325*P325</f>
        <v>0</v>
      </c>
      <c r="AG325" s="459">
        <f>N325*O325</f>
        <v>0</v>
      </c>
      <c r="AH325" s="459">
        <f>N325*P325</f>
        <v>0</v>
      </c>
      <c r="AI325" s="459">
        <f>AG325-AE325</f>
        <v>0</v>
      </c>
      <c r="AJ325" s="459">
        <f>AH325-AF325</f>
        <v>0</v>
      </c>
      <c r="AK325" s="460">
        <f>V325*O325</f>
        <v>0</v>
      </c>
      <c r="AL325" s="460">
        <f>V325*P325</f>
        <v>0</v>
      </c>
      <c r="AM325" s="460">
        <f>W325</f>
        <v>0</v>
      </c>
      <c r="AN325" s="460">
        <f>S325*O325</f>
        <v>0</v>
      </c>
      <c r="AO325" s="460">
        <f>S325*P325</f>
        <v>0</v>
      </c>
      <c r="AP325" s="460">
        <f>AG325</f>
        <v>0</v>
      </c>
      <c r="AQ325" s="460">
        <f>AH325</f>
        <v>0</v>
      </c>
      <c r="AR325" s="459"/>
      <c r="AS325" s="460">
        <f>AP325+AQ325-AR325</f>
        <v>0</v>
      </c>
      <c r="AT325" s="438"/>
    </row>
    <row r="326" spans="1:46" s="461" customFormat="1" ht="24.95" customHeight="1">
      <c r="A326" s="1143"/>
      <c r="B326" s="1143"/>
      <c r="C326" s="1141" t="s">
        <v>657</v>
      </c>
      <c r="D326" s="1134" t="s">
        <v>639</v>
      </c>
      <c r="E326" s="1134" t="s">
        <v>640</v>
      </c>
      <c r="F326" s="1143">
        <v>9</v>
      </c>
      <c r="G326" s="1142">
        <v>5159</v>
      </c>
      <c r="H326" s="1142"/>
      <c r="I326" s="1173"/>
      <c r="J326" s="1173"/>
      <c r="K326" s="1142"/>
      <c r="L326" s="1144"/>
      <c r="M326" s="1144"/>
      <c r="N326" s="1142">
        <f>G326+I327</f>
        <v>5159</v>
      </c>
      <c r="O326" s="1142">
        <v>1</v>
      </c>
      <c r="P326" s="1142"/>
      <c r="Q326" s="1144"/>
      <c r="R326" s="1144"/>
      <c r="S326" s="1144"/>
      <c r="T326" s="1134">
        <v>34</v>
      </c>
      <c r="U326" s="1138">
        <v>0.3</v>
      </c>
      <c r="V326" s="1142">
        <f>N326*U326</f>
        <v>1547.7</v>
      </c>
      <c r="W326" s="1142"/>
      <c r="X326" s="1142">
        <f>(N326+V326)*O326+W326</f>
        <v>6706.7</v>
      </c>
      <c r="Y326" s="1112">
        <f>AB326</f>
        <v>6793.3</v>
      </c>
      <c r="Z326" s="1112">
        <f>X326+Y326</f>
        <v>13500</v>
      </c>
      <c r="AA326" s="1109">
        <f>13500*O326</f>
        <v>13500</v>
      </c>
      <c r="AB326" s="1109">
        <f>AA326-X326</f>
        <v>6793.3</v>
      </c>
      <c r="AC326" s="1112">
        <f>6700*O326</f>
        <v>6700</v>
      </c>
      <c r="AD326" s="1142"/>
      <c r="AE326" s="459">
        <f t="shared" si="126"/>
        <v>5159</v>
      </c>
      <c r="AF326" s="459">
        <f t="shared" si="127"/>
        <v>0</v>
      </c>
      <c r="AG326" s="459">
        <f t="shared" si="128"/>
        <v>5159</v>
      </c>
      <c r="AH326" s="459">
        <f t="shared" si="129"/>
        <v>0</v>
      </c>
      <c r="AI326" s="459">
        <f t="shared" si="139"/>
        <v>0</v>
      </c>
      <c r="AJ326" s="459">
        <f t="shared" si="139"/>
        <v>0</v>
      </c>
      <c r="AK326" s="460">
        <f t="shared" si="130"/>
        <v>1547.7</v>
      </c>
      <c r="AL326" s="460">
        <f t="shared" si="131"/>
        <v>0</v>
      </c>
      <c r="AM326" s="460">
        <f t="shared" si="132"/>
        <v>0</v>
      </c>
      <c r="AN326" s="460">
        <f t="shared" si="133"/>
        <v>0</v>
      </c>
      <c r="AO326" s="460">
        <f t="shared" si="134"/>
        <v>0</v>
      </c>
      <c r="AP326" s="460">
        <f t="shared" si="137"/>
        <v>5159</v>
      </c>
      <c r="AQ326" s="460">
        <f t="shared" si="137"/>
        <v>0</v>
      </c>
      <c r="AR326" s="459"/>
      <c r="AS326" s="460">
        <f t="shared" si="125"/>
        <v>5159</v>
      </c>
      <c r="AT326" s="438"/>
    </row>
    <row r="327" spans="1:46" s="461" customFormat="1" ht="24.95" customHeight="1">
      <c r="A327" s="1143"/>
      <c r="B327" s="1143"/>
      <c r="C327" s="1141"/>
      <c r="D327" s="1134"/>
      <c r="E327" s="1134"/>
      <c r="F327" s="1143"/>
      <c r="G327" s="1142"/>
      <c r="H327" s="1142"/>
      <c r="I327" s="1143"/>
      <c r="J327" s="1143"/>
      <c r="K327" s="1142"/>
      <c r="L327" s="1144"/>
      <c r="M327" s="1144"/>
      <c r="N327" s="1142"/>
      <c r="O327" s="1142"/>
      <c r="P327" s="1142"/>
      <c r="Q327" s="1144"/>
      <c r="R327" s="1144"/>
      <c r="S327" s="1144"/>
      <c r="T327" s="1134"/>
      <c r="U327" s="1138"/>
      <c r="V327" s="1142"/>
      <c r="W327" s="1142"/>
      <c r="X327" s="1142"/>
      <c r="Y327" s="1112"/>
      <c r="Z327" s="1112"/>
      <c r="AA327" s="1109"/>
      <c r="AB327" s="1109"/>
      <c r="AC327" s="1112"/>
      <c r="AD327" s="1142"/>
      <c r="AE327" s="459">
        <f t="shared" si="126"/>
        <v>0</v>
      </c>
      <c r="AF327" s="459">
        <f t="shared" si="127"/>
        <v>0</v>
      </c>
      <c r="AG327" s="459">
        <f t="shared" si="128"/>
        <v>0</v>
      </c>
      <c r="AH327" s="459">
        <f t="shared" si="129"/>
        <v>0</v>
      </c>
      <c r="AI327" s="459">
        <f t="shared" si="139"/>
        <v>0</v>
      </c>
      <c r="AJ327" s="459">
        <f t="shared" si="139"/>
        <v>0</v>
      </c>
      <c r="AK327" s="460">
        <f t="shared" si="130"/>
        <v>0</v>
      </c>
      <c r="AL327" s="460">
        <f t="shared" si="131"/>
        <v>0</v>
      </c>
      <c r="AM327" s="460">
        <f t="shared" si="132"/>
        <v>0</v>
      </c>
      <c r="AN327" s="460">
        <f t="shared" si="133"/>
        <v>0</v>
      </c>
      <c r="AO327" s="460">
        <f t="shared" si="134"/>
        <v>0</v>
      </c>
      <c r="AP327" s="460">
        <f t="shared" si="137"/>
        <v>0</v>
      </c>
      <c r="AQ327" s="460">
        <f t="shared" si="137"/>
        <v>0</v>
      </c>
      <c r="AR327" s="459"/>
      <c r="AS327" s="460">
        <f t="shared" si="125"/>
        <v>0</v>
      </c>
      <c r="AT327" s="438"/>
    </row>
    <row r="328" spans="1:46" s="446" customFormat="1" ht="24.95" customHeight="1">
      <c r="A328" s="441"/>
      <c r="B328" s="441"/>
      <c r="C328" s="442" t="s">
        <v>318</v>
      </c>
      <c r="D328" s="443"/>
      <c r="E328" s="441"/>
      <c r="F328" s="441"/>
      <c r="G328" s="444">
        <f>SUM(G316:G327)</f>
        <v>30954</v>
      </c>
      <c r="H328" s="441">
        <f>H317</f>
        <v>515.9</v>
      </c>
      <c r="I328" s="441"/>
      <c r="J328" s="441"/>
      <c r="K328" s="441"/>
      <c r="L328" s="441"/>
      <c r="M328" s="441"/>
      <c r="N328" s="444">
        <f>SUM(N316:N327)</f>
        <v>31469.9</v>
      </c>
      <c r="O328" s="444">
        <f>SUM(O316:O327)</f>
        <v>6</v>
      </c>
      <c r="P328" s="444">
        <f>SUM(P316:P327)</f>
        <v>0</v>
      </c>
      <c r="Q328" s="444"/>
      <c r="R328" s="444"/>
      <c r="S328" s="444"/>
      <c r="T328" s="444"/>
      <c r="U328" s="444"/>
      <c r="V328" s="444">
        <f t="shared" ref="V328:AD328" si="140">SUM(V316:V327)</f>
        <v>7841.68</v>
      </c>
      <c r="W328" s="444">
        <f t="shared" si="140"/>
        <v>1018.4000000000001</v>
      </c>
      <c r="X328" s="444">
        <f t="shared" si="140"/>
        <v>40329.979999999996</v>
      </c>
      <c r="Y328" s="444">
        <f t="shared" si="140"/>
        <v>40670.020000000004</v>
      </c>
      <c r="Z328" s="444">
        <f t="shared" si="140"/>
        <v>81000</v>
      </c>
      <c r="AA328" s="499">
        <f t="shared" si="140"/>
        <v>81000</v>
      </c>
      <c r="AB328" s="499">
        <f t="shared" si="140"/>
        <v>40670.020000000004</v>
      </c>
      <c r="AC328" s="444">
        <f t="shared" si="140"/>
        <v>40200</v>
      </c>
      <c r="AD328" s="444">
        <f t="shared" si="140"/>
        <v>1018.4000000000001</v>
      </c>
      <c r="AE328" s="436"/>
      <c r="AF328" s="436"/>
      <c r="AG328" s="436"/>
      <c r="AH328" s="436"/>
      <c r="AI328" s="436"/>
      <c r="AJ328" s="436"/>
      <c r="AK328" s="437"/>
      <c r="AL328" s="437"/>
      <c r="AM328" s="437"/>
      <c r="AN328" s="437"/>
      <c r="AO328" s="437"/>
      <c r="AP328" s="437">
        <f t="shared" si="137"/>
        <v>0</v>
      </c>
      <c r="AQ328" s="437">
        <f t="shared" si="137"/>
        <v>0</v>
      </c>
      <c r="AR328" s="436"/>
      <c r="AS328" s="437">
        <f t="shared" si="125"/>
        <v>0</v>
      </c>
      <c r="AT328" s="457"/>
    </row>
    <row r="329" spans="1:46" s="456" customFormat="1" ht="24.95" customHeight="1">
      <c r="A329" s="455"/>
      <c r="B329" s="455"/>
      <c r="C329" s="1136" t="s">
        <v>1057</v>
      </c>
      <c r="D329" s="1136"/>
      <c r="E329" s="455"/>
      <c r="F329" s="455"/>
      <c r="G329" s="455"/>
      <c r="H329" s="455"/>
      <c r="I329" s="455"/>
      <c r="J329" s="455"/>
      <c r="K329" s="455"/>
      <c r="L329" s="455"/>
      <c r="M329" s="455"/>
      <c r="N329" s="455"/>
      <c r="O329" s="455"/>
      <c r="P329" s="455"/>
      <c r="Q329" s="455"/>
      <c r="R329" s="455"/>
      <c r="S329" s="455"/>
      <c r="T329" s="455"/>
      <c r="U329" s="455"/>
      <c r="V329" s="455"/>
      <c r="W329" s="455"/>
      <c r="X329" s="455"/>
      <c r="Y329" s="455"/>
      <c r="Z329" s="455"/>
      <c r="AA329" s="504"/>
      <c r="AB329" s="504"/>
      <c r="AC329" s="455"/>
      <c r="AD329" s="455"/>
      <c r="AE329" s="436">
        <f t="shared" si="126"/>
        <v>0</v>
      </c>
      <c r="AF329" s="436">
        <f t="shared" si="127"/>
        <v>0</v>
      </c>
      <c r="AG329" s="436">
        <f t="shared" si="128"/>
        <v>0</v>
      </c>
      <c r="AH329" s="436">
        <f t="shared" si="129"/>
        <v>0</v>
      </c>
      <c r="AI329" s="436">
        <f t="shared" si="139"/>
        <v>0</v>
      </c>
      <c r="AJ329" s="436">
        <f t="shared" si="139"/>
        <v>0</v>
      </c>
      <c r="AK329" s="437">
        <f t="shared" si="130"/>
        <v>0</v>
      </c>
      <c r="AL329" s="437">
        <f t="shared" si="131"/>
        <v>0</v>
      </c>
      <c r="AM329" s="437">
        <f t="shared" si="132"/>
        <v>0</v>
      </c>
      <c r="AN329" s="437">
        <f t="shared" si="133"/>
        <v>0</v>
      </c>
      <c r="AO329" s="437">
        <f t="shared" si="134"/>
        <v>0</v>
      </c>
      <c r="AP329" s="437">
        <f t="shared" si="137"/>
        <v>0</v>
      </c>
      <c r="AQ329" s="437">
        <f t="shared" si="137"/>
        <v>0</v>
      </c>
      <c r="AR329" s="436"/>
      <c r="AS329" s="437">
        <f t="shared" si="125"/>
        <v>0</v>
      </c>
      <c r="AT329" s="457"/>
    </row>
    <row r="330" spans="1:46" s="438" customFormat="1" ht="24.95" customHeight="1">
      <c r="A330" s="1134"/>
      <c r="B330" s="1134"/>
      <c r="C330" s="1141" t="s">
        <v>590</v>
      </c>
      <c r="D330" s="1134" t="s">
        <v>577</v>
      </c>
      <c r="E330" s="1134" t="s">
        <v>632</v>
      </c>
      <c r="F330" s="1134">
        <v>9</v>
      </c>
      <c r="G330" s="1112">
        <v>5159</v>
      </c>
      <c r="H330" s="435">
        <v>0.1</v>
      </c>
      <c r="I330" s="1112"/>
      <c r="J330" s="1112"/>
      <c r="K330" s="1112"/>
      <c r="L330" s="1112"/>
      <c r="M330" s="1112"/>
      <c r="N330" s="1112">
        <f>G330+H331</f>
        <v>5674.9</v>
      </c>
      <c r="O330" s="1112">
        <v>1</v>
      </c>
      <c r="P330" s="1112"/>
      <c r="Q330" s="1112"/>
      <c r="R330" s="1112"/>
      <c r="S330" s="1112"/>
      <c r="T330" s="1134">
        <v>31</v>
      </c>
      <c r="U330" s="1138">
        <v>0.3</v>
      </c>
      <c r="V330" s="1112">
        <f>N330*U330</f>
        <v>1702.4699999999998</v>
      </c>
      <c r="W330" s="1112"/>
      <c r="X330" s="1112">
        <f>(N330+V330)*O330+W330</f>
        <v>7377.369999999999</v>
      </c>
      <c r="Y330" s="1112">
        <f>AB330</f>
        <v>6122.630000000001</v>
      </c>
      <c r="Z330" s="1112">
        <f>X330+Y330</f>
        <v>13500</v>
      </c>
      <c r="AA330" s="1109">
        <f>13500*O330</f>
        <v>13500</v>
      </c>
      <c r="AB330" s="1109">
        <f>AA330-X330</f>
        <v>6122.630000000001</v>
      </c>
      <c r="AC330" s="1112">
        <f>6700*O330</f>
        <v>6700</v>
      </c>
      <c r="AD330" s="1142"/>
      <c r="AE330" s="436">
        <f t="shared" si="126"/>
        <v>5159</v>
      </c>
      <c r="AF330" s="436">
        <f t="shared" si="127"/>
        <v>0</v>
      </c>
      <c r="AG330" s="436">
        <f t="shared" si="128"/>
        <v>5674.9</v>
      </c>
      <c r="AH330" s="436">
        <f t="shared" si="129"/>
        <v>0</v>
      </c>
      <c r="AI330" s="436">
        <f t="shared" si="139"/>
        <v>515.89999999999964</v>
      </c>
      <c r="AJ330" s="436">
        <f t="shared" si="139"/>
        <v>0</v>
      </c>
      <c r="AK330" s="437">
        <f t="shared" si="130"/>
        <v>1702.4699999999998</v>
      </c>
      <c r="AL330" s="437">
        <f t="shared" si="131"/>
        <v>0</v>
      </c>
      <c r="AM330" s="437">
        <f t="shared" si="132"/>
        <v>0</v>
      </c>
      <c r="AN330" s="437">
        <f t="shared" si="133"/>
        <v>0</v>
      </c>
      <c r="AO330" s="437">
        <f t="shared" si="134"/>
        <v>0</v>
      </c>
      <c r="AP330" s="437">
        <f t="shared" si="137"/>
        <v>5674.9</v>
      </c>
      <c r="AQ330" s="437">
        <f t="shared" si="137"/>
        <v>0</v>
      </c>
      <c r="AR330" s="436"/>
      <c r="AS330" s="437">
        <f t="shared" si="125"/>
        <v>5674.9</v>
      </c>
    </row>
    <row r="331" spans="1:46" s="438" customFormat="1" ht="24.95" customHeight="1">
      <c r="A331" s="1134"/>
      <c r="B331" s="1134"/>
      <c r="C331" s="1141"/>
      <c r="D331" s="1134"/>
      <c r="E331" s="1134"/>
      <c r="F331" s="1134"/>
      <c r="G331" s="1112"/>
      <c r="H331" s="449">
        <f>G330*H330</f>
        <v>515.9</v>
      </c>
      <c r="I331" s="1112"/>
      <c r="J331" s="1112"/>
      <c r="K331" s="1112"/>
      <c r="L331" s="1112"/>
      <c r="M331" s="1112"/>
      <c r="N331" s="1112"/>
      <c r="O331" s="1112"/>
      <c r="P331" s="1112"/>
      <c r="Q331" s="1112"/>
      <c r="R331" s="1112"/>
      <c r="S331" s="1112"/>
      <c r="T331" s="1134"/>
      <c r="U331" s="1138"/>
      <c r="V331" s="1112"/>
      <c r="W331" s="1112"/>
      <c r="X331" s="1112"/>
      <c r="Y331" s="1112"/>
      <c r="Z331" s="1112"/>
      <c r="AA331" s="1109"/>
      <c r="AB331" s="1109"/>
      <c r="AC331" s="1112"/>
      <c r="AD331" s="1142"/>
      <c r="AE331" s="436">
        <f t="shared" si="126"/>
        <v>0</v>
      </c>
      <c r="AF331" s="436">
        <f t="shared" si="127"/>
        <v>0</v>
      </c>
      <c r="AG331" s="436">
        <f t="shared" si="128"/>
        <v>0</v>
      </c>
      <c r="AH331" s="436">
        <f t="shared" si="129"/>
        <v>0</v>
      </c>
      <c r="AI331" s="436">
        <f t="shared" ref="AI331:AJ359" si="141">AG331-AE331</f>
        <v>0</v>
      </c>
      <c r="AJ331" s="436">
        <f t="shared" si="141"/>
        <v>0</v>
      </c>
      <c r="AK331" s="437">
        <f t="shared" si="130"/>
        <v>0</v>
      </c>
      <c r="AL331" s="437">
        <f t="shared" si="131"/>
        <v>0</v>
      </c>
      <c r="AM331" s="437">
        <f t="shared" si="132"/>
        <v>0</v>
      </c>
      <c r="AN331" s="437">
        <f t="shared" si="133"/>
        <v>0</v>
      </c>
      <c r="AO331" s="437">
        <f t="shared" si="134"/>
        <v>0</v>
      </c>
      <c r="AP331" s="437">
        <f t="shared" si="137"/>
        <v>0</v>
      </c>
      <c r="AQ331" s="437">
        <f t="shared" si="137"/>
        <v>0</v>
      </c>
      <c r="AR331" s="436"/>
      <c r="AS331" s="437">
        <f t="shared" si="125"/>
        <v>0</v>
      </c>
    </row>
    <row r="332" spans="1:46" s="438" customFormat="1" ht="24.95" customHeight="1">
      <c r="A332" s="1134"/>
      <c r="B332" s="1134"/>
      <c r="C332" s="1139" t="s">
        <v>564</v>
      </c>
      <c r="D332" s="1134" t="s">
        <v>620</v>
      </c>
      <c r="E332" s="1134" t="s">
        <v>621</v>
      </c>
      <c r="F332" s="1134">
        <v>9</v>
      </c>
      <c r="G332" s="1112">
        <v>5159</v>
      </c>
      <c r="H332" s="1112"/>
      <c r="I332" s="1138"/>
      <c r="J332" s="1138"/>
      <c r="K332" s="1112"/>
      <c r="L332" s="1140"/>
      <c r="M332" s="1140"/>
      <c r="N332" s="1112">
        <f>G332+I333</f>
        <v>5159</v>
      </c>
      <c r="O332" s="1112">
        <v>1</v>
      </c>
      <c r="P332" s="1112"/>
      <c r="Q332" s="1140"/>
      <c r="R332" s="1140"/>
      <c r="S332" s="1140"/>
      <c r="T332" s="1134">
        <v>30</v>
      </c>
      <c r="U332" s="1138">
        <v>0.3</v>
      </c>
      <c r="V332" s="1112">
        <f>N332*U332</f>
        <v>1547.7</v>
      </c>
      <c r="W332" s="1112"/>
      <c r="X332" s="1112">
        <f>(N332+V332)*O332+W332</f>
        <v>6706.7</v>
      </c>
      <c r="Y332" s="1112">
        <f>AB332</f>
        <v>6793.3</v>
      </c>
      <c r="Z332" s="1112">
        <f>X332+Y332</f>
        <v>13500</v>
      </c>
      <c r="AA332" s="1109">
        <f>13500*O332</f>
        <v>13500</v>
      </c>
      <c r="AB332" s="1109">
        <f>AA332-X332</f>
        <v>6793.3</v>
      </c>
      <c r="AC332" s="1112">
        <f>6700*O332</f>
        <v>6700</v>
      </c>
      <c r="AD332" s="1142"/>
      <c r="AE332" s="436">
        <f t="shared" si="126"/>
        <v>5159</v>
      </c>
      <c r="AF332" s="436">
        <f t="shared" si="127"/>
        <v>0</v>
      </c>
      <c r="AG332" s="436">
        <f t="shared" si="128"/>
        <v>5159</v>
      </c>
      <c r="AH332" s="436">
        <f t="shared" si="129"/>
        <v>0</v>
      </c>
      <c r="AI332" s="436">
        <f t="shared" si="141"/>
        <v>0</v>
      </c>
      <c r="AJ332" s="436">
        <f t="shared" si="141"/>
        <v>0</v>
      </c>
      <c r="AK332" s="437">
        <f t="shared" si="130"/>
        <v>1547.7</v>
      </c>
      <c r="AL332" s="437">
        <f t="shared" si="131"/>
        <v>0</v>
      </c>
      <c r="AM332" s="437">
        <f t="shared" si="132"/>
        <v>0</v>
      </c>
      <c r="AN332" s="437">
        <f t="shared" si="133"/>
        <v>0</v>
      </c>
      <c r="AO332" s="437">
        <f t="shared" si="134"/>
        <v>0</v>
      </c>
      <c r="AP332" s="437">
        <f t="shared" si="137"/>
        <v>5159</v>
      </c>
      <c r="AQ332" s="437">
        <f t="shared" si="137"/>
        <v>0</v>
      </c>
      <c r="AR332" s="436"/>
      <c r="AS332" s="437">
        <f t="shared" si="125"/>
        <v>5159</v>
      </c>
    </row>
    <row r="333" spans="1:46" s="438" customFormat="1" ht="24.95" customHeight="1">
      <c r="A333" s="1134"/>
      <c r="B333" s="1134"/>
      <c r="C333" s="1139"/>
      <c r="D333" s="1134"/>
      <c r="E333" s="1134"/>
      <c r="F333" s="1134"/>
      <c r="G333" s="1112"/>
      <c r="H333" s="1112"/>
      <c r="I333" s="1134"/>
      <c r="J333" s="1134"/>
      <c r="K333" s="1112"/>
      <c r="L333" s="1140"/>
      <c r="M333" s="1140"/>
      <c r="N333" s="1112"/>
      <c r="O333" s="1112"/>
      <c r="P333" s="1112"/>
      <c r="Q333" s="1140"/>
      <c r="R333" s="1140"/>
      <c r="S333" s="1140"/>
      <c r="T333" s="1134"/>
      <c r="U333" s="1138"/>
      <c r="V333" s="1112"/>
      <c r="W333" s="1112"/>
      <c r="X333" s="1112"/>
      <c r="Y333" s="1112"/>
      <c r="Z333" s="1112"/>
      <c r="AA333" s="1109"/>
      <c r="AB333" s="1109"/>
      <c r="AC333" s="1112"/>
      <c r="AD333" s="1142"/>
      <c r="AE333" s="436">
        <f t="shared" si="126"/>
        <v>0</v>
      </c>
      <c r="AF333" s="436">
        <f t="shared" si="127"/>
        <v>0</v>
      </c>
      <c r="AG333" s="436">
        <f t="shared" si="128"/>
        <v>0</v>
      </c>
      <c r="AH333" s="436">
        <f t="shared" si="129"/>
        <v>0</v>
      </c>
      <c r="AI333" s="436">
        <f t="shared" si="141"/>
        <v>0</v>
      </c>
      <c r="AJ333" s="436">
        <f t="shared" si="141"/>
        <v>0</v>
      </c>
      <c r="AK333" s="437">
        <f t="shared" si="130"/>
        <v>0</v>
      </c>
      <c r="AL333" s="437">
        <f t="shared" si="131"/>
        <v>0</v>
      </c>
      <c r="AM333" s="437">
        <f t="shared" si="132"/>
        <v>0</v>
      </c>
      <c r="AN333" s="437">
        <f t="shared" si="133"/>
        <v>0</v>
      </c>
      <c r="AO333" s="437">
        <f t="shared" si="134"/>
        <v>0</v>
      </c>
      <c r="AP333" s="437">
        <f t="shared" si="137"/>
        <v>0</v>
      </c>
      <c r="AQ333" s="437">
        <f t="shared" si="137"/>
        <v>0</v>
      </c>
      <c r="AR333" s="436"/>
      <c r="AS333" s="437">
        <f t="shared" si="125"/>
        <v>0</v>
      </c>
    </row>
    <row r="334" spans="1:46" s="438" customFormat="1" ht="24.95" customHeight="1">
      <c r="A334" s="1134"/>
      <c r="B334" s="1134"/>
      <c r="C334" s="1139" t="s">
        <v>564</v>
      </c>
      <c r="D334" s="1134" t="s">
        <v>622</v>
      </c>
      <c r="E334" s="1134" t="s">
        <v>623</v>
      </c>
      <c r="F334" s="1134">
        <v>9</v>
      </c>
      <c r="G334" s="1112">
        <v>5159</v>
      </c>
      <c r="H334" s="1112"/>
      <c r="I334" s="1112"/>
      <c r="J334" s="1112"/>
      <c r="K334" s="1112"/>
      <c r="L334" s="1112"/>
      <c r="M334" s="1112"/>
      <c r="N334" s="1112">
        <f>G334+H335</f>
        <v>5159</v>
      </c>
      <c r="O334" s="1112">
        <f>0.5+0.5</f>
        <v>1</v>
      </c>
      <c r="P334" s="1140"/>
      <c r="Q334" s="1140"/>
      <c r="R334" s="1140"/>
      <c r="S334" s="1140"/>
      <c r="T334" s="1134">
        <v>34</v>
      </c>
      <c r="U334" s="1138">
        <v>0.3</v>
      </c>
      <c r="V334" s="1112">
        <f>N334*U334</f>
        <v>1547.7</v>
      </c>
      <c r="W334" s="1112"/>
      <c r="X334" s="1112">
        <f>(N334+V334)*O334+W334</f>
        <v>6706.7</v>
      </c>
      <c r="Y334" s="1112">
        <f>AB334</f>
        <v>6793.3</v>
      </c>
      <c r="Z334" s="1112">
        <f>X334+Y334</f>
        <v>13500</v>
      </c>
      <c r="AA334" s="1109">
        <f>13500*O334</f>
        <v>13500</v>
      </c>
      <c r="AB334" s="1109">
        <f>AA334-X334</f>
        <v>6793.3</v>
      </c>
      <c r="AC334" s="1112">
        <f>6700*O334</f>
        <v>6700</v>
      </c>
      <c r="AD334" s="1142"/>
      <c r="AE334" s="436">
        <f t="shared" si="126"/>
        <v>5159</v>
      </c>
      <c r="AF334" s="436">
        <f t="shared" si="127"/>
        <v>0</v>
      </c>
      <c r="AG334" s="436">
        <f t="shared" si="128"/>
        <v>5159</v>
      </c>
      <c r="AH334" s="436">
        <f t="shared" si="129"/>
        <v>0</v>
      </c>
      <c r="AI334" s="436">
        <f t="shared" si="141"/>
        <v>0</v>
      </c>
      <c r="AJ334" s="436">
        <f t="shared" si="141"/>
        <v>0</v>
      </c>
      <c r="AK334" s="437">
        <f t="shared" si="130"/>
        <v>1547.7</v>
      </c>
      <c r="AL334" s="437">
        <f t="shared" si="131"/>
        <v>0</v>
      </c>
      <c r="AM334" s="437">
        <f t="shared" si="132"/>
        <v>0</v>
      </c>
      <c r="AN334" s="437">
        <f t="shared" si="133"/>
        <v>0</v>
      </c>
      <c r="AO334" s="437">
        <f t="shared" si="134"/>
        <v>0</v>
      </c>
      <c r="AP334" s="437">
        <f t="shared" si="137"/>
        <v>5159</v>
      </c>
      <c r="AQ334" s="437">
        <f t="shared" si="137"/>
        <v>0</v>
      </c>
      <c r="AR334" s="436"/>
      <c r="AS334" s="437">
        <f t="shared" si="125"/>
        <v>5159</v>
      </c>
    </row>
    <row r="335" spans="1:46" s="438" customFormat="1" ht="24.95" customHeight="1">
      <c r="A335" s="1134"/>
      <c r="B335" s="1134"/>
      <c r="C335" s="1139"/>
      <c r="D335" s="1134"/>
      <c r="E335" s="1134"/>
      <c r="F335" s="1134"/>
      <c r="G335" s="1112"/>
      <c r="H335" s="1112"/>
      <c r="I335" s="1112"/>
      <c r="J335" s="1112"/>
      <c r="K335" s="1112"/>
      <c r="L335" s="1112"/>
      <c r="M335" s="1112"/>
      <c r="N335" s="1112"/>
      <c r="O335" s="1112"/>
      <c r="P335" s="1140"/>
      <c r="Q335" s="1140"/>
      <c r="R335" s="1140"/>
      <c r="S335" s="1140"/>
      <c r="T335" s="1134"/>
      <c r="U335" s="1138"/>
      <c r="V335" s="1112"/>
      <c r="W335" s="1112"/>
      <c r="X335" s="1112"/>
      <c r="Y335" s="1112"/>
      <c r="Z335" s="1112"/>
      <c r="AA335" s="1109"/>
      <c r="AB335" s="1109"/>
      <c r="AC335" s="1112"/>
      <c r="AD335" s="1142"/>
      <c r="AE335" s="436">
        <f t="shared" si="126"/>
        <v>0</v>
      </c>
      <c r="AF335" s="436">
        <f t="shared" si="127"/>
        <v>0</v>
      </c>
      <c r="AG335" s="436">
        <f t="shared" si="128"/>
        <v>0</v>
      </c>
      <c r="AH335" s="436">
        <f t="shared" si="129"/>
        <v>0</v>
      </c>
      <c r="AI335" s="436">
        <f t="shared" si="141"/>
        <v>0</v>
      </c>
      <c r="AJ335" s="436">
        <f t="shared" si="141"/>
        <v>0</v>
      </c>
      <c r="AK335" s="437">
        <f t="shared" si="130"/>
        <v>0</v>
      </c>
      <c r="AL335" s="437">
        <f t="shared" si="131"/>
        <v>0</v>
      </c>
      <c r="AM335" s="437">
        <f t="shared" si="132"/>
        <v>0</v>
      </c>
      <c r="AN335" s="437">
        <f t="shared" si="133"/>
        <v>0</v>
      </c>
      <c r="AO335" s="437">
        <f t="shared" si="134"/>
        <v>0</v>
      </c>
      <c r="AP335" s="437">
        <f t="shared" si="137"/>
        <v>0</v>
      </c>
      <c r="AQ335" s="437">
        <f t="shared" si="137"/>
        <v>0</v>
      </c>
      <c r="AR335" s="436"/>
      <c r="AS335" s="437">
        <f t="shared" si="125"/>
        <v>0</v>
      </c>
    </row>
    <row r="336" spans="1:46" s="438" customFormat="1" ht="24.95" customHeight="1">
      <c r="A336" s="1134"/>
      <c r="B336" s="1134"/>
      <c r="C336" s="1139" t="s">
        <v>564</v>
      </c>
      <c r="D336" s="1134" t="s">
        <v>618</v>
      </c>
      <c r="E336" s="1134" t="s">
        <v>619</v>
      </c>
      <c r="F336" s="1134">
        <v>9</v>
      </c>
      <c r="G336" s="1112">
        <v>5159</v>
      </c>
      <c r="H336" s="1112"/>
      <c r="I336" s="1112"/>
      <c r="J336" s="1112"/>
      <c r="K336" s="1112"/>
      <c r="L336" s="1112"/>
      <c r="M336" s="1112"/>
      <c r="N336" s="1112">
        <f>G336+H337</f>
        <v>5159</v>
      </c>
      <c r="O336" s="1112">
        <v>1</v>
      </c>
      <c r="P336" s="1112"/>
      <c r="Q336" s="1112"/>
      <c r="R336" s="1112"/>
      <c r="S336" s="1112"/>
      <c r="T336" s="1134">
        <v>28</v>
      </c>
      <c r="U336" s="1138">
        <v>0.3</v>
      </c>
      <c r="V336" s="1112">
        <f>N336*U336</f>
        <v>1547.7</v>
      </c>
      <c r="W336" s="1112"/>
      <c r="X336" s="1112">
        <f>(N336+V336)*O336</f>
        <v>6706.7</v>
      </c>
      <c r="Y336" s="1112">
        <f>AB336</f>
        <v>6793.3</v>
      </c>
      <c r="Z336" s="1112">
        <f>X336+Y336</f>
        <v>13500</v>
      </c>
      <c r="AA336" s="1109">
        <f>13500*O336</f>
        <v>13500</v>
      </c>
      <c r="AB336" s="1109">
        <f>AA336-X336</f>
        <v>6793.3</v>
      </c>
      <c r="AC336" s="1112">
        <f>6700*O336</f>
        <v>6700</v>
      </c>
      <c r="AD336" s="1112"/>
      <c r="AE336" s="436">
        <f t="shared" si="126"/>
        <v>5159</v>
      </c>
      <c r="AF336" s="436">
        <f t="shared" si="127"/>
        <v>0</v>
      </c>
      <c r="AG336" s="436">
        <f t="shared" si="128"/>
        <v>5159</v>
      </c>
      <c r="AH336" s="436">
        <f t="shared" si="129"/>
        <v>0</v>
      </c>
      <c r="AI336" s="436">
        <f t="shared" si="141"/>
        <v>0</v>
      </c>
      <c r="AJ336" s="436">
        <f t="shared" si="141"/>
        <v>0</v>
      </c>
      <c r="AK336" s="437">
        <f t="shared" si="130"/>
        <v>1547.7</v>
      </c>
      <c r="AL336" s="437">
        <f t="shared" si="131"/>
        <v>0</v>
      </c>
      <c r="AM336" s="437">
        <f t="shared" si="132"/>
        <v>0</v>
      </c>
      <c r="AN336" s="437">
        <f t="shared" si="133"/>
        <v>0</v>
      </c>
      <c r="AO336" s="437">
        <f t="shared" si="134"/>
        <v>0</v>
      </c>
      <c r="AP336" s="437">
        <f t="shared" si="137"/>
        <v>5159</v>
      </c>
      <c r="AQ336" s="437">
        <f t="shared" si="137"/>
        <v>0</v>
      </c>
      <c r="AR336" s="436"/>
      <c r="AS336" s="437">
        <f t="shared" si="125"/>
        <v>5159</v>
      </c>
    </row>
    <row r="337" spans="1:45" s="438" customFormat="1" ht="24.95" customHeight="1">
      <c r="A337" s="1134"/>
      <c r="B337" s="1134"/>
      <c r="C337" s="1139"/>
      <c r="D337" s="1134"/>
      <c r="E337" s="1134"/>
      <c r="F337" s="1134"/>
      <c r="G337" s="1112"/>
      <c r="H337" s="1112"/>
      <c r="I337" s="1112"/>
      <c r="J337" s="1112"/>
      <c r="K337" s="1112"/>
      <c r="L337" s="1112"/>
      <c r="M337" s="1112"/>
      <c r="N337" s="1112"/>
      <c r="O337" s="1112"/>
      <c r="P337" s="1112"/>
      <c r="Q337" s="1112"/>
      <c r="R337" s="1112"/>
      <c r="S337" s="1112"/>
      <c r="T337" s="1134"/>
      <c r="U337" s="1138"/>
      <c r="V337" s="1112"/>
      <c r="W337" s="1112"/>
      <c r="X337" s="1112"/>
      <c r="Y337" s="1112"/>
      <c r="Z337" s="1112"/>
      <c r="AA337" s="1109"/>
      <c r="AB337" s="1109"/>
      <c r="AC337" s="1112"/>
      <c r="AD337" s="1112"/>
      <c r="AE337" s="436">
        <f t="shared" si="126"/>
        <v>0</v>
      </c>
      <c r="AF337" s="436">
        <f t="shared" si="127"/>
        <v>0</v>
      </c>
      <c r="AG337" s="436">
        <f t="shared" si="128"/>
        <v>0</v>
      </c>
      <c r="AH337" s="436">
        <f t="shared" si="129"/>
        <v>0</v>
      </c>
      <c r="AI337" s="436">
        <f t="shared" si="141"/>
        <v>0</v>
      </c>
      <c r="AJ337" s="436">
        <f t="shared" si="141"/>
        <v>0</v>
      </c>
      <c r="AK337" s="437">
        <f t="shared" si="130"/>
        <v>0</v>
      </c>
      <c r="AL337" s="437">
        <f t="shared" si="131"/>
        <v>0</v>
      </c>
      <c r="AM337" s="437">
        <f t="shared" si="132"/>
        <v>0</v>
      </c>
      <c r="AN337" s="437">
        <f t="shared" si="133"/>
        <v>0</v>
      </c>
      <c r="AO337" s="437">
        <f t="shared" si="134"/>
        <v>0</v>
      </c>
      <c r="AP337" s="437">
        <f t="shared" si="137"/>
        <v>0</v>
      </c>
      <c r="AQ337" s="437">
        <f t="shared" si="137"/>
        <v>0</v>
      </c>
      <c r="AR337" s="436"/>
      <c r="AS337" s="437">
        <f t="shared" si="125"/>
        <v>0</v>
      </c>
    </row>
    <row r="338" spans="1:45" s="438" customFormat="1" ht="24.95" customHeight="1">
      <c r="A338" s="1134"/>
      <c r="B338" s="1134"/>
      <c r="C338" s="1139" t="s">
        <v>564</v>
      </c>
      <c r="D338" s="1134" t="s">
        <v>663</v>
      </c>
      <c r="E338" s="1134" t="s">
        <v>664</v>
      </c>
      <c r="F338" s="1134">
        <v>9</v>
      </c>
      <c r="G338" s="1112">
        <v>5159</v>
      </c>
      <c r="H338" s="1112"/>
      <c r="I338" s="1112"/>
      <c r="J338" s="1112"/>
      <c r="K338" s="1112"/>
      <c r="L338" s="1112"/>
      <c r="M338" s="1112"/>
      <c r="N338" s="1112">
        <f>G338+H339</f>
        <v>5159</v>
      </c>
      <c r="O338" s="1112">
        <v>1</v>
      </c>
      <c r="P338" s="1112"/>
      <c r="Q338" s="1112"/>
      <c r="R338" s="1112"/>
      <c r="S338" s="1112"/>
      <c r="T338" s="1134">
        <v>32</v>
      </c>
      <c r="U338" s="1138">
        <v>0.3</v>
      </c>
      <c r="V338" s="1112">
        <f>N338*U338</f>
        <v>1547.7</v>
      </c>
      <c r="W338" s="1112"/>
      <c r="X338" s="1112">
        <f>(N338+V338)*O338</f>
        <v>6706.7</v>
      </c>
      <c r="Y338" s="1112">
        <f>AB338</f>
        <v>6793.3</v>
      </c>
      <c r="Z338" s="1112">
        <f>X338+Y338</f>
        <v>13500</v>
      </c>
      <c r="AA338" s="1109">
        <f>13500*O338</f>
        <v>13500</v>
      </c>
      <c r="AB338" s="1109">
        <f>AA338-X338</f>
        <v>6793.3</v>
      </c>
      <c r="AC338" s="1112">
        <f>6700*O338</f>
        <v>6700</v>
      </c>
      <c r="AD338" s="1112"/>
      <c r="AE338" s="436">
        <f t="shared" si="126"/>
        <v>5159</v>
      </c>
      <c r="AF338" s="436">
        <f t="shared" si="127"/>
        <v>0</v>
      </c>
      <c r="AG338" s="436">
        <f t="shared" si="128"/>
        <v>5159</v>
      </c>
      <c r="AH338" s="436">
        <f t="shared" si="129"/>
        <v>0</v>
      </c>
      <c r="AI338" s="436">
        <f t="shared" si="141"/>
        <v>0</v>
      </c>
      <c r="AJ338" s="436">
        <f t="shared" si="141"/>
        <v>0</v>
      </c>
      <c r="AK338" s="437">
        <f t="shared" si="130"/>
        <v>1547.7</v>
      </c>
      <c r="AL338" s="437">
        <f t="shared" si="131"/>
        <v>0</v>
      </c>
      <c r="AM338" s="437">
        <f t="shared" si="132"/>
        <v>0</v>
      </c>
      <c r="AN338" s="437">
        <f t="shared" si="133"/>
        <v>0</v>
      </c>
      <c r="AO338" s="437">
        <f t="shared" si="134"/>
        <v>0</v>
      </c>
      <c r="AP338" s="437">
        <f t="shared" si="137"/>
        <v>5159</v>
      </c>
      <c r="AQ338" s="437">
        <f t="shared" si="137"/>
        <v>0</v>
      </c>
      <c r="AR338" s="436"/>
      <c r="AS338" s="437">
        <f t="shared" si="125"/>
        <v>5159</v>
      </c>
    </row>
    <row r="339" spans="1:45" s="438" customFormat="1" ht="24.95" customHeight="1">
      <c r="A339" s="1134"/>
      <c r="B339" s="1134"/>
      <c r="C339" s="1139"/>
      <c r="D339" s="1134"/>
      <c r="E339" s="1134"/>
      <c r="F339" s="1134"/>
      <c r="G339" s="1112"/>
      <c r="H339" s="1112"/>
      <c r="I339" s="1112"/>
      <c r="J339" s="1112"/>
      <c r="K339" s="1112"/>
      <c r="L339" s="1112"/>
      <c r="M339" s="1112"/>
      <c r="N339" s="1112"/>
      <c r="O339" s="1112"/>
      <c r="P339" s="1112"/>
      <c r="Q339" s="1112"/>
      <c r="R339" s="1112"/>
      <c r="S339" s="1112"/>
      <c r="T339" s="1134"/>
      <c r="U339" s="1138"/>
      <c r="V339" s="1112"/>
      <c r="W339" s="1112"/>
      <c r="X339" s="1112"/>
      <c r="Y339" s="1112"/>
      <c r="Z339" s="1112"/>
      <c r="AA339" s="1109"/>
      <c r="AB339" s="1109"/>
      <c r="AC339" s="1112"/>
      <c r="AD339" s="1112"/>
      <c r="AE339" s="436">
        <f t="shared" si="126"/>
        <v>0</v>
      </c>
      <c r="AF339" s="436">
        <f t="shared" si="127"/>
        <v>0</v>
      </c>
      <c r="AG339" s="436">
        <f t="shared" si="128"/>
        <v>0</v>
      </c>
      <c r="AH339" s="436">
        <f t="shared" si="129"/>
        <v>0</v>
      </c>
      <c r="AI339" s="436">
        <f t="shared" si="141"/>
        <v>0</v>
      </c>
      <c r="AJ339" s="436">
        <f t="shared" si="141"/>
        <v>0</v>
      </c>
      <c r="AK339" s="437">
        <f t="shared" si="130"/>
        <v>0</v>
      </c>
      <c r="AL339" s="437">
        <f t="shared" si="131"/>
        <v>0</v>
      </c>
      <c r="AM339" s="437">
        <f t="shared" si="132"/>
        <v>0</v>
      </c>
      <c r="AN339" s="437">
        <f t="shared" si="133"/>
        <v>0</v>
      </c>
      <c r="AO339" s="437">
        <f t="shared" si="134"/>
        <v>0</v>
      </c>
      <c r="AP339" s="437">
        <f t="shared" si="137"/>
        <v>0</v>
      </c>
      <c r="AQ339" s="437">
        <f t="shared" si="137"/>
        <v>0</v>
      </c>
      <c r="AR339" s="436"/>
      <c r="AS339" s="437">
        <f t="shared" si="125"/>
        <v>0</v>
      </c>
    </row>
    <row r="340" spans="1:45" s="438" customFormat="1" ht="24.95" customHeight="1">
      <c r="A340" s="1134"/>
      <c r="B340" s="1134"/>
      <c r="C340" s="1139" t="s">
        <v>564</v>
      </c>
      <c r="D340" s="1134" t="s">
        <v>1058</v>
      </c>
      <c r="E340" s="1134" t="s">
        <v>624</v>
      </c>
      <c r="F340" s="1134">
        <v>9</v>
      </c>
      <c r="G340" s="1112">
        <v>5159</v>
      </c>
      <c r="H340" s="1112"/>
      <c r="I340" s="1112"/>
      <c r="J340" s="1112"/>
      <c r="K340" s="1112"/>
      <c r="L340" s="1112"/>
      <c r="M340" s="1112"/>
      <c r="N340" s="1112">
        <f>G340+H341</f>
        <v>5159</v>
      </c>
      <c r="O340" s="1112">
        <v>1</v>
      </c>
      <c r="P340" s="1112"/>
      <c r="Q340" s="1112"/>
      <c r="R340" s="1112"/>
      <c r="S340" s="1112"/>
      <c r="T340" s="1134">
        <v>31</v>
      </c>
      <c r="U340" s="1138">
        <v>0.3</v>
      </c>
      <c r="V340" s="1112">
        <f>N340*U340</f>
        <v>1547.7</v>
      </c>
      <c r="W340" s="1112"/>
      <c r="X340" s="1112">
        <f>(N340+V340)*O340+W340</f>
        <v>6706.7</v>
      </c>
      <c r="Y340" s="1112">
        <f>AB340</f>
        <v>6793.3</v>
      </c>
      <c r="Z340" s="1112">
        <f>X340+Y340</f>
        <v>13500</v>
      </c>
      <c r="AA340" s="1109">
        <f>13500*O340</f>
        <v>13500</v>
      </c>
      <c r="AB340" s="1109">
        <f>AA340-X340</f>
        <v>6793.3</v>
      </c>
      <c r="AC340" s="1112">
        <f>6700*O340</f>
        <v>6700</v>
      </c>
      <c r="AD340" s="1142"/>
      <c r="AE340" s="436">
        <f t="shared" si="126"/>
        <v>5159</v>
      </c>
      <c r="AF340" s="436">
        <f t="shared" si="127"/>
        <v>0</v>
      </c>
      <c r="AG340" s="436">
        <f t="shared" si="128"/>
        <v>5159</v>
      </c>
      <c r="AH340" s="436">
        <f t="shared" si="129"/>
        <v>0</v>
      </c>
      <c r="AI340" s="436">
        <f t="shared" si="141"/>
        <v>0</v>
      </c>
      <c r="AJ340" s="436">
        <f t="shared" si="141"/>
        <v>0</v>
      </c>
      <c r="AK340" s="437">
        <f t="shared" si="130"/>
        <v>1547.7</v>
      </c>
      <c r="AL340" s="437">
        <f t="shared" si="131"/>
        <v>0</v>
      </c>
      <c r="AM340" s="437">
        <f t="shared" si="132"/>
        <v>0</v>
      </c>
      <c r="AN340" s="437">
        <f t="shared" si="133"/>
        <v>0</v>
      </c>
      <c r="AO340" s="437">
        <f t="shared" si="134"/>
        <v>0</v>
      </c>
      <c r="AP340" s="437">
        <f t="shared" si="137"/>
        <v>5159</v>
      </c>
      <c r="AQ340" s="437">
        <f t="shared" si="137"/>
        <v>0</v>
      </c>
      <c r="AR340" s="436"/>
      <c r="AS340" s="437">
        <f t="shared" si="125"/>
        <v>5159</v>
      </c>
    </row>
    <row r="341" spans="1:45" s="438" customFormat="1" ht="24.95" customHeight="1">
      <c r="A341" s="1134"/>
      <c r="B341" s="1134"/>
      <c r="C341" s="1139"/>
      <c r="D341" s="1134"/>
      <c r="E341" s="1134"/>
      <c r="F341" s="1134"/>
      <c r="G341" s="1112"/>
      <c r="H341" s="1112"/>
      <c r="I341" s="1112"/>
      <c r="J341" s="1112"/>
      <c r="K341" s="1112"/>
      <c r="L341" s="1112"/>
      <c r="M341" s="1112"/>
      <c r="N341" s="1112"/>
      <c r="O341" s="1112"/>
      <c r="P341" s="1112"/>
      <c r="Q341" s="1112"/>
      <c r="R341" s="1112"/>
      <c r="S341" s="1112"/>
      <c r="T341" s="1134"/>
      <c r="U341" s="1138"/>
      <c r="V341" s="1112"/>
      <c r="W341" s="1112"/>
      <c r="X341" s="1112"/>
      <c r="Y341" s="1112"/>
      <c r="Z341" s="1112"/>
      <c r="AA341" s="1109"/>
      <c r="AB341" s="1109"/>
      <c r="AC341" s="1112"/>
      <c r="AD341" s="1142"/>
      <c r="AE341" s="436">
        <f t="shared" si="126"/>
        <v>0</v>
      </c>
      <c r="AF341" s="436">
        <f t="shared" si="127"/>
        <v>0</v>
      </c>
      <c r="AG341" s="436">
        <f t="shared" si="128"/>
        <v>0</v>
      </c>
      <c r="AH341" s="436">
        <f t="shared" si="129"/>
        <v>0</v>
      </c>
      <c r="AI341" s="436">
        <f t="shared" si="141"/>
        <v>0</v>
      </c>
      <c r="AJ341" s="436">
        <f t="shared" si="141"/>
        <v>0</v>
      </c>
      <c r="AK341" s="437">
        <f t="shared" si="130"/>
        <v>0</v>
      </c>
      <c r="AL341" s="437">
        <f t="shared" si="131"/>
        <v>0</v>
      </c>
      <c r="AM341" s="437">
        <f t="shared" si="132"/>
        <v>0</v>
      </c>
      <c r="AN341" s="437">
        <f t="shared" si="133"/>
        <v>0</v>
      </c>
      <c r="AO341" s="437">
        <f t="shared" si="134"/>
        <v>0</v>
      </c>
      <c r="AP341" s="437">
        <f t="shared" si="137"/>
        <v>0</v>
      </c>
      <c r="AQ341" s="437">
        <f t="shared" si="137"/>
        <v>0</v>
      </c>
      <c r="AR341" s="436"/>
      <c r="AS341" s="437">
        <f t="shared" si="125"/>
        <v>0</v>
      </c>
    </row>
    <row r="342" spans="1:45" s="438" customFormat="1" ht="24.95" customHeight="1">
      <c r="A342" s="1134"/>
      <c r="B342" s="1134"/>
      <c r="C342" s="1139" t="s">
        <v>668</v>
      </c>
      <c r="D342" s="1134" t="s">
        <v>669</v>
      </c>
      <c r="E342" s="1134" t="s">
        <v>670</v>
      </c>
      <c r="F342" s="1134">
        <v>10</v>
      </c>
      <c r="G342" s="1112">
        <v>5427</v>
      </c>
      <c r="H342" s="1112"/>
      <c r="I342" s="1112"/>
      <c r="J342" s="1112"/>
      <c r="K342" s="1112"/>
      <c r="L342" s="1112"/>
      <c r="M342" s="1112"/>
      <c r="N342" s="1112">
        <f>G342+I343</f>
        <v>5427</v>
      </c>
      <c r="O342" s="1112">
        <v>1</v>
      </c>
      <c r="P342" s="1112"/>
      <c r="Q342" s="1112"/>
      <c r="R342" s="1112"/>
      <c r="S342" s="1112"/>
      <c r="T342" s="1134">
        <v>37</v>
      </c>
      <c r="U342" s="1138">
        <v>0.3</v>
      </c>
      <c r="V342" s="1112">
        <f>N342*U342</f>
        <v>1628.1</v>
      </c>
      <c r="W342" s="1112"/>
      <c r="X342" s="1112">
        <f>(N342+V342)*O342</f>
        <v>7055.1</v>
      </c>
      <c r="Y342" s="1112">
        <f>AB342</f>
        <v>6444.9</v>
      </c>
      <c r="Z342" s="1112">
        <f>X342+Y342</f>
        <v>13500</v>
      </c>
      <c r="AA342" s="1109">
        <f>13500*O342</f>
        <v>13500</v>
      </c>
      <c r="AB342" s="1109">
        <f>AA342-X342</f>
        <v>6444.9</v>
      </c>
      <c r="AC342" s="1112">
        <f>6700*O342</f>
        <v>6700</v>
      </c>
      <c r="AD342" s="1112"/>
      <c r="AE342" s="436">
        <f t="shared" si="126"/>
        <v>5427</v>
      </c>
      <c r="AF342" s="436">
        <f t="shared" si="127"/>
        <v>0</v>
      </c>
      <c r="AG342" s="436">
        <f t="shared" si="128"/>
        <v>5427</v>
      </c>
      <c r="AH342" s="436">
        <f t="shared" si="129"/>
        <v>0</v>
      </c>
      <c r="AI342" s="436">
        <f t="shared" si="141"/>
        <v>0</v>
      </c>
      <c r="AJ342" s="436">
        <f t="shared" si="141"/>
        <v>0</v>
      </c>
      <c r="AK342" s="437">
        <f t="shared" si="130"/>
        <v>1628.1</v>
      </c>
      <c r="AL342" s="437">
        <f t="shared" si="131"/>
        <v>0</v>
      </c>
      <c r="AM342" s="437">
        <f t="shared" si="132"/>
        <v>0</v>
      </c>
      <c r="AN342" s="437">
        <f t="shared" si="133"/>
        <v>0</v>
      </c>
      <c r="AO342" s="437">
        <f t="shared" si="134"/>
        <v>0</v>
      </c>
      <c r="AP342" s="437">
        <f t="shared" si="137"/>
        <v>5427</v>
      </c>
      <c r="AQ342" s="437">
        <f t="shared" si="137"/>
        <v>0</v>
      </c>
      <c r="AR342" s="436"/>
      <c r="AS342" s="437">
        <f t="shared" si="125"/>
        <v>5427</v>
      </c>
    </row>
    <row r="343" spans="1:45" s="438" customFormat="1" ht="24.95" customHeight="1">
      <c r="A343" s="1134"/>
      <c r="B343" s="1134"/>
      <c r="C343" s="1139"/>
      <c r="D343" s="1134"/>
      <c r="E343" s="1134"/>
      <c r="F343" s="1134"/>
      <c r="G343" s="1112"/>
      <c r="H343" s="1112"/>
      <c r="I343" s="1112"/>
      <c r="J343" s="1112"/>
      <c r="K343" s="1112"/>
      <c r="L343" s="1112"/>
      <c r="M343" s="1112"/>
      <c r="N343" s="1112"/>
      <c r="O343" s="1112"/>
      <c r="P343" s="1112"/>
      <c r="Q343" s="1112"/>
      <c r="R343" s="1112"/>
      <c r="S343" s="1112"/>
      <c r="T343" s="1134"/>
      <c r="U343" s="1138"/>
      <c r="V343" s="1112"/>
      <c r="W343" s="1112"/>
      <c r="X343" s="1112"/>
      <c r="Y343" s="1112"/>
      <c r="Z343" s="1112"/>
      <c r="AA343" s="1109"/>
      <c r="AB343" s="1109"/>
      <c r="AC343" s="1112"/>
      <c r="AD343" s="1112"/>
      <c r="AE343" s="436">
        <f t="shared" si="126"/>
        <v>0</v>
      </c>
      <c r="AF343" s="436">
        <f t="shared" si="127"/>
        <v>0</v>
      </c>
      <c r="AG343" s="436">
        <f t="shared" si="128"/>
        <v>0</v>
      </c>
      <c r="AH343" s="436">
        <f t="shared" si="129"/>
        <v>0</v>
      </c>
      <c r="AI343" s="436">
        <f t="shared" si="141"/>
        <v>0</v>
      </c>
      <c r="AJ343" s="436">
        <f t="shared" si="141"/>
        <v>0</v>
      </c>
      <c r="AK343" s="437">
        <f t="shared" si="130"/>
        <v>0</v>
      </c>
      <c r="AL343" s="437">
        <f t="shared" si="131"/>
        <v>0</v>
      </c>
      <c r="AM343" s="437">
        <f t="shared" si="132"/>
        <v>0</v>
      </c>
      <c r="AN343" s="437">
        <f t="shared" si="133"/>
        <v>0</v>
      </c>
      <c r="AO343" s="437">
        <f t="shared" si="134"/>
        <v>0</v>
      </c>
      <c r="AP343" s="437">
        <f t="shared" si="137"/>
        <v>0</v>
      </c>
      <c r="AQ343" s="437">
        <f t="shared" si="137"/>
        <v>0</v>
      </c>
      <c r="AR343" s="436"/>
      <c r="AS343" s="437">
        <f t="shared" si="125"/>
        <v>0</v>
      </c>
    </row>
    <row r="344" spans="1:45" s="446" customFormat="1" ht="24.95" customHeight="1">
      <c r="A344" s="441"/>
      <c r="B344" s="441"/>
      <c r="C344" s="442" t="s">
        <v>318</v>
      </c>
      <c r="D344" s="443"/>
      <c r="E344" s="441"/>
      <c r="F344" s="441"/>
      <c r="G344" s="444">
        <f>SUM(G330:G343)</f>
        <v>36381</v>
      </c>
      <c r="H344" s="441">
        <f>H331</f>
        <v>515.9</v>
      </c>
      <c r="I344" s="441"/>
      <c r="J344" s="441"/>
      <c r="K344" s="441"/>
      <c r="L344" s="441"/>
      <c r="M344" s="441"/>
      <c r="N344" s="444">
        <f>SUM(N330:N343)</f>
        <v>36896.9</v>
      </c>
      <c r="O344" s="444">
        <f>SUM(O330:O343)</f>
        <v>7</v>
      </c>
      <c r="P344" s="444">
        <f>SUM(P330:P343)</f>
        <v>0</v>
      </c>
      <c r="Q344" s="444"/>
      <c r="R344" s="444"/>
      <c r="S344" s="444"/>
      <c r="T344" s="444"/>
      <c r="U344" s="444"/>
      <c r="V344" s="444">
        <f t="shared" ref="V344:AD344" si="142">SUM(V330:V343)</f>
        <v>11069.07</v>
      </c>
      <c r="W344" s="444">
        <f t="shared" si="142"/>
        <v>0</v>
      </c>
      <c r="X344" s="444">
        <f t="shared" si="142"/>
        <v>47965.969999999994</v>
      </c>
      <c r="Y344" s="444">
        <f t="shared" si="142"/>
        <v>46534.030000000006</v>
      </c>
      <c r="Z344" s="444">
        <f t="shared" si="142"/>
        <v>94500</v>
      </c>
      <c r="AA344" s="499">
        <f t="shared" si="142"/>
        <v>94500</v>
      </c>
      <c r="AB344" s="499">
        <f t="shared" si="142"/>
        <v>46534.030000000006</v>
      </c>
      <c r="AC344" s="444">
        <f t="shared" si="142"/>
        <v>46900</v>
      </c>
      <c r="AD344" s="444">
        <f t="shared" si="142"/>
        <v>0</v>
      </c>
      <c r="AE344" s="436"/>
      <c r="AF344" s="436"/>
      <c r="AG344" s="436"/>
      <c r="AH344" s="436"/>
      <c r="AI344" s="436"/>
      <c r="AJ344" s="436"/>
      <c r="AK344" s="437"/>
      <c r="AL344" s="437"/>
      <c r="AM344" s="437"/>
      <c r="AN344" s="437"/>
      <c r="AO344" s="437"/>
      <c r="AP344" s="437">
        <f t="shared" si="137"/>
        <v>0</v>
      </c>
      <c r="AQ344" s="437">
        <f t="shared" si="137"/>
        <v>0</v>
      </c>
      <c r="AR344" s="436"/>
      <c r="AS344" s="437">
        <f t="shared" si="125"/>
        <v>0</v>
      </c>
    </row>
    <row r="345" spans="1:45" s="456" customFormat="1" ht="24.95" customHeight="1">
      <c r="A345" s="455"/>
      <c r="B345" s="455"/>
      <c r="C345" s="1135" t="s">
        <v>528</v>
      </c>
      <c r="D345" s="1135"/>
      <c r="E345" s="455"/>
      <c r="F345" s="455"/>
      <c r="G345" s="455"/>
      <c r="H345" s="455"/>
      <c r="I345" s="455"/>
      <c r="J345" s="455"/>
      <c r="K345" s="455"/>
      <c r="L345" s="455"/>
      <c r="M345" s="455"/>
      <c r="N345" s="455"/>
      <c r="O345" s="455"/>
      <c r="P345" s="455"/>
      <c r="Q345" s="455"/>
      <c r="R345" s="455"/>
      <c r="S345" s="455"/>
      <c r="T345" s="455"/>
      <c r="U345" s="455"/>
      <c r="V345" s="455"/>
      <c r="W345" s="455"/>
      <c r="X345" s="455"/>
      <c r="Y345" s="455"/>
      <c r="Z345" s="455"/>
      <c r="AA345" s="504"/>
      <c r="AB345" s="504"/>
      <c r="AC345" s="455"/>
      <c r="AD345" s="455"/>
      <c r="AE345" s="436">
        <f t="shared" si="126"/>
        <v>0</v>
      </c>
      <c r="AF345" s="436">
        <f t="shared" si="127"/>
        <v>0</v>
      </c>
      <c r="AG345" s="436">
        <f t="shared" si="128"/>
        <v>0</v>
      </c>
      <c r="AH345" s="436">
        <f t="shared" si="129"/>
        <v>0</v>
      </c>
      <c r="AI345" s="436">
        <f t="shared" si="141"/>
        <v>0</v>
      </c>
      <c r="AJ345" s="436">
        <f t="shared" si="141"/>
        <v>0</v>
      </c>
      <c r="AK345" s="437">
        <f t="shared" si="130"/>
        <v>0</v>
      </c>
      <c r="AL345" s="437">
        <f t="shared" si="131"/>
        <v>0</v>
      </c>
      <c r="AM345" s="437">
        <f t="shared" si="132"/>
        <v>0</v>
      </c>
      <c r="AN345" s="437">
        <f t="shared" si="133"/>
        <v>0</v>
      </c>
      <c r="AO345" s="437">
        <f t="shared" si="134"/>
        <v>0</v>
      </c>
      <c r="AP345" s="437">
        <f t="shared" si="137"/>
        <v>0</v>
      </c>
      <c r="AQ345" s="437">
        <f t="shared" si="137"/>
        <v>0</v>
      </c>
      <c r="AR345" s="436"/>
      <c r="AS345" s="437">
        <f t="shared" si="125"/>
        <v>0</v>
      </c>
    </row>
    <row r="346" spans="1:45" s="438" customFormat="1" ht="24.95" customHeight="1">
      <c r="A346" s="1134"/>
      <c r="B346" s="1134"/>
      <c r="C346" s="1139" t="s">
        <v>612</v>
      </c>
      <c r="D346" s="1134" t="s">
        <v>1059</v>
      </c>
      <c r="E346" s="1134" t="s">
        <v>678</v>
      </c>
      <c r="F346" s="1134">
        <v>10</v>
      </c>
      <c r="G346" s="1112">
        <v>5427</v>
      </c>
      <c r="H346" s="1112"/>
      <c r="I346" s="1112"/>
      <c r="J346" s="1112"/>
      <c r="K346" s="1112"/>
      <c r="L346" s="435">
        <v>0.15</v>
      </c>
      <c r="M346" s="1112"/>
      <c r="N346" s="1112">
        <f>G346+H347+K347+L347</f>
        <v>6241.05</v>
      </c>
      <c r="O346" s="1112">
        <v>1</v>
      </c>
      <c r="P346" s="1140"/>
      <c r="Q346" s="1140"/>
      <c r="R346" s="1140"/>
      <c r="S346" s="1140"/>
      <c r="T346" s="1134">
        <v>31</v>
      </c>
      <c r="U346" s="1138">
        <v>0.3</v>
      </c>
      <c r="V346" s="1112">
        <f>N346*U346</f>
        <v>1872.3150000000001</v>
      </c>
      <c r="W346" s="1112"/>
      <c r="X346" s="1112">
        <f>(N346+V346)*O346</f>
        <v>8113.3649999999998</v>
      </c>
      <c r="Y346" s="1112">
        <f>AB346</f>
        <v>5386.6350000000002</v>
      </c>
      <c r="Z346" s="1112">
        <f>X346+Y346</f>
        <v>13500</v>
      </c>
      <c r="AA346" s="1109">
        <f>13500*O346</f>
        <v>13500</v>
      </c>
      <c r="AB346" s="1109">
        <f>AA346-X346</f>
        <v>5386.6350000000002</v>
      </c>
      <c r="AC346" s="1112">
        <f>6700*O346</f>
        <v>6700</v>
      </c>
      <c r="AD346" s="1112"/>
      <c r="AE346" s="436">
        <f t="shared" si="126"/>
        <v>5427</v>
      </c>
      <c r="AF346" s="436">
        <f t="shared" si="127"/>
        <v>0</v>
      </c>
      <c r="AG346" s="436">
        <f t="shared" si="128"/>
        <v>6241.05</v>
      </c>
      <c r="AH346" s="436">
        <f t="shared" si="129"/>
        <v>0</v>
      </c>
      <c r="AI346" s="436">
        <f t="shared" si="141"/>
        <v>814.05000000000018</v>
      </c>
      <c r="AJ346" s="436">
        <f t="shared" si="141"/>
        <v>0</v>
      </c>
      <c r="AK346" s="437">
        <f t="shared" si="130"/>
        <v>1872.3150000000001</v>
      </c>
      <c r="AL346" s="437">
        <f t="shared" si="131"/>
        <v>0</v>
      </c>
      <c r="AM346" s="437">
        <f t="shared" si="132"/>
        <v>0</v>
      </c>
      <c r="AN346" s="437">
        <f t="shared" si="133"/>
        <v>0</v>
      </c>
      <c r="AO346" s="437">
        <f t="shared" si="134"/>
        <v>0</v>
      </c>
      <c r="AP346" s="437">
        <f t="shared" si="137"/>
        <v>6241.05</v>
      </c>
      <c r="AQ346" s="437">
        <f t="shared" si="137"/>
        <v>0</v>
      </c>
      <c r="AR346" s="436"/>
      <c r="AS346" s="437">
        <f t="shared" si="125"/>
        <v>6241.05</v>
      </c>
    </row>
    <row r="347" spans="1:45" s="438" customFormat="1" ht="24.95" customHeight="1">
      <c r="A347" s="1134"/>
      <c r="B347" s="1134"/>
      <c r="C347" s="1139"/>
      <c r="D347" s="1134"/>
      <c r="E347" s="1134"/>
      <c r="F347" s="1134"/>
      <c r="G347" s="1112"/>
      <c r="H347" s="1112"/>
      <c r="I347" s="1112"/>
      <c r="J347" s="1112"/>
      <c r="K347" s="1112"/>
      <c r="L347" s="439">
        <f>G346*L346</f>
        <v>814.05</v>
      </c>
      <c r="M347" s="1112"/>
      <c r="N347" s="1112"/>
      <c r="O347" s="1112"/>
      <c r="P347" s="1140"/>
      <c r="Q347" s="1140"/>
      <c r="R347" s="1140"/>
      <c r="S347" s="1140"/>
      <c r="T347" s="1134"/>
      <c r="U347" s="1138"/>
      <c r="V347" s="1112"/>
      <c r="W347" s="1112"/>
      <c r="X347" s="1112"/>
      <c r="Y347" s="1112"/>
      <c r="Z347" s="1112"/>
      <c r="AA347" s="1109"/>
      <c r="AB347" s="1109"/>
      <c r="AC347" s="1112"/>
      <c r="AD347" s="1112"/>
      <c r="AE347" s="436">
        <f t="shared" si="126"/>
        <v>0</v>
      </c>
      <c r="AF347" s="436">
        <f t="shared" si="127"/>
        <v>0</v>
      </c>
      <c r="AG347" s="436">
        <f t="shared" si="128"/>
        <v>0</v>
      </c>
      <c r="AH347" s="436">
        <f t="shared" si="129"/>
        <v>0</v>
      </c>
      <c r="AI347" s="436">
        <f t="shared" si="141"/>
        <v>0</v>
      </c>
      <c r="AJ347" s="436">
        <f t="shared" si="141"/>
        <v>0</v>
      </c>
      <c r="AK347" s="437">
        <f t="shared" si="130"/>
        <v>0</v>
      </c>
      <c r="AL347" s="437">
        <f t="shared" si="131"/>
        <v>0</v>
      </c>
      <c r="AM347" s="437">
        <f t="shared" si="132"/>
        <v>0</v>
      </c>
      <c r="AN347" s="437">
        <f t="shared" si="133"/>
        <v>0</v>
      </c>
      <c r="AO347" s="437">
        <f t="shared" si="134"/>
        <v>0</v>
      </c>
      <c r="AP347" s="437">
        <f t="shared" si="137"/>
        <v>0</v>
      </c>
      <c r="AQ347" s="437">
        <f t="shared" si="137"/>
        <v>0</v>
      </c>
      <c r="AR347" s="436"/>
      <c r="AS347" s="437">
        <f t="shared" si="125"/>
        <v>0</v>
      </c>
    </row>
    <row r="348" spans="1:45" s="438" customFormat="1" ht="24.95" customHeight="1">
      <c r="A348" s="1134"/>
      <c r="B348" s="1134"/>
      <c r="C348" s="1139" t="s">
        <v>612</v>
      </c>
      <c r="D348" s="1134" t="s">
        <v>1059</v>
      </c>
      <c r="E348" s="1134" t="s">
        <v>678</v>
      </c>
      <c r="F348" s="1134">
        <v>10</v>
      </c>
      <c r="G348" s="1112">
        <v>5427</v>
      </c>
      <c r="H348" s="1112"/>
      <c r="I348" s="1112"/>
      <c r="J348" s="1112"/>
      <c r="K348" s="1112"/>
      <c r="L348" s="435">
        <v>0.15</v>
      </c>
      <c r="M348" s="1112"/>
      <c r="N348" s="1112">
        <f>G348+H349+K349+L349</f>
        <v>6241.05</v>
      </c>
      <c r="O348" s="1112"/>
      <c r="P348" s="1140">
        <v>0.25</v>
      </c>
      <c r="Q348" s="1140"/>
      <c r="R348" s="1140"/>
      <c r="S348" s="1140"/>
      <c r="T348" s="1134">
        <v>31</v>
      </c>
      <c r="U348" s="1138">
        <v>0.3</v>
      </c>
      <c r="V348" s="1112">
        <f>N348*U348</f>
        <v>1872.3150000000001</v>
      </c>
      <c r="W348" s="1112"/>
      <c r="X348" s="1112">
        <f>(N348+V348)*P348</f>
        <v>2028.3412499999999</v>
      </c>
      <c r="Y348" s="1112">
        <f>AB348</f>
        <v>1346.6587500000001</v>
      </c>
      <c r="Z348" s="1112">
        <f>X348+Y348</f>
        <v>3375</v>
      </c>
      <c r="AA348" s="1109">
        <f>13500*P348</f>
        <v>3375</v>
      </c>
      <c r="AB348" s="1109">
        <f>AA348-X348</f>
        <v>1346.6587500000001</v>
      </c>
      <c r="AC348" s="1112">
        <f>6700*P348</f>
        <v>1675</v>
      </c>
      <c r="AD348" s="1112"/>
      <c r="AE348" s="436">
        <f t="shared" si="126"/>
        <v>0</v>
      </c>
      <c r="AF348" s="436">
        <f t="shared" si="127"/>
        <v>1356.75</v>
      </c>
      <c r="AG348" s="436">
        <f t="shared" si="128"/>
        <v>0</v>
      </c>
      <c r="AH348" s="436">
        <f t="shared" si="129"/>
        <v>1560.2625</v>
      </c>
      <c r="AI348" s="436">
        <f t="shared" si="141"/>
        <v>0</v>
      </c>
      <c r="AJ348" s="436">
        <f t="shared" si="141"/>
        <v>203.51250000000005</v>
      </c>
      <c r="AK348" s="437">
        <f t="shared" si="130"/>
        <v>0</v>
      </c>
      <c r="AL348" s="437">
        <f t="shared" si="131"/>
        <v>468.07875000000001</v>
      </c>
      <c r="AM348" s="437">
        <f t="shared" si="132"/>
        <v>0</v>
      </c>
      <c r="AN348" s="437">
        <f t="shared" si="133"/>
        <v>0</v>
      </c>
      <c r="AO348" s="437">
        <f t="shared" si="134"/>
        <v>0</v>
      </c>
      <c r="AP348" s="437">
        <f t="shared" ref="AP348:AQ398" si="143">AG348</f>
        <v>0</v>
      </c>
      <c r="AQ348" s="437">
        <f t="shared" si="143"/>
        <v>1560.2625</v>
      </c>
      <c r="AR348" s="436"/>
      <c r="AS348" s="437">
        <f t="shared" si="125"/>
        <v>1560.2625</v>
      </c>
    </row>
    <row r="349" spans="1:45" s="438" customFormat="1" ht="24.95" customHeight="1">
      <c r="A349" s="1134"/>
      <c r="B349" s="1134"/>
      <c r="C349" s="1139"/>
      <c r="D349" s="1134"/>
      <c r="E349" s="1134"/>
      <c r="F349" s="1134"/>
      <c r="G349" s="1112"/>
      <c r="H349" s="1112"/>
      <c r="I349" s="1112"/>
      <c r="J349" s="1112"/>
      <c r="K349" s="1112"/>
      <c r="L349" s="439">
        <f>G348*L348</f>
        <v>814.05</v>
      </c>
      <c r="M349" s="1112"/>
      <c r="N349" s="1112"/>
      <c r="O349" s="1112"/>
      <c r="P349" s="1140"/>
      <c r="Q349" s="1140"/>
      <c r="R349" s="1140"/>
      <c r="S349" s="1140"/>
      <c r="T349" s="1134"/>
      <c r="U349" s="1138"/>
      <c r="V349" s="1112"/>
      <c r="W349" s="1112"/>
      <c r="X349" s="1112"/>
      <c r="Y349" s="1112"/>
      <c r="Z349" s="1112"/>
      <c r="AA349" s="1109"/>
      <c r="AB349" s="1109"/>
      <c r="AC349" s="1112"/>
      <c r="AD349" s="1112"/>
      <c r="AE349" s="436">
        <f t="shared" si="126"/>
        <v>0</v>
      </c>
      <c r="AF349" s="436">
        <f t="shared" si="127"/>
        <v>0</v>
      </c>
      <c r="AG349" s="436">
        <f t="shared" si="128"/>
        <v>0</v>
      </c>
      <c r="AH349" s="436">
        <f t="shared" si="129"/>
        <v>0</v>
      </c>
      <c r="AI349" s="436">
        <f t="shared" si="141"/>
        <v>0</v>
      </c>
      <c r="AJ349" s="436">
        <f t="shared" si="141"/>
        <v>0</v>
      </c>
      <c r="AK349" s="437">
        <f t="shared" si="130"/>
        <v>0</v>
      </c>
      <c r="AL349" s="437">
        <f t="shared" si="131"/>
        <v>0</v>
      </c>
      <c r="AM349" s="437">
        <f t="shared" si="132"/>
        <v>0</v>
      </c>
      <c r="AN349" s="437">
        <f t="shared" si="133"/>
        <v>0</v>
      </c>
      <c r="AO349" s="437">
        <f t="shared" si="134"/>
        <v>0</v>
      </c>
      <c r="AP349" s="437">
        <f t="shared" si="143"/>
        <v>0</v>
      </c>
      <c r="AQ349" s="437">
        <f t="shared" si="143"/>
        <v>0</v>
      </c>
      <c r="AR349" s="436"/>
      <c r="AS349" s="437">
        <f t="shared" si="125"/>
        <v>0</v>
      </c>
    </row>
    <row r="350" spans="1:45" s="438" customFormat="1" ht="24.95" customHeight="1">
      <c r="A350" s="1134"/>
      <c r="B350" s="1134"/>
      <c r="C350" s="1139" t="s">
        <v>612</v>
      </c>
      <c r="D350" s="1134" t="s">
        <v>679</v>
      </c>
      <c r="E350" s="1134" t="s">
        <v>680</v>
      </c>
      <c r="F350" s="1134">
        <v>10</v>
      </c>
      <c r="G350" s="1112">
        <v>5427</v>
      </c>
      <c r="H350" s="1112"/>
      <c r="I350" s="1112"/>
      <c r="J350" s="1112"/>
      <c r="K350" s="1112"/>
      <c r="L350" s="435">
        <v>0.15</v>
      </c>
      <c r="M350" s="1112"/>
      <c r="N350" s="1112">
        <f>G350+H351+K351+L351</f>
        <v>6241.05</v>
      </c>
      <c r="O350" s="1112"/>
      <c r="P350" s="1112">
        <v>0.25</v>
      </c>
      <c r="Q350" s="1112"/>
      <c r="R350" s="1112"/>
      <c r="S350" s="1112"/>
      <c r="T350" s="1134">
        <v>34</v>
      </c>
      <c r="U350" s="1138">
        <v>0.3</v>
      </c>
      <c r="V350" s="1112">
        <f>N350*U350</f>
        <v>1872.3150000000001</v>
      </c>
      <c r="W350" s="1112"/>
      <c r="X350" s="1112">
        <f>(N350+V350)*P350+W350</f>
        <v>2028.3412499999999</v>
      </c>
      <c r="Y350" s="1112">
        <f>AB350</f>
        <v>1346.6587500000001</v>
      </c>
      <c r="Z350" s="1112">
        <f>X350+Y350</f>
        <v>3375</v>
      </c>
      <c r="AA350" s="1109">
        <f>13500*P350</f>
        <v>3375</v>
      </c>
      <c r="AB350" s="1109">
        <f>AA350-X350</f>
        <v>1346.6587500000001</v>
      </c>
      <c r="AC350" s="1112">
        <f>6700*P350</f>
        <v>1675</v>
      </c>
      <c r="AD350" s="1112"/>
      <c r="AE350" s="436">
        <f t="shared" si="126"/>
        <v>0</v>
      </c>
      <c r="AF350" s="436">
        <f t="shared" si="127"/>
        <v>1356.75</v>
      </c>
      <c r="AG350" s="436">
        <f t="shared" si="128"/>
        <v>0</v>
      </c>
      <c r="AH350" s="436">
        <f t="shared" si="129"/>
        <v>1560.2625</v>
      </c>
      <c r="AI350" s="436">
        <f t="shared" si="141"/>
        <v>0</v>
      </c>
      <c r="AJ350" s="436">
        <f t="shared" si="141"/>
        <v>203.51250000000005</v>
      </c>
      <c r="AK350" s="437">
        <f t="shared" si="130"/>
        <v>0</v>
      </c>
      <c r="AL350" s="437">
        <f t="shared" si="131"/>
        <v>468.07875000000001</v>
      </c>
      <c r="AM350" s="437">
        <f t="shared" si="132"/>
        <v>0</v>
      </c>
      <c r="AN350" s="437">
        <f t="shared" si="133"/>
        <v>0</v>
      </c>
      <c r="AO350" s="437">
        <f t="shared" si="134"/>
        <v>0</v>
      </c>
      <c r="AP350" s="437">
        <f t="shared" si="143"/>
        <v>0</v>
      </c>
      <c r="AQ350" s="437">
        <f t="shared" si="143"/>
        <v>1560.2625</v>
      </c>
      <c r="AR350" s="436"/>
      <c r="AS350" s="437">
        <f t="shared" si="125"/>
        <v>1560.2625</v>
      </c>
    </row>
    <row r="351" spans="1:45" s="438" customFormat="1" ht="24.95" customHeight="1">
      <c r="A351" s="1134"/>
      <c r="B351" s="1134"/>
      <c r="C351" s="1139"/>
      <c r="D351" s="1134"/>
      <c r="E351" s="1134"/>
      <c r="F351" s="1134"/>
      <c r="G351" s="1112"/>
      <c r="H351" s="1112"/>
      <c r="I351" s="1112"/>
      <c r="J351" s="1112"/>
      <c r="K351" s="1112"/>
      <c r="L351" s="439">
        <f>G350*L350</f>
        <v>814.05</v>
      </c>
      <c r="M351" s="1112"/>
      <c r="N351" s="1112"/>
      <c r="O351" s="1112"/>
      <c r="P351" s="1112"/>
      <c r="Q351" s="1112"/>
      <c r="R351" s="1112"/>
      <c r="S351" s="1112"/>
      <c r="T351" s="1134"/>
      <c r="U351" s="1138"/>
      <c r="V351" s="1112"/>
      <c r="W351" s="1112"/>
      <c r="X351" s="1112"/>
      <c r="Y351" s="1112"/>
      <c r="Z351" s="1112"/>
      <c r="AA351" s="1109"/>
      <c r="AB351" s="1109"/>
      <c r="AC351" s="1112"/>
      <c r="AD351" s="1112"/>
      <c r="AE351" s="436">
        <f t="shared" si="126"/>
        <v>0</v>
      </c>
      <c r="AF351" s="436">
        <f t="shared" si="127"/>
        <v>0</v>
      </c>
      <c r="AG351" s="436">
        <f t="shared" si="128"/>
        <v>0</v>
      </c>
      <c r="AH351" s="436">
        <f t="shared" si="129"/>
        <v>0</v>
      </c>
      <c r="AI351" s="436">
        <f t="shared" si="141"/>
        <v>0</v>
      </c>
      <c r="AJ351" s="436">
        <f t="shared" si="141"/>
        <v>0</v>
      </c>
      <c r="AK351" s="437">
        <f t="shared" si="130"/>
        <v>0</v>
      </c>
      <c r="AL351" s="437">
        <f t="shared" si="131"/>
        <v>0</v>
      </c>
      <c r="AM351" s="437">
        <f t="shared" si="132"/>
        <v>0</v>
      </c>
      <c r="AN351" s="437">
        <f t="shared" si="133"/>
        <v>0</v>
      </c>
      <c r="AO351" s="437">
        <f t="shared" si="134"/>
        <v>0</v>
      </c>
      <c r="AP351" s="437">
        <f t="shared" si="143"/>
        <v>0</v>
      </c>
      <c r="AQ351" s="437">
        <f t="shared" si="143"/>
        <v>0</v>
      </c>
      <c r="AR351" s="436"/>
      <c r="AS351" s="437">
        <f t="shared" si="125"/>
        <v>0</v>
      </c>
    </row>
    <row r="352" spans="1:45" s="438" customFormat="1" ht="24.95" customHeight="1">
      <c r="A352" s="1134"/>
      <c r="B352" s="1134"/>
      <c r="C352" s="1139" t="s">
        <v>612</v>
      </c>
      <c r="D352" s="1134" t="s">
        <v>679</v>
      </c>
      <c r="E352" s="1134" t="s">
        <v>680</v>
      </c>
      <c r="F352" s="1134">
        <v>10</v>
      </c>
      <c r="G352" s="1112">
        <v>5427</v>
      </c>
      <c r="H352" s="1112"/>
      <c r="I352" s="1112"/>
      <c r="J352" s="1112"/>
      <c r="K352" s="1112"/>
      <c r="L352" s="435">
        <v>0.15</v>
      </c>
      <c r="M352" s="1112"/>
      <c r="N352" s="1112">
        <f>G352+H353+K353+L353</f>
        <v>6241.05</v>
      </c>
      <c r="O352" s="1112">
        <v>1</v>
      </c>
      <c r="P352" s="1112"/>
      <c r="Q352" s="1112"/>
      <c r="R352" s="1112"/>
      <c r="S352" s="1112"/>
      <c r="T352" s="1134">
        <v>34</v>
      </c>
      <c r="U352" s="1138">
        <v>0.3</v>
      </c>
      <c r="V352" s="1112">
        <f>N352*U352</f>
        <v>1872.3150000000001</v>
      </c>
      <c r="W352" s="1112"/>
      <c r="X352" s="1112">
        <f>(N352+V352)*O352</f>
        <v>8113.3649999999998</v>
      </c>
      <c r="Y352" s="1112">
        <f>AB352</f>
        <v>5386.6350000000002</v>
      </c>
      <c r="Z352" s="1112">
        <f>X352+Y352</f>
        <v>13500</v>
      </c>
      <c r="AA352" s="1109">
        <f>13500*O352</f>
        <v>13500</v>
      </c>
      <c r="AB352" s="1109">
        <f>AA352-X352</f>
        <v>5386.6350000000002</v>
      </c>
      <c r="AC352" s="1112">
        <f>6700*O352</f>
        <v>6700</v>
      </c>
      <c r="AD352" s="1112"/>
      <c r="AE352" s="436">
        <f t="shared" si="126"/>
        <v>5427</v>
      </c>
      <c r="AF352" s="436">
        <f t="shared" si="127"/>
        <v>0</v>
      </c>
      <c r="AG352" s="436">
        <f t="shared" si="128"/>
        <v>6241.05</v>
      </c>
      <c r="AH352" s="436">
        <f t="shared" si="129"/>
        <v>0</v>
      </c>
      <c r="AI352" s="436">
        <f t="shared" si="141"/>
        <v>814.05000000000018</v>
      </c>
      <c r="AJ352" s="436">
        <f t="shared" si="141"/>
        <v>0</v>
      </c>
      <c r="AK352" s="437">
        <f t="shared" si="130"/>
        <v>1872.3150000000001</v>
      </c>
      <c r="AL352" s="437">
        <f t="shared" si="131"/>
        <v>0</v>
      </c>
      <c r="AM352" s="437">
        <f t="shared" si="132"/>
        <v>0</v>
      </c>
      <c r="AN352" s="437">
        <f t="shared" si="133"/>
        <v>0</v>
      </c>
      <c r="AO352" s="437">
        <f t="shared" si="134"/>
        <v>0</v>
      </c>
      <c r="AP352" s="437">
        <f t="shared" si="143"/>
        <v>6241.05</v>
      </c>
      <c r="AQ352" s="437">
        <f t="shared" si="143"/>
        <v>0</v>
      </c>
      <c r="AR352" s="436"/>
      <c r="AS352" s="437">
        <f t="shared" si="125"/>
        <v>6241.05</v>
      </c>
    </row>
    <row r="353" spans="1:45" s="438" customFormat="1" ht="24.95" customHeight="1">
      <c r="A353" s="1134"/>
      <c r="B353" s="1134"/>
      <c r="C353" s="1139"/>
      <c r="D353" s="1134"/>
      <c r="E353" s="1134"/>
      <c r="F353" s="1134"/>
      <c r="G353" s="1112"/>
      <c r="H353" s="1112"/>
      <c r="I353" s="1112"/>
      <c r="J353" s="1112"/>
      <c r="K353" s="1112"/>
      <c r="L353" s="439">
        <f>G352*L352</f>
        <v>814.05</v>
      </c>
      <c r="M353" s="1112"/>
      <c r="N353" s="1112"/>
      <c r="O353" s="1112"/>
      <c r="P353" s="1112"/>
      <c r="Q353" s="1112"/>
      <c r="R353" s="1112"/>
      <c r="S353" s="1112"/>
      <c r="T353" s="1134"/>
      <c r="U353" s="1138"/>
      <c r="V353" s="1112"/>
      <c r="W353" s="1112"/>
      <c r="X353" s="1112"/>
      <c r="Y353" s="1112"/>
      <c r="Z353" s="1112"/>
      <c r="AA353" s="1109"/>
      <c r="AB353" s="1109"/>
      <c r="AC353" s="1112"/>
      <c r="AD353" s="1112"/>
      <c r="AE353" s="436">
        <f t="shared" si="126"/>
        <v>0</v>
      </c>
      <c r="AF353" s="436">
        <f t="shared" si="127"/>
        <v>0</v>
      </c>
      <c r="AG353" s="436">
        <f t="shared" si="128"/>
        <v>0</v>
      </c>
      <c r="AH353" s="436">
        <f t="shared" si="129"/>
        <v>0</v>
      </c>
      <c r="AI353" s="436">
        <f t="shared" si="141"/>
        <v>0</v>
      </c>
      <c r="AJ353" s="436">
        <f t="shared" si="141"/>
        <v>0</v>
      </c>
      <c r="AK353" s="437">
        <f t="shared" si="130"/>
        <v>0</v>
      </c>
      <c r="AL353" s="437">
        <f t="shared" si="131"/>
        <v>0</v>
      </c>
      <c r="AM353" s="437">
        <f t="shared" si="132"/>
        <v>0</v>
      </c>
      <c r="AN353" s="437">
        <f t="shared" si="133"/>
        <v>0</v>
      </c>
      <c r="AO353" s="437">
        <f t="shared" si="134"/>
        <v>0</v>
      </c>
      <c r="AP353" s="437">
        <f t="shared" si="143"/>
        <v>0</v>
      </c>
      <c r="AQ353" s="437">
        <f t="shared" si="143"/>
        <v>0</v>
      </c>
      <c r="AR353" s="436"/>
      <c r="AS353" s="437">
        <f t="shared" si="125"/>
        <v>0</v>
      </c>
    </row>
    <row r="354" spans="1:45" s="438" customFormat="1" ht="24.95" customHeight="1">
      <c r="A354" s="1134"/>
      <c r="B354" s="1134"/>
      <c r="C354" s="1139" t="s">
        <v>683</v>
      </c>
      <c r="D354" s="1134" t="s">
        <v>1060</v>
      </c>
      <c r="E354" s="1134" t="s">
        <v>684</v>
      </c>
      <c r="F354" s="1134">
        <v>10</v>
      </c>
      <c r="G354" s="1112">
        <v>5427</v>
      </c>
      <c r="H354" s="1112"/>
      <c r="I354" s="1112"/>
      <c r="J354" s="1112"/>
      <c r="K354" s="1112"/>
      <c r="L354" s="435">
        <v>0.15</v>
      </c>
      <c r="M354" s="1112"/>
      <c r="N354" s="1112">
        <f>G354+H355+K355+L355</f>
        <v>6241.05</v>
      </c>
      <c r="O354" s="1112">
        <v>1</v>
      </c>
      <c r="P354" s="1112"/>
      <c r="Q354" s="1112"/>
      <c r="R354" s="1112"/>
      <c r="S354" s="1112"/>
      <c r="T354" s="1134">
        <v>38</v>
      </c>
      <c r="U354" s="1138">
        <v>0.3</v>
      </c>
      <c r="V354" s="1112">
        <f>N354*U354</f>
        <v>1872.3150000000001</v>
      </c>
      <c r="W354" s="1112"/>
      <c r="X354" s="1112">
        <f>(N354+V354)*O354</f>
        <v>8113.3649999999998</v>
      </c>
      <c r="Y354" s="1112">
        <f>AB354</f>
        <v>5386.6350000000002</v>
      </c>
      <c r="Z354" s="1112">
        <f>X354+Y354</f>
        <v>13500</v>
      </c>
      <c r="AA354" s="1109">
        <f>13500*O354</f>
        <v>13500</v>
      </c>
      <c r="AB354" s="1109">
        <f>AA354-X354</f>
        <v>5386.6350000000002</v>
      </c>
      <c r="AC354" s="1112">
        <f>6700*O354</f>
        <v>6700</v>
      </c>
      <c r="AD354" s="1112"/>
      <c r="AE354" s="436">
        <f t="shared" si="126"/>
        <v>5427</v>
      </c>
      <c r="AF354" s="436">
        <f t="shared" si="127"/>
        <v>0</v>
      </c>
      <c r="AG354" s="436">
        <f t="shared" si="128"/>
        <v>6241.05</v>
      </c>
      <c r="AH354" s="436">
        <f t="shared" si="129"/>
        <v>0</v>
      </c>
      <c r="AI354" s="436">
        <f t="shared" si="141"/>
        <v>814.05000000000018</v>
      </c>
      <c r="AJ354" s="436">
        <f t="shared" si="141"/>
        <v>0</v>
      </c>
      <c r="AK354" s="437">
        <f t="shared" si="130"/>
        <v>1872.3150000000001</v>
      </c>
      <c r="AL354" s="437">
        <f t="shared" si="131"/>
        <v>0</v>
      </c>
      <c r="AM354" s="437">
        <f t="shared" si="132"/>
        <v>0</v>
      </c>
      <c r="AN354" s="437">
        <f t="shared" si="133"/>
        <v>0</v>
      </c>
      <c r="AO354" s="437">
        <f t="shared" si="134"/>
        <v>0</v>
      </c>
      <c r="AP354" s="437">
        <f t="shared" si="143"/>
        <v>6241.05</v>
      </c>
      <c r="AQ354" s="437">
        <f t="shared" si="143"/>
        <v>0</v>
      </c>
      <c r="AR354" s="436"/>
      <c r="AS354" s="437">
        <f t="shared" si="125"/>
        <v>6241.05</v>
      </c>
    </row>
    <row r="355" spans="1:45" s="438" customFormat="1" ht="24.95" customHeight="1">
      <c r="A355" s="1134"/>
      <c r="B355" s="1134"/>
      <c r="C355" s="1139"/>
      <c r="D355" s="1134"/>
      <c r="E355" s="1134"/>
      <c r="F355" s="1134"/>
      <c r="G355" s="1112"/>
      <c r="H355" s="1112"/>
      <c r="I355" s="1112"/>
      <c r="J355" s="1112"/>
      <c r="K355" s="1112"/>
      <c r="L355" s="439">
        <f>G354*L354</f>
        <v>814.05</v>
      </c>
      <c r="M355" s="1112"/>
      <c r="N355" s="1112"/>
      <c r="O355" s="1112"/>
      <c r="P355" s="1112"/>
      <c r="Q355" s="1112"/>
      <c r="R355" s="1112"/>
      <c r="S355" s="1112"/>
      <c r="T355" s="1134"/>
      <c r="U355" s="1138"/>
      <c r="V355" s="1112"/>
      <c r="W355" s="1112"/>
      <c r="X355" s="1112"/>
      <c r="Y355" s="1112"/>
      <c r="Z355" s="1112"/>
      <c r="AA355" s="1109"/>
      <c r="AB355" s="1109"/>
      <c r="AC355" s="1112"/>
      <c r="AD355" s="1112"/>
      <c r="AE355" s="436">
        <f t="shared" si="126"/>
        <v>0</v>
      </c>
      <c r="AF355" s="436">
        <f t="shared" si="127"/>
        <v>0</v>
      </c>
      <c r="AG355" s="436">
        <f t="shared" si="128"/>
        <v>0</v>
      </c>
      <c r="AH355" s="436">
        <f t="shared" si="129"/>
        <v>0</v>
      </c>
      <c r="AI355" s="436">
        <f t="shared" si="141"/>
        <v>0</v>
      </c>
      <c r="AJ355" s="436">
        <f t="shared" si="141"/>
        <v>0</v>
      </c>
      <c r="AK355" s="437">
        <f t="shared" si="130"/>
        <v>0</v>
      </c>
      <c r="AL355" s="437">
        <f t="shared" si="131"/>
        <v>0</v>
      </c>
      <c r="AM355" s="437">
        <f t="shared" si="132"/>
        <v>0</v>
      </c>
      <c r="AN355" s="437">
        <f t="shared" si="133"/>
        <v>0</v>
      </c>
      <c r="AO355" s="437">
        <f t="shared" si="134"/>
        <v>0</v>
      </c>
      <c r="AP355" s="437">
        <f t="shared" si="143"/>
        <v>0</v>
      </c>
      <c r="AQ355" s="437">
        <f t="shared" si="143"/>
        <v>0</v>
      </c>
      <c r="AR355" s="436"/>
      <c r="AS355" s="437">
        <f t="shared" si="125"/>
        <v>0</v>
      </c>
    </row>
    <row r="356" spans="1:45" s="438" customFormat="1" ht="24.95" customHeight="1">
      <c r="A356" s="1134"/>
      <c r="B356" s="1134"/>
      <c r="C356" s="1139" t="s">
        <v>683</v>
      </c>
      <c r="D356" s="1134" t="s">
        <v>685</v>
      </c>
      <c r="E356" s="1134" t="s">
        <v>686</v>
      </c>
      <c r="F356" s="1134">
        <v>10</v>
      </c>
      <c r="G356" s="1112">
        <v>5427</v>
      </c>
      <c r="H356" s="1112"/>
      <c r="I356" s="1112"/>
      <c r="J356" s="1112"/>
      <c r="K356" s="1112"/>
      <c r="L356" s="435">
        <v>0.15</v>
      </c>
      <c r="M356" s="1112"/>
      <c r="N356" s="1112">
        <f>G356+H357+K357+L357</f>
        <v>6241.05</v>
      </c>
      <c r="O356" s="1112">
        <v>1</v>
      </c>
      <c r="P356" s="1140"/>
      <c r="Q356" s="1140"/>
      <c r="R356" s="1140"/>
      <c r="S356" s="1140"/>
      <c r="T356" s="1134">
        <v>34</v>
      </c>
      <c r="U356" s="1138">
        <v>0.3</v>
      </c>
      <c r="V356" s="1112">
        <f>N356*U356</f>
        <v>1872.3150000000001</v>
      </c>
      <c r="W356" s="1112"/>
      <c r="X356" s="1112">
        <f>(N356+V356)*O356</f>
        <v>8113.3649999999998</v>
      </c>
      <c r="Y356" s="1112">
        <f>AB356</f>
        <v>5386.6350000000002</v>
      </c>
      <c r="Z356" s="1112">
        <f>X356+Y356</f>
        <v>13500</v>
      </c>
      <c r="AA356" s="1109">
        <f>13500*O356</f>
        <v>13500</v>
      </c>
      <c r="AB356" s="1109">
        <f>AA356-X356</f>
        <v>5386.6350000000002</v>
      </c>
      <c r="AC356" s="1112">
        <f>6700*O356</f>
        <v>6700</v>
      </c>
      <c r="AD356" s="1112"/>
      <c r="AE356" s="436">
        <f t="shared" si="126"/>
        <v>5427</v>
      </c>
      <c r="AF356" s="436">
        <f t="shared" si="127"/>
        <v>0</v>
      </c>
      <c r="AG356" s="436">
        <f t="shared" si="128"/>
        <v>6241.05</v>
      </c>
      <c r="AH356" s="436">
        <f t="shared" si="129"/>
        <v>0</v>
      </c>
      <c r="AI356" s="436">
        <f t="shared" si="141"/>
        <v>814.05000000000018</v>
      </c>
      <c r="AJ356" s="436">
        <f t="shared" si="141"/>
        <v>0</v>
      </c>
      <c r="AK356" s="437">
        <f t="shared" si="130"/>
        <v>1872.3150000000001</v>
      </c>
      <c r="AL356" s="437">
        <f t="shared" si="131"/>
        <v>0</v>
      </c>
      <c r="AM356" s="437">
        <f t="shared" si="132"/>
        <v>0</v>
      </c>
      <c r="AN356" s="437">
        <f t="shared" ref="AN356:AN419" si="144">S356*O356</f>
        <v>0</v>
      </c>
      <c r="AO356" s="437">
        <f t="shared" ref="AO356:AO419" si="145">S356*P356</f>
        <v>0</v>
      </c>
      <c r="AP356" s="437">
        <f t="shared" si="143"/>
        <v>6241.05</v>
      </c>
      <c r="AQ356" s="437">
        <f t="shared" si="143"/>
        <v>0</v>
      </c>
      <c r="AR356" s="436"/>
      <c r="AS356" s="437">
        <f t="shared" si="125"/>
        <v>6241.05</v>
      </c>
    </row>
    <row r="357" spans="1:45" s="438" customFormat="1" ht="24.95" customHeight="1">
      <c r="A357" s="1134"/>
      <c r="B357" s="1134"/>
      <c r="C357" s="1139"/>
      <c r="D357" s="1134"/>
      <c r="E357" s="1134"/>
      <c r="F357" s="1134"/>
      <c r="G357" s="1112"/>
      <c r="H357" s="1112"/>
      <c r="I357" s="1112"/>
      <c r="J357" s="1112"/>
      <c r="K357" s="1112"/>
      <c r="L357" s="439">
        <f>G356*L356</f>
        <v>814.05</v>
      </c>
      <c r="M357" s="1112"/>
      <c r="N357" s="1112"/>
      <c r="O357" s="1112"/>
      <c r="P357" s="1140"/>
      <c r="Q357" s="1140"/>
      <c r="R357" s="1140"/>
      <c r="S357" s="1140"/>
      <c r="T357" s="1134"/>
      <c r="U357" s="1138"/>
      <c r="V357" s="1112"/>
      <c r="W357" s="1112"/>
      <c r="X357" s="1112"/>
      <c r="Y357" s="1112"/>
      <c r="Z357" s="1112"/>
      <c r="AA357" s="1109"/>
      <c r="AB357" s="1109"/>
      <c r="AC357" s="1112"/>
      <c r="AD357" s="1112"/>
      <c r="AE357" s="436">
        <f t="shared" si="126"/>
        <v>0</v>
      </c>
      <c r="AF357" s="436">
        <f t="shared" si="127"/>
        <v>0</v>
      </c>
      <c r="AG357" s="436">
        <f t="shared" si="128"/>
        <v>0</v>
      </c>
      <c r="AH357" s="436">
        <f t="shared" si="129"/>
        <v>0</v>
      </c>
      <c r="AI357" s="436">
        <f t="shared" si="141"/>
        <v>0</v>
      </c>
      <c r="AJ357" s="436">
        <f t="shared" si="141"/>
        <v>0</v>
      </c>
      <c r="AK357" s="437">
        <f t="shared" si="130"/>
        <v>0</v>
      </c>
      <c r="AL357" s="437">
        <f t="shared" si="131"/>
        <v>0</v>
      </c>
      <c r="AM357" s="437">
        <f t="shared" si="132"/>
        <v>0</v>
      </c>
      <c r="AN357" s="437">
        <f t="shared" si="144"/>
        <v>0</v>
      </c>
      <c r="AO357" s="437">
        <f t="shared" si="145"/>
        <v>0</v>
      </c>
      <c r="AP357" s="437">
        <f t="shared" si="143"/>
        <v>0</v>
      </c>
      <c r="AQ357" s="437">
        <f t="shared" si="143"/>
        <v>0</v>
      </c>
      <c r="AR357" s="436"/>
      <c r="AS357" s="437">
        <f t="shared" si="125"/>
        <v>0</v>
      </c>
    </row>
    <row r="358" spans="1:45" s="438" customFormat="1" ht="24.95" customHeight="1">
      <c r="A358" s="1134"/>
      <c r="B358" s="1134"/>
      <c r="C358" s="1139" t="s">
        <v>683</v>
      </c>
      <c r="D358" s="1134" t="s">
        <v>1061</v>
      </c>
      <c r="E358" s="1134" t="s">
        <v>687</v>
      </c>
      <c r="F358" s="1134">
        <v>10</v>
      </c>
      <c r="G358" s="1112">
        <v>5427</v>
      </c>
      <c r="H358" s="1112"/>
      <c r="I358" s="1112"/>
      <c r="J358" s="1112"/>
      <c r="K358" s="1112"/>
      <c r="L358" s="435">
        <v>0.15</v>
      </c>
      <c r="M358" s="1112"/>
      <c r="N358" s="1112">
        <f>G358+H359+K359+L359</f>
        <v>6241.05</v>
      </c>
      <c r="O358" s="1112">
        <v>1</v>
      </c>
      <c r="P358" s="1112"/>
      <c r="Q358" s="1112"/>
      <c r="R358" s="1112"/>
      <c r="S358" s="1112"/>
      <c r="T358" s="1134">
        <v>32</v>
      </c>
      <c r="U358" s="1138">
        <v>0.3</v>
      </c>
      <c r="V358" s="1112">
        <f>N358*U358</f>
        <v>1872.3150000000001</v>
      </c>
      <c r="W358" s="1112"/>
      <c r="X358" s="1112">
        <f>(N358+V358)*O358</f>
        <v>8113.3649999999998</v>
      </c>
      <c r="Y358" s="1112">
        <f>AB358</f>
        <v>5386.6350000000002</v>
      </c>
      <c r="Z358" s="1112">
        <f>X358+Y358</f>
        <v>13500</v>
      </c>
      <c r="AA358" s="1109">
        <f>13500*O358</f>
        <v>13500</v>
      </c>
      <c r="AB358" s="1109">
        <f>AA358-X358</f>
        <v>5386.6350000000002</v>
      </c>
      <c r="AC358" s="1112">
        <f>6700*O358</f>
        <v>6700</v>
      </c>
      <c r="AD358" s="1112"/>
      <c r="AE358" s="436">
        <f t="shared" si="126"/>
        <v>5427</v>
      </c>
      <c r="AF358" s="436">
        <f t="shared" si="127"/>
        <v>0</v>
      </c>
      <c r="AG358" s="436">
        <f t="shared" si="128"/>
        <v>6241.05</v>
      </c>
      <c r="AH358" s="436">
        <f t="shared" si="129"/>
        <v>0</v>
      </c>
      <c r="AI358" s="436">
        <f t="shared" si="141"/>
        <v>814.05000000000018</v>
      </c>
      <c r="AJ358" s="436">
        <f t="shared" si="141"/>
        <v>0</v>
      </c>
      <c r="AK358" s="437">
        <f t="shared" si="130"/>
        <v>1872.3150000000001</v>
      </c>
      <c r="AL358" s="437">
        <f t="shared" si="131"/>
        <v>0</v>
      </c>
      <c r="AM358" s="437">
        <f t="shared" si="132"/>
        <v>0</v>
      </c>
      <c r="AN358" s="437">
        <f t="shared" si="144"/>
        <v>0</v>
      </c>
      <c r="AO358" s="437">
        <f t="shared" si="145"/>
        <v>0</v>
      </c>
      <c r="AP358" s="437">
        <f t="shared" si="143"/>
        <v>6241.05</v>
      </c>
      <c r="AQ358" s="437">
        <f t="shared" si="143"/>
        <v>0</v>
      </c>
      <c r="AR358" s="436"/>
      <c r="AS358" s="437">
        <f t="shared" ref="AS358:AS421" si="146">AP358+AQ358-AR358</f>
        <v>6241.05</v>
      </c>
    </row>
    <row r="359" spans="1:45" s="438" customFormat="1" ht="24.95" customHeight="1">
      <c r="A359" s="1134"/>
      <c r="B359" s="1134"/>
      <c r="C359" s="1139"/>
      <c r="D359" s="1134"/>
      <c r="E359" s="1134"/>
      <c r="F359" s="1134"/>
      <c r="G359" s="1112"/>
      <c r="H359" s="1112"/>
      <c r="I359" s="1112"/>
      <c r="J359" s="1112"/>
      <c r="K359" s="1112"/>
      <c r="L359" s="439">
        <f>G358*L358</f>
        <v>814.05</v>
      </c>
      <c r="M359" s="1112"/>
      <c r="N359" s="1112"/>
      <c r="O359" s="1112"/>
      <c r="P359" s="1112"/>
      <c r="Q359" s="1112"/>
      <c r="R359" s="1112"/>
      <c r="S359" s="1112"/>
      <c r="T359" s="1134"/>
      <c r="U359" s="1138"/>
      <c r="V359" s="1112"/>
      <c r="W359" s="1112"/>
      <c r="X359" s="1112"/>
      <c r="Y359" s="1112"/>
      <c r="Z359" s="1112"/>
      <c r="AA359" s="1109"/>
      <c r="AB359" s="1109"/>
      <c r="AC359" s="1112"/>
      <c r="AD359" s="1112"/>
      <c r="AE359" s="436">
        <f t="shared" si="126"/>
        <v>0</v>
      </c>
      <c r="AF359" s="436">
        <f t="shared" si="127"/>
        <v>0</v>
      </c>
      <c r="AG359" s="436">
        <f t="shared" si="128"/>
        <v>0</v>
      </c>
      <c r="AH359" s="436">
        <f t="shared" si="129"/>
        <v>0</v>
      </c>
      <c r="AI359" s="436">
        <f t="shared" si="141"/>
        <v>0</v>
      </c>
      <c r="AJ359" s="436">
        <f t="shared" si="141"/>
        <v>0</v>
      </c>
      <c r="AK359" s="437">
        <f t="shared" si="130"/>
        <v>0</v>
      </c>
      <c r="AL359" s="437">
        <f t="shared" si="131"/>
        <v>0</v>
      </c>
      <c r="AM359" s="437">
        <f t="shared" si="132"/>
        <v>0</v>
      </c>
      <c r="AN359" s="437">
        <f t="shared" si="144"/>
        <v>0</v>
      </c>
      <c r="AO359" s="437">
        <f t="shared" si="145"/>
        <v>0</v>
      </c>
      <c r="AP359" s="437">
        <f t="shared" si="143"/>
        <v>0</v>
      </c>
      <c r="AQ359" s="437">
        <f t="shared" si="143"/>
        <v>0</v>
      </c>
      <c r="AR359" s="436"/>
      <c r="AS359" s="437">
        <f t="shared" si="146"/>
        <v>0</v>
      </c>
    </row>
    <row r="360" spans="1:45" s="446" customFormat="1" ht="24.95" customHeight="1">
      <c r="A360" s="441"/>
      <c r="B360" s="441"/>
      <c r="C360" s="442" t="s">
        <v>318</v>
      </c>
      <c r="D360" s="443"/>
      <c r="E360" s="441"/>
      <c r="F360" s="441"/>
      <c r="G360" s="444">
        <f>SUM(G346:G359)</f>
        <v>37989</v>
      </c>
      <c r="H360" s="441"/>
      <c r="I360" s="441"/>
      <c r="J360" s="441"/>
      <c r="K360" s="441"/>
      <c r="L360" s="451">
        <f>L347+L349+L351+L353+L355+L357+L359</f>
        <v>5698.35</v>
      </c>
      <c r="M360" s="441"/>
      <c r="N360" s="444">
        <f>SUM(N346:N359)</f>
        <v>43687.350000000006</v>
      </c>
      <c r="O360" s="444">
        <f>SUM(O346:O359)</f>
        <v>5</v>
      </c>
      <c r="P360" s="444">
        <f>SUM(P346:P359)</f>
        <v>0.5</v>
      </c>
      <c r="Q360" s="444"/>
      <c r="R360" s="444"/>
      <c r="S360" s="444"/>
      <c r="T360" s="444"/>
      <c r="U360" s="444"/>
      <c r="V360" s="444">
        <f t="shared" ref="V360:AD360" si="147">SUM(V346:V359)</f>
        <v>13106.205000000002</v>
      </c>
      <c r="W360" s="444">
        <f t="shared" si="147"/>
        <v>0</v>
      </c>
      <c r="X360" s="444">
        <f t="shared" si="147"/>
        <v>44623.507499999992</v>
      </c>
      <c r="Y360" s="444">
        <f t="shared" si="147"/>
        <v>29626.492500000008</v>
      </c>
      <c r="Z360" s="444">
        <f t="shared" si="147"/>
        <v>74250</v>
      </c>
      <c r="AA360" s="499">
        <f t="shared" si="147"/>
        <v>74250</v>
      </c>
      <c r="AB360" s="499">
        <f t="shared" si="147"/>
        <v>29626.492500000008</v>
      </c>
      <c r="AC360" s="444">
        <f t="shared" si="147"/>
        <v>36850</v>
      </c>
      <c r="AD360" s="444">
        <f t="shared" si="147"/>
        <v>0</v>
      </c>
      <c r="AE360" s="436"/>
      <c r="AF360" s="436"/>
      <c r="AG360" s="436"/>
      <c r="AH360" s="436"/>
      <c r="AI360" s="436"/>
      <c r="AJ360" s="436"/>
      <c r="AK360" s="437"/>
      <c r="AL360" s="437"/>
      <c r="AM360" s="437"/>
      <c r="AN360" s="437"/>
      <c r="AO360" s="437"/>
      <c r="AP360" s="437">
        <f t="shared" si="143"/>
        <v>0</v>
      </c>
      <c r="AQ360" s="437">
        <f t="shared" si="143"/>
        <v>0</v>
      </c>
      <c r="AR360" s="436"/>
      <c r="AS360" s="437">
        <f t="shared" si="146"/>
        <v>0</v>
      </c>
    </row>
    <row r="361" spans="1:45" s="456" customFormat="1" ht="24.95" customHeight="1">
      <c r="A361" s="455"/>
      <c r="B361" s="455"/>
      <c r="C361" s="1135" t="s">
        <v>688</v>
      </c>
      <c r="D361" s="1135"/>
      <c r="E361" s="455"/>
      <c r="F361" s="455"/>
      <c r="G361" s="455"/>
      <c r="H361" s="455"/>
      <c r="I361" s="455"/>
      <c r="J361" s="455"/>
      <c r="K361" s="455"/>
      <c r="L361" s="455"/>
      <c r="M361" s="455"/>
      <c r="N361" s="455"/>
      <c r="O361" s="455"/>
      <c r="P361" s="455"/>
      <c r="Q361" s="455"/>
      <c r="R361" s="455"/>
      <c r="S361" s="455"/>
      <c r="T361" s="455"/>
      <c r="U361" s="455"/>
      <c r="V361" s="455"/>
      <c r="W361" s="455"/>
      <c r="X361" s="455"/>
      <c r="Y361" s="455"/>
      <c r="Z361" s="455"/>
      <c r="AA361" s="504"/>
      <c r="AB361" s="504"/>
      <c r="AC361" s="455"/>
      <c r="AD361" s="455"/>
      <c r="AE361" s="436">
        <f t="shared" ref="AE361:AE424" si="148">G361*O361</f>
        <v>0</v>
      </c>
      <c r="AF361" s="436">
        <f t="shared" ref="AF361:AF424" si="149">G361*P361</f>
        <v>0</v>
      </c>
      <c r="AG361" s="436">
        <f t="shared" ref="AG361:AG424" si="150">N361*O361</f>
        <v>0</v>
      </c>
      <c r="AH361" s="436">
        <f t="shared" ref="AH361:AH424" si="151">N361*P361</f>
        <v>0</v>
      </c>
      <c r="AI361" s="436">
        <f t="shared" ref="AI361:AJ402" si="152">AG361-AE361</f>
        <v>0</v>
      </c>
      <c r="AJ361" s="436">
        <f t="shared" si="152"/>
        <v>0</v>
      </c>
      <c r="AK361" s="437">
        <f t="shared" ref="AK361:AK424" si="153">V361*O361</f>
        <v>0</v>
      </c>
      <c r="AL361" s="437">
        <f t="shared" ref="AL361:AL424" si="154">V361*P361</f>
        <v>0</v>
      </c>
      <c r="AM361" s="437">
        <f t="shared" ref="AM361:AM424" si="155">W361</f>
        <v>0</v>
      </c>
      <c r="AN361" s="437">
        <f t="shared" si="144"/>
        <v>0</v>
      </c>
      <c r="AO361" s="437">
        <f t="shared" si="145"/>
        <v>0</v>
      </c>
      <c r="AP361" s="437">
        <f t="shared" si="143"/>
        <v>0</v>
      </c>
      <c r="AQ361" s="437">
        <f t="shared" si="143"/>
        <v>0</v>
      </c>
      <c r="AR361" s="436"/>
      <c r="AS361" s="437">
        <f t="shared" si="146"/>
        <v>0</v>
      </c>
    </row>
    <row r="362" spans="1:45" s="438" customFormat="1" ht="24.95" customHeight="1">
      <c r="A362" s="1134"/>
      <c r="B362" s="1134"/>
      <c r="C362" s="1139" t="s">
        <v>689</v>
      </c>
      <c r="D362" s="1134" t="s">
        <v>337</v>
      </c>
      <c r="E362" s="1134" t="s">
        <v>677</v>
      </c>
      <c r="F362" s="1134">
        <v>7</v>
      </c>
      <c r="G362" s="1112">
        <v>4592</v>
      </c>
      <c r="H362" s="1112"/>
      <c r="I362" s="1112"/>
      <c r="J362" s="1112"/>
      <c r="K362" s="1112"/>
      <c r="L362" s="1112"/>
      <c r="M362" s="1112"/>
      <c r="N362" s="1112">
        <f>G362+H363+L363</f>
        <v>4592</v>
      </c>
      <c r="O362" s="1112">
        <v>1</v>
      </c>
      <c r="P362" s="1112"/>
      <c r="Q362" s="1112"/>
      <c r="R362" s="1112"/>
      <c r="S362" s="1112"/>
      <c r="T362" s="1134">
        <v>1</v>
      </c>
      <c r="U362" s="1138">
        <v>0</v>
      </c>
      <c r="V362" s="1112">
        <f>N362*U362</f>
        <v>0</v>
      </c>
      <c r="W362" s="1112">
        <f>AD362</f>
        <v>2108</v>
      </c>
      <c r="X362" s="1112">
        <f>(N362+V362)*O362+W362</f>
        <v>6700</v>
      </c>
      <c r="Y362" s="1112">
        <f>AB362</f>
        <v>6800</v>
      </c>
      <c r="Z362" s="1112">
        <f>X362+Y362</f>
        <v>13500</v>
      </c>
      <c r="AA362" s="1109">
        <f>13500*O362</f>
        <v>13500</v>
      </c>
      <c r="AB362" s="1109">
        <f>AA362-X362</f>
        <v>6800</v>
      </c>
      <c r="AC362" s="1112">
        <f>6700*O362</f>
        <v>6700</v>
      </c>
      <c r="AD362" s="1112">
        <f>AC362-(N362*O362)-V362</f>
        <v>2108</v>
      </c>
      <c r="AE362" s="436">
        <f t="shared" si="148"/>
        <v>4592</v>
      </c>
      <c r="AF362" s="436">
        <f t="shared" si="149"/>
        <v>0</v>
      </c>
      <c r="AG362" s="436">
        <f t="shared" si="150"/>
        <v>4592</v>
      </c>
      <c r="AH362" s="436">
        <f t="shared" si="151"/>
        <v>0</v>
      </c>
      <c r="AI362" s="436">
        <f t="shared" si="152"/>
        <v>0</v>
      </c>
      <c r="AJ362" s="436">
        <f t="shared" si="152"/>
        <v>0</v>
      </c>
      <c r="AK362" s="437">
        <f t="shared" si="153"/>
        <v>0</v>
      </c>
      <c r="AL362" s="437">
        <f t="shared" si="154"/>
        <v>0</v>
      </c>
      <c r="AM362" s="437">
        <f t="shared" si="155"/>
        <v>2108</v>
      </c>
      <c r="AN362" s="437">
        <f t="shared" si="144"/>
        <v>0</v>
      </c>
      <c r="AO362" s="437">
        <f t="shared" si="145"/>
        <v>0</v>
      </c>
      <c r="AP362" s="437">
        <f t="shared" si="143"/>
        <v>4592</v>
      </c>
      <c r="AQ362" s="437">
        <f t="shared" si="143"/>
        <v>0</v>
      </c>
      <c r="AR362" s="436"/>
      <c r="AS362" s="437">
        <f t="shared" si="146"/>
        <v>4592</v>
      </c>
    </row>
    <row r="363" spans="1:45" s="438" customFormat="1" ht="24.95" customHeight="1">
      <c r="A363" s="1134"/>
      <c r="B363" s="1134"/>
      <c r="C363" s="1139"/>
      <c r="D363" s="1134"/>
      <c r="E363" s="1134"/>
      <c r="F363" s="1134"/>
      <c r="G363" s="1112"/>
      <c r="H363" s="1112"/>
      <c r="I363" s="1112"/>
      <c r="J363" s="1112"/>
      <c r="K363" s="1112"/>
      <c r="L363" s="1112"/>
      <c r="M363" s="1112"/>
      <c r="N363" s="1112"/>
      <c r="O363" s="1112"/>
      <c r="P363" s="1112"/>
      <c r="Q363" s="1112"/>
      <c r="R363" s="1112"/>
      <c r="S363" s="1112"/>
      <c r="T363" s="1134"/>
      <c r="U363" s="1138"/>
      <c r="V363" s="1112"/>
      <c r="W363" s="1112"/>
      <c r="X363" s="1112"/>
      <c r="Y363" s="1112"/>
      <c r="Z363" s="1112"/>
      <c r="AA363" s="1109"/>
      <c r="AB363" s="1109"/>
      <c r="AC363" s="1112"/>
      <c r="AD363" s="1112"/>
      <c r="AE363" s="436">
        <f t="shared" si="148"/>
        <v>0</v>
      </c>
      <c r="AF363" s="436">
        <f t="shared" si="149"/>
        <v>0</v>
      </c>
      <c r="AG363" s="436">
        <f t="shared" si="150"/>
        <v>0</v>
      </c>
      <c r="AH363" s="436">
        <f t="shared" si="151"/>
        <v>0</v>
      </c>
      <c r="AI363" s="436">
        <f t="shared" si="152"/>
        <v>0</v>
      </c>
      <c r="AJ363" s="436">
        <f t="shared" si="152"/>
        <v>0</v>
      </c>
      <c r="AK363" s="437">
        <f t="shared" si="153"/>
        <v>0</v>
      </c>
      <c r="AL363" s="437">
        <f t="shared" si="154"/>
        <v>0</v>
      </c>
      <c r="AM363" s="437">
        <f t="shared" si="155"/>
        <v>0</v>
      </c>
      <c r="AN363" s="437">
        <f t="shared" si="144"/>
        <v>0</v>
      </c>
      <c r="AO363" s="437">
        <f t="shared" si="145"/>
        <v>0</v>
      </c>
      <c r="AP363" s="437">
        <f t="shared" si="143"/>
        <v>0</v>
      </c>
      <c r="AQ363" s="437">
        <f t="shared" si="143"/>
        <v>0</v>
      </c>
      <c r="AR363" s="436"/>
      <c r="AS363" s="437">
        <f t="shared" si="146"/>
        <v>0</v>
      </c>
    </row>
    <row r="364" spans="1:45" s="438" customFormat="1" ht="24.95" customHeight="1">
      <c r="A364" s="1134"/>
      <c r="B364" s="1134"/>
      <c r="C364" s="1139" t="s">
        <v>689</v>
      </c>
      <c r="D364" s="1134" t="s">
        <v>692</v>
      </c>
      <c r="E364" s="1134" t="s">
        <v>693</v>
      </c>
      <c r="F364" s="1134">
        <v>10</v>
      </c>
      <c r="G364" s="1112">
        <v>5427</v>
      </c>
      <c r="H364" s="1112"/>
      <c r="I364" s="1112"/>
      <c r="J364" s="1112"/>
      <c r="K364" s="1112"/>
      <c r="L364" s="1112"/>
      <c r="M364" s="1112"/>
      <c r="N364" s="1112">
        <f>G364+H365+L365</f>
        <v>5427</v>
      </c>
      <c r="O364" s="1112">
        <v>1</v>
      </c>
      <c r="P364" s="1112"/>
      <c r="Q364" s="1112"/>
      <c r="R364" s="1112"/>
      <c r="S364" s="1112"/>
      <c r="T364" s="1134">
        <v>36</v>
      </c>
      <c r="U364" s="1138">
        <v>0.3</v>
      </c>
      <c r="V364" s="1112">
        <f>N364*U364</f>
        <v>1628.1</v>
      </c>
      <c r="W364" s="1112"/>
      <c r="X364" s="1112">
        <f>(N364+V364)*O364</f>
        <v>7055.1</v>
      </c>
      <c r="Y364" s="1112">
        <f>AB364</f>
        <v>6444.9</v>
      </c>
      <c r="Z364" s="1112">
        <f>X364+Y364</f>
        <v>13500</v>
      </c>
      <c r="AA364" s="1109">
        <f>13500*O364</f>
        <v>13500</v>
      </c>
      <c r="AB364" s="1109">
        <f>AA364-X364</f>
        <v>6444.9</v>
      </c>
      <c r="AC364" s="1112">
        <f>6700*O364</f>
        <v>6700</v>
      </c>
      <c r="AD364" s="1112"/>
      <c r="AE364" s="436">
        <f t="shared" si="148"/>
        <v>5427</v>
      </c>
      <c r="AF364" s="436">
        <f t="shared" si="149"/>
        <v>0</v>
      </c>
      <c r="AG364" s="436">
        <f t="shared" si="150"/>
        <v>5427</v>
      </c>
      <c r="AH364" s="436">
        <f t="shared" si="151"/>
        <v>0</v>
      </c>
      <c r="AI364" s="436">
        <f t="shared" si="152"/>
        <v>0</v>
      </c>
      <c r="AJ364" s="436">
        <f t="shared" si="152"/>
        <v>0</v>
      </c>
      <c r="AK364" s="437">
        <f t="shared" si="153"/>
        <v>1628.1</v>
      </c>
      <c r="AL364" s="437">
        <f t="shared" si="154"/>
        <v>0</v>
      </c>
      <c r="AM364" s="437">
        <f t="shared" si="155"/>
        <v>0</v>
      </c>
      <c r="AN364" s="437">
        <f t="shared" si="144"/>
        <v>0</v>
      </c>
      <c r="AO364" s="437">
        <f t="shared" si="145"/>
        <v>0</v>
      </c>
      <c r="AP364" s="437">
        <f t="shared" si="143"/>
        <v>5427</v>
      </c>
      <c r="AQ364" s="437">
        <f t="shared" si="143"/>
        <v>0</v>
      </c>
      <c r="AR364" s="436"/>
      <c r="AS364" s="437">
        <f t="shared" si="146"/>
        <v>5427</v>
      </c>
    </row>
    <row r="365" spans="1:45" s="438" customFormat="1" ht="24.95" customHeight="1">
      <c r="A365" s="1134"/>
      <c r="B365" s="1134"/>
      <c r="C365" s="1139"/>
      <c r="D365" s="1134"/>
      <c r="E365" s="1134"/>
      <c r="F365" s="1134"/>
      <c r="G365" s="1112"/>
      <c r="H365" s="1112"/>
      <c r="I365" s="1112"/>
      <c r="J365" s="1112"/>
      <c r="K365" s="1112"/>
      <c r="L365" s="1112"/>
      <c r="M365" s="1112"/>
      <c r="N365" s="1112"/>
      <c r="O365" s="1112"/>
      <c r="P365" s="1112"/>
      <c r="Q365" s="1112"/>
      <c r="R365" s="1112"/>
      <c r="S365" s="1112"/>
      <c r="T365" s="1134"/>
      <c r="U365" s="1138"/>
      <c r="V365" s="1112"/>
      <c r="W365" s="1112"/>
      <c r="X365" s="1112"/>
      <c r="Y365" s="1112"/>
      <c r="Z365" s="1112"/>
      <c r="AA365" s="1109"/>
      <c r="AB365" s="1109"/>
      <c r="AC365" s="1112"/>
      <c r="AD365" s="1112"/>
      <c r="AE365" s="436">
        <f t="shared" si="148"/>
        <v>0</v>
      </c>
      <c r="AF365" s="436">
        <f t="shared" si="149"/>
        <v>0</v>
      </c>
      <c r="AG365" s="436">
        <f t="shared" si="150"/>
        <v>0</v>
      </c>
      <c r="AH365" s="436">
        <f t="shared" si="151"/>
        <v>0</v>
      </c>
      <c r="AI365" s="436">
        <f t="shared" si="152"/>
        <v>0</v>
      </c>
      <c r="AJ365" s="436">
        <f t="shared" si="152"/>
        <v>0</v>
      </c>
      <c r="AK365" s="437">
        <f t="shared" si="153"/>
        <v>0</v>
      </c>
      <c r="AL365" s="437">
        <f t="shared" si="154"/>
        <v>0</v>
      </c>
      <c r="AM365" s="437">
        <f t="shared" si="155"/>
        <v>0</v>
      </c>
      <c r="AN365" s="437">
        <f t="shared" si="144"/>
        <v>0</v>
      </c>
      <c r="AO365" s="437">
        <f t="shared" si="145"/>
        <v>0</v>
      </c>
      <c r="AP365" s="437">
        <f t="shared" si="143"/>
        <v>0</v>
      </c>
      <c r="AQ365" s="437">
        <f t="shared" si="143"/>
        <v>0</v>
      </c>
      <c r="AR365" s="436"/>
      <c r="AS365" s="437">
        <f t="shared" si="146"/>
        <v>0</v>
      </c>
    </row>
    <row r="366" spans="1:45" s="438" customFormat="1" ht="24.95" customHeight="1">
      <c r="A366" s="1134"/>
      <c r="B366" s="1134"/>
      <c r="C366" s="1139" t="s">
        <v>689</v>
      </c>
      <c r="D366" s="1134" t="s">
        <v>690</v>
      </c>
      <c r="E366" s="1134" t="s">
        <v>691</v>
      </c>
      <c r="F366" s="1134">
        <v>10</v>
      </c>
      <c r="G366" s="1112">
        <v>5427</v>
      </c>
      <c r="H366" s="1112"/>
      <c r="I366" s="1112"/>
      <c r="J366" s="1112"/>
      <c r="K366" s="1112"/>
      <c r="L366" s="1112"/>
      <c r="M366" s="1140"/>
      <c r="N366" s="1112">
        <f>G366+H367+L367</f>
        <v>5427</v>
      </c>
      <c r="O366" s="1112">
        <v>1</v>
      </c>
      <c r="P366" s="1112"/>
      <c r="Q366" s="1140"/>
      <c r="R366" s="1140"/>
      <c r="S366" s="1140"/>
      <c r="T366" s="1134">
        <v>30</v>
      </c>
      <c r="U366" s="1138">
        <v>0.3</v>
      </c>
      <c r="V366" s="1112">
        <f>N366*U366</f>
        <v>1628.1</v>
      </c>
      <c r="W366" s="1112"/>
      <c r="X366" s="1112">
        <f>(N366+V366)*O366</f>
        <v>7055.1</v>
      </c>
      <c r="Y366" s="1112">
        <f>AB366</f>
        <v>6444.9</v>
      </c>
      <c r="Z366" s="1112">
        <f>X366+Y366</f>
        <v>13500</v>
      </c>
      <c r="AA366" s="1109">
        <f>13500*O366</f>
        <v>13500</v>
      </c>
      <c r="AB366" s="1109">
        <f>AA366-X366</f>
        <v>6444.9</v>
      </c>
      <c r="AC366" s="1112">
        <f>6700*O366</f>
        <v>6700</v>
      </c>
      <c r="AD366" s="1112"/>
      <c r="AE366" s="436">
        <f t="shared" si="148"/>
        <v>5427</v>
      </c>
      <c r="AF366" s="436">
        <f t="shared" si="149"/>
        <v>0</v>
      </c>
      <c r="AG366" s="436">
        <f t="shared" si="150"/>
        <v>5427</v>
      </c>
      <c r="AH366" s="436">
        <f t="shared" si="151"/>
        <v>0</v>
      </c>
      <c r="AI366" s="436">
        <f t="shared" si="152"/>
        <v>0</v>
      </c>
      <c r="AJ366" s="436">
        <f t="shared" si="152"/>
        <v>0</v>
      </c>
      <c r="AK366" s="437">
        <f t="shared" si="153"/>
        <v>1628.1</v>
      </c>
      <c r="AL366" s="437">
        <f t="shared" si="154"/>
        <v>0</v>
      </c>
      <c r="AM366" s="437">
        <f t="shared" si="155"/>
        <v>0</v>
      </c>
      <c r="AN366" s="437">
        <f t="shared" si="144"/>
        <v>0</v>
      </c>
      <c r="AO366" s="437">
        <f t="shared" si="145"/>
        <v>0</v>
      </c>
      <c r="AP366" s="437">
        <f t="shared" si="143"/>
        <v>5427</v>
      </c>
      <c r="AQ366" s="437">
        <f t="shared" si="143"/>
        <v>0</v>
      </c>
      <c r="AR366" s="436"/>
      <c r="AS366" s="437">
        <f t="shared" si="146"/>
        <v>5427</v>
      </c>
    </row>
    <row r="367" spans="1:45" s="438" customFormat="1" ht="24.95" customHeight="1">
      <c r="A367" s="1134"/>
      <c r="B367" s="1134"/>
      <c r="C367" s="1139"/>
      <c r="D367" s="1134"/>
      <c r="E367" s="1134"/>
      <c r="F367" s="1134"/>
      <c r="G367" s="1112"/>
      <c r="H367" s="1112"/>
      <c r="I367" s="1112"/>
      <c r="J367" s="1112"/>
      <c r="K367" s="1112"/>
      <c r="L367" s="1112"/>
      <c r="M367" s="1140"/>
      <c r="N367" s="1112"/>
      <c r="O367" s="1112"/>
      <c r="P367" s="1112"/>
      <c r="Q367" s="1140"/>
      <c r="R367" s="1140"/>
      <c r="S367" s="1140"/>
      <c r="T367" s="1134"/>
      <c r="U367" s="1138"/>
      <c r="V367" s="1112"/>
      <c r="W367" s="1112"/>
      <c r="X367" s="1112"/>
      <c r="Y367" s="1112"/>
      <c r="Z367" s="1112"/>
      <c r="AA367" s="1109"/>
      <c r="AB367" s="1109"/>
      <c r="AC367" s="1112"/>
      <c r="AD367" s="1112"/>
      <c r="AE367" s="436">
        <f t="shared" si="148"/>
        <v>0</v>
      </c>
      <c r="AF367" s="436">
        <f t="shared" si="149"/>
        <v>0</v>
      </c>
      <c r="AG367" s="436">
        <f t="shared" si="150"/>
        <v>0</v>
      </c>
      <c r="AH367" s="436">
        <f t="shared" si="151"/>
        <v>0</v>
      </c>
      <c r="AI367" s="436">
        <f t="shared" si="152"/>
        <v>0</v>
      </c>
      <c r="AJ367" s="436">
        <f t="shared" si="152"/>
        <v>0</v>
      </c>
      <c r="AK367" s="437">
        <f t="shared" si="153"/>
        <v>0</v>
      </c>
      <c r="AL367" s="437">
        <f t="shared" si="154"/>
        <v>0</v>
      </c>
      <c r="AM367" s="437">
        <f t="shared" si="155"/>
        <v>0</v>
      </c>
      <c r="AN367" s="437">
        <f t="shared" si="144"/>
        <v>0</v>
      </c>
      <c r="AO367" s="437">
        <f t="shared" si="145"/>
        <v>0</v>
      </c>
      <c r="AP367" s="437">
        <f t="shared" si="143"/>
        <v>0</v>
      </c>
      <c r="AQ367" s="437">
        <f t="shared" si="143"/>
        <v>0</v>
      </c>
      <c r="AR367" s="436"/>
      <c r="AS367" s="437">
        <f t="shared" si="146"/>
        <v>0</v>
      </c>
    </row>
    <row r="368" spans="1:45" s="438" customFormat="1" ht="24.95" customHeight="1">
      <c r="A368" s="1134"/>
      <c r="B368" s="1134"/>
      <c r="C368" s="1139" t="s">
        <v>689</v>
      </c>
      <c r="D368" s="1134" t="s">
        <v>694</v>
      </c>
      <c r="E368" s="1134" t="s">
        <v>695</v>
      </c>
      <c r="F368" s="1134">
        <v>10</v>
      </c>
      <c r="G368" s="1112">
        <v>5427</v>
      </c>
      <c r="H368" s="1112"/>
      <c r="I368" s="1138"/>
      <c r="J368" s="1138"/>
      <c r="K368" s="1112"/>
      <c r="L368" s="1112"/>
      <c r="M368" s="1140"/>
      <c r="N368" s="1112">
        <f>G368+H369+L369</f>
        <v>5427</v>
      </c>
      <c r="O368" s="1112">
        <v>1</v>
      </c>
      <c r="P368" s="1112"/>
      <c r="Q368" s="1140"/>
      <c r="R368" s="1140"/>
      <c r="S368" s="1140"/>
      <c r="T368" s="1134">
        <v>26</v>
      </c>
      <c r="U368" s="1138">
        <v>0.3</v>
      </c>
      <c r="V368" s="1112">
        <f>N368*U368</f>
        <v>1628.1</v>
      </c>
      <c r="W368" s="1112"/>
      <c r="X368" s="1112">
        <f>(N368+V368)*O368</f>
        <v>7055.1</v>
      </c>
      <c r="Y368" s="1112">
        <f>AB368</f>
        <v>6444.9</v>
      </c>
      <c r="Z368" s="1112">
        <f>X368+Y368</f>
        <v>13500</v>
      </c>
      <c r="AA368" s="1109">
        <f>13500*O368</f>
        <v>13500</v>
      </c>
      <c r="AB368" s="1109">
        <f>AA368-X368</f>
        <v>6444.9</v>
      </c>
      <c r="AC368" s="1112">
        <f>6700*O368</f>
        <v>6700</v>
      </c>
      <c r="AD368" s="1112"/>
      <c r="AE368" s="436">
        <f t="shared" si="148"/>
        <v>5427</v>
      </c>
      <c r="AF368" s="436">
        <f t="shared" si="149"/>
        <v>0</v>
      </c>
      <c r="AG368" s="436">
        <f t="shared" si="150"/>
        <v>5427</v>
      </c>
      <c r="AH368" s="436">
        <f t="shared" si="151"/>
        <v>0</v>
      </c>
      <c r="AI368" s="436">
        <f t="shared" si="152"/>
        <v>0</v>
      </c>
      <c r="AJ368" s="436">
        <f t="shared" si="152"/>
        <v>0</v>
      </c>
      <c r="AK368" s="437">
        <f t="shared" si="153"/>
        <v>1628.1</v>
      </c>
      <c r="AL368" s="437">
        <f t="shared" si="154"/>
        <v>0</v>
      </c>
      <c r="AM368" s="437">
        <f t="shared" si="155"/>
        <v>0</v>
      </c>
      <c r="AN368" s="437">
        <f t="shared" si="144"/>
        <v>0</v>
      </c>
      <c r="AO368" s="437">
        <f t="shared" si="145"/>
        <v>0</v>
      </c>
      <c r="AP368" s="437">
        <f t="shared" si="143"/>
        <v>5427</v>
      </c>
      <c r="AQ368" s="437">
        <f t="shared" si="143"/>
        <v>0</v>
      </c>
      <c r="AR368" s="436"/>
      <c r="AS368" s="437">
        <f t="shared" si="146"/>
        <v>5427</v>
      </c>
    </row>
    <row r="369" spans="1:45" s="438" customFormat="1" ht="24.95" customHeight="1">
      <c r="A369" s="1134"/>
      <c r="B369" s="1134"/>
      <c r="C369" s="1139"/>
      <c r="D369" s="1134"/>
      <c r="E369" s="1134"/>
      <c r="F369" s="1134"/>
      <c r="G369" s="1112"/>
      <c r="H369" s="1112"/>
      <c r="I369" s="1134"/>
      <c r="J369" s="1134"/>
      <c r="K369" s="1112"/>
      <c r="L369" s="1112"/>
      <c r="M369" s="1140"/>
      <c r="N369" s="1112"/>
      <c r="O369" s="1112"/>
      <c r="P369" s="1112"/>
      <c r="Q369" s="1140"/>
      <c r="R369" s="1140"/>
      <c r="S369" s="1140"/>
      <c r="T369" s="1134"/>
      <c r="U369" s="1138"/>
      <c r="V369" s="1112"/>
      <c r="W369" s="1112"/>
      <c r="X369" s="1112"/>
      <c r="Y369" s="1112"/>
      <c r="Z369" s="1112"/>
      <c r="AA369" s="1109"/>
      <c r="AB369" s="1109"/>
      <c r="AC369" s="1112"/>
      <c r="AD369" s="1112"/>
      <c r="AE369" s="436">
        <f t="shared" si="148"/>
        <v>0</v>
      </c>
      <c r="AF369" s="436">
        <f t="shared" si="149"/>
        <v>0</v>
      </c>
      <c r="AG369" s="436">
        <f t="shared" si="150"/>
        <v>0</v>
      </c>
      <c r="AH369" s="436">
        <f t="shared" si="151"/>
        <v>0</v>
      </c>
      <c r="AI369" s="436">
        <f t="shared" si="152"/>
        <v>0</v>
      </c>
      <c r="AJ369" s="436">
        <f t="shared" si="152"/>
        <v>0</v>
      </c>
      <c r="AK369" s="437">
        <f t="shared" si="153"/>
        <v>0</v>
      </c>
      <c r="AL369" s="437">
        <f t="shared" si="154"/>
        <v>0</v>
      </c>
      <c r="AM369" s="437">
        <f t="shared" si="155"/>
        <v>0</v>
      </c>
      <c r="AN369" s="437">
        <f t="shared" si="144"/>
        <v>0</v>
      </c>
      <c r="AO369" s="437">
        <f t="shared" si="145"/>
        <v>0</v>
      </c>
      <c r="AP369" s="437">
        <f t="shared" si="143"/>
        <v>0</v>
      </c>
      <c r="AQ369" s="437">
        <f t="shared" si="143"/>
        <v>0</v>
      </c>
      <c r="AR369" s="436"/>
      <c r="AS369" s="437">
        <f t="shared" si="146"/>
        <v>0</v>
      </c>
    </row>
    <row r="370" spans="1:45" s="446" customFormat="1" ht="24.95" customHeight="1">
      <c r="A370" s="441"/>
      <c r="B370" s="441"/>
      <c r="C370" s="442" t="s">
        <v>318</v>
      </c>
      <c r="D370" s="443"/>
      <c r="E370" s="441"/>
      <c r="F370" s="441"/>
      <c r="G370" s="444">
        <f>SUM(G362:G369)</f>
        <v>20873</v>
      </c>
      <c r="H370" s="441"/>
      <c r="I370" s="441"/>
      <c r="J370" s="441"/>
      <c r="K370" s="441"/>
      <c r="L370" s="441"/>
      <c r="M370" s="441"/>
      <c r="N370" s="444">
        <f>SUM(N362:N369)</f>
        <v>20873</v>
      </c>
      <c r="O370" s="444">
        <f>SUM(O362:O369)</f>
        <v>4</v>
      </c>
      <c r="P370" s="444">
        <f>SUM(P362:P369)</f>
        <v>0</v>
      </c>
      <c r="Q370" s="444"/>
      <c r="R370" s="444"/>
      <c r="S370" s="444"/>
      <c r="T370" s="444"/>
      <c r="U370" s="444"/>
      <c r="V370" s="444">
        <f t="shared" ref="V370:AD370" si="156">SUM(V362:V369)</f>
        <v>4884.2999999999993</v>
      </c>
      <c r="W370" s="444">
        <f t="shared" si="156"/>
        <v>2108</v>
      </c>
      <c r="X370" s="444">
        <f t="shared" si="156"/>
        <v>27865.300000000003</v>
      </c>
      <c r="Y370" s="444">
        <f t="shared" si="156"/>
        <v>26134.699999999997</v>
      </c>
      <c r="Z370" s="444">
        <f t="shared" si="156"/>
        <v>54000</v>
      </c>
      <c r="AA370" s="499">
        <f t="shared" si="156"/>
        <v>54000</v>
      </c>
      <c r="AB370" s="499">
        <f t="shared" si="156"/>
        <v>26134.699999999997</v>
      </c>
      <c r="AC370" s="444">
        <f t="shared" si="156"/>
        <v>26800</v>
      </c>
      <c r="AD370" s="444">
        <f t="shared" si="156"/>
        <v>2108</v>
      </c>
      <c r="AE370" s="436"/>
      <c r="AF370" s="436"/>
      <c r="AG370" s="436"/>
      <c r="AH370" s="436"/>
      <c r="AI370" s="436"/>
      <c r="AJ370" s="436"/>
      <c r="AK370" s="437"/>
      <c r="AL370" s="437"/>
      <c r="AM370" s="437"/>
      <c r="AN370" s="437"/>
      <c r="AO370" s="437"/>
      <c r="AP370" s="437">
        <f t="shared" si="143"/>
        <v>0</v>
      </c>
      <c r="AQ370" s="437">
        <f t="shared" si="143"/>
        <v>0</v>
      </c>
      <c r="AR370" s="436"/>
      <c r="AS370" s="437">
        <f t="shared" si="146"/>
        <v>0</v>
      </c>
    </row>
    <row r="371" spans="1:45" s="456" customFormat="1" ht="24.95" customHeight="1">
      <c r="A371" s="455"/>
      <c r="B371" s="455"/>
      <c r="C371" s="1136" t="s">
        <v>533</v>
      </c>
      <c r="D371" s="1136"/>
      <c r="E371" s="455"/>
      <c r="F371" s="455"/>
      <c r="G371" s="455"/>
      <c r="H371" s="455"/>
      <c r="I371" s="455"/>
      <c r="J371" s="455"/>
      <c r="K371" s="455"/>
      <c r="L371" s="455"/>
      <c r="M371" s="455"/>
      <c r="N371" s="455"/>
      <c r="O371" s="455"/>
      <c r="P371" s="455"/>
      <c r="Q371" s="455"/>
      <c r="R371" s="455"/>
      <c r="S371" s="455"/>
      <c r="T371" s="455"/>
      <c r="U371" s="455"/>
      <c r="V371" s="455"/>
      <c r="W371" s="455"/>
      <c r="X371" s="455"/>
      <c r="Y371" s="455"/>
      <c r="Z371" s="455"/>
      <c r="AA371" s="504"/>
      <c r="AB371" s="504"/>
      <c r="AC371" s="455"/>
      <c r="AD371" s="455"/>
      <c r="AE371" s="436">
        <f t="shared" si="148"/>
        <v>0</v>
      </c>
      <c r="AF371" s="436">
        <f t="shared" si="149"/>
        <v>0</v>
      </c>
      <c r="AG371" s="436">
        <f t="shared" si="150"/>
        <v>0</v>
      </c>
      <c r="AH371" s="436">
        <f t="shared" si="151"/>
        <v>0</v>
      </c>
      <c r="AI371" s="436">
        <f t="shared" si="152"/>
        <v>0</v>
      </c>
      <c r="AJ371" s="436">
        <f t="shared" si="152"/>
        <v>0</v>
      </c>
      <c r="AK371" s="437">
        <f t="shared" si="153"/>
        <v>0</v>
      </c>
      <c r="AL371" s="437">
        <f t="shared" si="154"/>
        <v>0</v>
      </c>
      <c r="AM371" s="437">
        <f t="shared" si="155"/>
        <v>0</v>
      </c>
      <c r="AN371" s="437">
        <f t="shared" si="144"/>
        <v>0</v>
      </c>
      <c r="AO371" s="437">
        <f t="shared" si="145"/>
        <v>0</v>
      </c>
      <c r="AP371" s="437">
        <f t="shared" si="143"/>
        <v>0</v>
      </c>
      <c r="AQ371" s="437">
        <f t="shared" si="143"/>
        <v>0</v>
      </c>
      <c r="AR371" s="436"/>
      <c r="AS371" s="437">
        <f t="shared" si="146"/>
        <v>0</v>
      </c>
    </row>
    <row r="372" spans="1:45" s="456" customFormat="1" ht="24.95" customHeight="1">
      <c r="A372" s="455"/>
      <c r="B372" s="455"/>
      <c r="C372" s="1136" t="s">
        <v>534</v>
      </c>
      <c r="D372" s="1136"/>
      <c r="E372" s="455"/>
      <c r="F372" s="455"/>
      <c r="G372" s="455"/>
      <c r="H372" s="455"/>
      <c r="I372" s="455"/>
      <c r="J372" s="455"/>
      <c r="K372" s="455"/>
      <c r="L372" s="455"/>
      <c r="M372" s="455"/>
      <c r="N372" s="455"/>
      <c r="O372" s="455"/>
      <c r="P372" s="455"/>
      <c r="Q372" s="455"/>
      <c r="R372" s="455"/>
      <c r="S372" s="455"/>
      <c r="T372" s="455"/>
      <c r="U372" s="455"/>
      <c r="V372" s="455"/>
      <c r="W372" s="455"/>
      <c r="X372" s="455"/>
      <c r="Y372" s="455"/>
      <c r="Z372" s="455"/>
      <c r="AA372" s="504"/>
      <c r="AB372" s="504"/>
      <c r="AC372" s="455"/>
      <c r="AD372" s="455"/>
      <c r="AE372" s="436">
        <f t="shared" si="148"/>
        <v>0</v>
      </c>
      <c r="AF372" s="436">
        <f t="shared" si="149"/>
        <v>0</v>
      </c>
      <c r="AG372" s="436">
        <f t="shared" si="150"/>
        <v>0</v>
      </c>
      <c r="AH372" s="436">
        <f t="shared" si="151"/>
        <v>0</v>
      </c>
      <c r="AI372" s="436">
        <f t="shared" si="152"/>
        <v>0</v>
      </c>
      <c r="AJ372" s="436">
        <f t="shared" si="152"/>
        <v>0</v>
      </c>
      <c r="AK372" s="437">
        <f t="shared" si="153"/>
        <v>0</v>
      </c>
      <c r="AL372" s="437">
        <f t="shared" si="154"/>
        <v>0</v>
      </c>
      <c r="AM372" s="437">
        <f t="shared" si="155"/>
        <v>0</v>
      </c>
      <c r="AN372" s="437">
        <f t="shared" si="144"/>
        <v>0</v>
      </c>
      <c r="AO372" s="437">
        <f t="shared" si="145"/>
        <v>0</v>
      </c>
      <c r="AP372" s="437">
        <f t="shared" si="143"/>
        <v>0</v>
      </c>
      <c r="AQ372" s="437">
        <f t="shared" si="143"/>
        <v>0</v>
      </c>
      <c r="AR372" s="436"/>
      <c r="AS372" s="437">
        <f t="shared" si="146"/>
        <v>0</v>
      </c>
    </row>
    <row r="373" spans="1:45" s="438" customFormat="1" ht="24.95" customHeight="1">
      <c r="A373" s="1134"/>
      <c r="B373" s="1134"/>
      <c r="C373" s="1139" t="s">
        <v>683</v>
      </c>
      <c r="D373" s="1134" t="s">
        <v>1062</v>
      </c>
      <c r="E373" s="1134" t="s">
        <v>696</v>
      </c>
      <c r="F373" s="1140">
        <v>10</v>
      </c>
      <c r="G373" s="1112">
        <v>5427</v>
      </c>
      <c r="H373" s="1112"/>
      <c r="I373" s="1112"/>
      <c r="J373" s="1112"/>
      <c r="K373" s="1112"/>
      <c r="L373" s="435">
        <v>0.15</v>
      </c>
      <c r="M373" s="1112"/>
      <c r="N373" s="1112">
        <f>G373+H374+K374+L374</f>
        <v>6241.05</v>
      </c>
      <c r="O373" s="1112">
        <v>1</v>
      </c>
      <c r="P373" s="1112"/>
      <c r="Q373" s="1112"/>
      <c r="R373" s="1112"/>
      <c r="S373" s="1112"/>
      <c r="T373" s="1134">
        <v>22</v>
      </c>
      <c r="U373" s="1138">
        <v>0.3</v>
      </c>
      <c r="V373" s="1112">
        <f>N373*U373</f>
        <v>1872.3150000000001</v>
      </c>
      <c r="W373" s="1112"/>
      <c r="X373" s="1112">
        <f>(N373+V373)*O373</f>
        <v>8113.3649999999998</v>
      </c>
      <c r="Y373" s="1112">
        <f>AB373</f>
        <v>5386.6350000000002</v>
      </c>
      <c r="Z373" s="1112">
        <f>X373+Y373</f>
        <v>13500</v>
      </c>
      <c r="AA373" s="1109">
        <f>13500*O373</f>
        <v>13500</v>
      </c>
      <c r="AB373" s="1109">
        <f>AA373-X373</f>
        <v>5386.6350000000002</v>
      </c>
      <c r="AC373" s="1112">
        <f>6700*O373</f>
        <v>6700</v>
      </c>
      <c r="AD373" s="1112"/>
      <c r="AE373" s="436">
        <f t="shared" si="148"/>
        <v>5427</v>
      </c>
      <c r="AF373" s="436">
        <f t="shared" si="149"/>
        <v>0</v>
      </c>
      <c r="AG373" s="436">
        <f t="shared" si="150"/>
        <v>6241.05</v>
      </c>
      <c r="AH373" s="436">
        <f t="shared" si="151"/>
        <v>0</v>
      </c>
      <c r="AI373" s="436">
        <f t="shared" si="152"/>
        <v>814.05000000000018</v>
      </c>
      <c r="AJ373" s="436">
        <f t="shared" si="152"/>
        <v>0</v>
      </c>
      <c r="AK373" s="437">
        <f t="shared" si="153"/>
        <v>1872.3150000000001</v>
      </c>
      <c r="AL373" s="437">
        <f t="shared" si="154"/>
        <v>0</v>
      </c>
      <c r="AM373" s="437">
        <f t="shared" si="155"/>
        <v>0</v>
      </c>
      <c r="AN373" s="437">
        <f t="shared" si="144"/>
        <v>0</v>
      </c>
      <c r="AO373" s="437">
        <f t="shared" si="145"/>
        <v>0</v>
      </c>
      <c r="AP373" s="437">
        <f t="shared" si="143"/>
        <v>6241.05</v>
      </c>
      <c r="AQ373" s="437">
        <f t="shared" si="143"/>
        <v>0</v>
      </c>
      <c r="AR373" s="436"/>
      <c r="AS373" s="437">
        <f t="shared" si="146"/>
        <v>6241.05</v>
      </c>
    </row>
    <row r="374" spans="1:45" s="438" customFormat="1" ht="24.95" customHeight="1">
      <c r="A374" s="1134"/>
      <c r="B374" s="1134"/>
      <c r="C374" s="1139"/>
      <c r="D374" s="1134"/>
      <c r="E374" s="1134"/>
      <c r="F374" s="1140"/>
      <c r="G374" s="1112"/>
      <c r="H374" s="1112"/>
      <c r="I374" s="1112"/>
      <c r="J374" s="1112"/>
      <c r="K374" s="1112"/>
      <c r="L374" s="439">
        <f>G373*L373</f>
        <v>814.05</v>
      </c>
      <c r="M374" s="1112"/>
      <c r="N374" s="1112"/>
      <c r="O374" s="1112"/>
      <c r="P374" s="1112"/>
      <c r="Q374" s="1112"/>
      <c r="R374" s="1112"/>
      <c r="S374" s="1112"/>
      <c r="T374" s="1134"/>
      <c r="U374" s="1138"/>
      <c r="V374" s="1112"/>
      <c r="W374" s="1112"/>
      <c r="X374" s="1112"/>
      <c r="Y374" s="1112"/>
      <c r="Z374" s="1112"/>
      <c r="AA374" s="1109"/>
      <c r="AB374" s="1109"/>
      <c r="AC374" s="1112"/>
      <c r="AD374" s="1112"/>
      <c r="AE374" s="436">
        <f t="shared" si="148"/>
        <v>0</v>
      </c>
      <c r="AF374" s="436">
        <f t="shared" si="149"/>
        <v>0</v>
      </c>
      <c r="AG374" s="436">
        <f t="shared" si="150"/>
        <v>0</v>
      </c>
      <c r="AH374" s="436">
        <f t="shared" si="151"/>
        <v>0</v>
      </c>
      <c r="AI374" s="436">
        <f t="shared" si="152"/>
        <v>0</v>
      </c>
      <c r="AJ374" s="436">
        <f t="shared" si="152"/>
        <v>0</v>
      </c>
      <c r="AK374" s="437">
        <f t="shared" si="153"/>
        <v>0</v>
      </c>
      <c r="AL374" s="437">
        <f t="shared" si="154"/>
        <v>0</v>
      </c>
      <c r="AM374" s="437">
        <f t="shared" si="155"/>
        <v>0</v>
      </c>
      <c r="AN374" s="437">
        <f t="shared" si="144"/>
        <v>0</v>
      </c>
      <c r="AO374" s="437">
        <f t="shared" si="145"/>
        <v>0</v>
      </c>
      <c r="AP374" s="437">
        <f t="shared" si="143"/>
        <v>0</v>
      </c>
      <c r="AQ374" s="437">
        <f t="shared" si="143"/>
        <v>0</v>
      </c>
      <c r="AR374" s="436"/>
      <c r="AS374" s="437">
        <f t="shared" si="146"/>
        <v>0</v>
      </c>
    </row>
    <row r="375" spans="1:45" s="438" customFormat="1" ht="24.95" customHeight="1">
      <c r="A375" s="1134"/>
      <c r="B375" s="1134"/>
      <c r="C375" s="1139" t="s">
        <v>683</v>
      </c>
      <c r="D375" s="1134" t="s">
        <v>1063</v>
      </c>
      <c r="E375" s="1134" t="s">
        <v>697</v>
      </c>
      <c r="F375" s="1140">
        <v>9</v>
      </c>
      <c r="G375" s="1112">
        <v>5159</v>
      </c>
      <c r="H375" s="1112"/>
      <c r="I375" s="1138"/>
      <c r="J375" s="1138"/>
      <c r="K375" s="1112"/>
      <c r="L375" s="435">
        <v>0.15</v>
      </c>
      <c r="M375" s="1140"/>
      <c r="N375" s="1112">
        <f>G375+H376+K376+L376</f>
        <v>5932.85</v>
      </c>
      <c r="O375" s="1112">
        <v>1</v>
      </c>
      <c r="P375" s="1112"/>
      <c r="Q375" s="1140"/>
      <c r="R375" s="1140"/>
      <c r="S375" s="1140"/>
      <c r="T375" s="1134">
        <v>16</v>
      </c>
      <c r="U375" s="1138">
        <v>0.2</v>
      </c>
      <c r="V375" s="1112">
        <f>N375*U375</f>
        <v>1186.5700000000002</v>
      </c>
      <c r="W375" s="1112"/>
      <c r="X375" s="1112">
        <f>(N375+V375)*O375+W375</f>
        <v>7119.42</v>
      </c>
      <c r="Y375" s="1112">
        <f>AB375</f>
        <v>6380.58</v>
      </c>
      <c r="Z375" s="1112">
        <f>X375+Y375</f>
        <v>13500</v>
      </c>
      <c r="AA375" s="1109">
        <f>13500*O375</f>
        <v>13500</v>
      </c>
      <c r="AB375" s="1109">
        <f>AA375-X375</f>
        <v>6380.58</v>
      </c>
      <c r="AC375" s="1112">
        <f>6700*O375</f>
        <v>6700</v>
      </c>
      <c r="AD375" s="1112"/>
      <c r="AE375" s="436">
        <f t="shared" si="148"/>
        <v>5159</v>
      </c>
      <c r="AF375" s="436">
        <f t="shared" si="149"/>
        <v>0</v>
      </c>
      <c r="AG375" s="436">
        <f t="shared" si="150"/>
        <v>5932.85</v>
      </c>
      <c r="AH375" s="436">
        <f t="shared" si="151"/>
        <v>0</v>
      </c>
      <c r="AI375" s="436">
        <f t="shared" si="152"/>
        <v>773.85000000000036</v>
      </c>
      <c r="AJ375" s="436">
        <f t="shared" si="152"/>
        <v>0</v>
      </c>
      <c r="AK375" s="437">
        <f t="shared" si="153"/>
        <v>1186.5700000000002</v>
      </c>
      <c r="AL375" s="437">
        <f t="shared" si="154"/>
        <v>0</v>
      </c>
      <c r="AM375" s="437">
        <f t="shared" si="155"/>
        <v>0</v>
      </c>
      <c r="AN375" s="437">
        <f t="shared" si="144"/>
        <v>0</v>
      </c>
      <c r="AO375" s="437">
        <f t="shared" si="145"/>
        <v>0</v>
      </c>
      <c r="AP375" s="437">
        <f t="shared" si="143"/>
        <v>5932.85</v>
      </c>
      <c r="AQ375" s="437">
        <f t="shared" si="143"/>
        <v>0</v>
      </c>
      <c r="AR375" s="436"/>
      <c r="AS375" s="437">
        <f t="shared" si="146"/>
        <v>5932.85</v>
      </c>
    </row>
    <row r="376" spans="1:45" s="438" customFormat="1" ht="24.95" customHeight="1">
      <c r="A376" s="1134"/>
      <c r="B376" s="1134"/>
      <c r="C376" s="1139"/>
      <c r="D376" s="1134"/>
      <c r="E376" s="1134"/>
      <c r="F376" s="1140"/>
      <c r="G376" s="1112"/>
      <c r="H376" s="1112"/>
      <c r="I376" s="1134"/>
      <c r="J376" s="1134"/>
      <c r="K376" s="1112"/>
      <c r="L376" s="439">
        <f>G375*L375</f>
        <v>773.85</v>
      </c>
      <c r="M376" s="1140"/>
      <c r="N376" s="1112"/>
      <c r="O376" s="1112"/>
      <c r="P376" s="1112"/>
      <c r="Q376" s="1140"/>
      <c r="R376" s="1140"/>
      <c r="S376" s="1140"/>
      <c r="T376" s="1134"/>
      <c r="U376" s="1138"/>
      <c r="V376" s="1112"/>
      <c r="W376" s="1112"/>
      <c r="X376" s="1112"/>
      <c r="Y376" s="1112"/>
      <c r="Z376" s="1112"/>
      <c r="AA376" s="1109"/>
      <c r="AB376" s="1109"/>
      <c r="AC376" s="1112"/>
      <c r="AD376" s="1112"/>
      <c r="AE376" s="436">
        <f t="shared" si="148"/>
        <v>0</v>
      </c>
      <c r="AF376" s="436">
        <f t="shared" si="149"/>
        <v>0</v>
      </c>
      <c r="AG376" s="436">
        <f t="shared" si="150"/>
        <v>0</v>
      </c>
      <c r="AH376" s="436">
        <f t="shared" si="151"/>
        <v>0</v>
      </c>
      <c r="AI376" s="436">
        <f t="shared" si="152"/>
        <v>0</v>
      </c>
      <c r="AJ376" s="436">
        <f t="shared" si="152"/>
        <v>0</v>
      </c>
      <c r="AK376" s="437">
        <f t="shared" si="153"/>
        <v>0</v>
      </c>
      <c r="AL376" s="437">
        <f t="shared" si="154"/>
        <v>0</v>
      </c>
      <c r="AM376" s="437">
        <f t="shared" si="155"/>
        <v>0</v>
      </c>
      <c r="AN376" s="437">
        <f t="shared" si="144"/>
        <v>0</v>
      </c>
      <c r="AO376" s="437">
        <f t="shared" si="145"/>
        <v>0</v>
      </c>
      <c r="AP376" s="437">
        <f t="shared" si="143"/>
        <v>0</v>
      </c>
      <c r="AQ376" s="437">
        <f t="shared" si="143"/>
        <v>0</v>
      </c>
      <c r="AR376" s="436"/>
      <c r="AS376" s="437">
        <f t="shared" si="146"/>
        <v>0</v>
      </c>
    </row>
    <row r="377" spans="1:45" s="438" customFormat="1" ht="23.25" customHeight="1">
      <c r="A377" s="1134"/>
      <c r="B377" s="1134"/>
      <c r="C377" s="1139" t="s">
        <v>683</v>
      </c>
      <c r="D377" s="1134" t="s">
        <v>698</v>
      </c>
      <c r="E377" s="1134" t="s">
        <v>699</v>
      </c>
      <c r="F377" s="1140">
        <v>8</v>
      </c>
      <c r="G377" s="1112">
        <v>4890</v>
      </c>
      <c r="H377" s="1112"/>
      <c r="I377" s="1112"/>
      <c r="J377" s="1112"/>
      <c r="K377" s="1112"/>
      <c r="L377" s="435">
        <v>0.15</v>
      </c>
      <c r="M377" s="1112"/>
      <c r="N377" s="1112">
        <f>G377+H378+K378+L378</f>
        <v>5623.5</v>
      </c>
      <c r="O377" s="1112">
        <v>0.5</v>
      </c>
      <c r="P377" s="1112"/>
      <c r="Q377" s="1112"/>
      <c r="R377" s="1112"/>
      <c r="S377" s="1112"/>
      <c r="T377" s="1134">
        <v>9</v>
      </c>
      <c r="U377" s="1138">
        <v>0.1</v>
      </c>
      <c r="V377" s="1112">
        <f>N377*U377</f>
        <v>562.35</v>
      </c>
      <c r="W377" s="1112">
        <f>AD377</f>
        <v>257.07499999999999</v>
      </c>
      <c r="X377" s="1112">
        <f>(N377+V377)*O377+W377</f>
        <v>3350</v>
      </c>
      <c r="Y377" s="1112">
        <f>AB377</f>
        <v>3400</v>
      </c>
      <c r="Z377" s="1112">
        <f>X377+Y377</f>
        <v>6750</v>
      </c>
      <c r="AA377" s="1109">
        <f>13500*O377</f>
        <v>6750</v>
      </c>
      <c r="AB377" s="1109">
        <f>AA377-X377</f>
        <v>3400</v>
      </c>
      <c r="AC377" s="1112">
        <f>6700*O377</f>
        <v>3350</v>
      </c>
      <c r="AD377" s="1112">
        <f>AC377-(N377*O377)-(V377*O377)</f>
        <v>257.07499999999999</v>
      </c>
      <c r="AE377" s="436">
        <f t="shared" si="148"/>
        <v>2445</v>
      </c>
      <c r="AF377" s="436">
        <f t="shared" si="149"/>
        <v>0</v>
      </c>
      <c r="AG377" s="436">
        <f t="shared" si="150"/>
        <v>2811.75</v>
      </c>
      <c r="AH377" s="436">
        <f t="shared" si="151"/>
        <v>0</v>
      </c>
      <c r="AI377" s="436">
        <f t="shared" si="152"/>
        <v>366.75</v>
      </c>
      <c r="AJ377" s="436">
        <f t="shared" si="152"/>
        <v>0</v>
      </c>
      <c r="AK377" s="437">
        <f t="shared" si="153"/>
        <v>281.17500000000001</v>
      </c>
      <c r="AL377" s="437">
        <f t="shared" si="154"/>
        <v>0</v>
      </c>
      <c r="AM377" s="437">
        <f t="shared" si="155"/>
        <v>257.07499999999999</v>
      </c>
      <c r="AN377" s="437">
        <f t="shared" si="144"/>
        <v>0</v>
      </c>
      <c r="AO377" s="437">
        <f t="shared" si="145"/>
        <v>0</v>
      </c>
      <c r="AP377" s="437">
        <f t="shared" si="143"/>
        <v>2811.75</v>
      </c>
      <c r="AQ377" s="437">
        <f t="shared" si="143"/>
        <v>0</v>
      </c>
      <c r="AR377" s="436"/>
      <c r="AS377" s="437">
        <f t="shared" si="146"/>
        <v>2811.75</v>
      </c>
    </row>
    <row r="378" spans="1:45" s="438" customFormat="1" ht="24.95" customHeight="1">
      <c r="A378" s="1134"/>
      <c r="B378" s="1134"/>
      <c r="C378" s="1139"/>
      <c r="D378" s="1134"/>
      <c r="E378" s="1134"/>
      <c r="F378" s="1134"/>
      <c r="G378" s="1134"/>
      <c r="H378" s="1112"/>
      <c r="I378" s="1112"/>
      <c r="J378" s="1112"/>
      <c r="K378" s="1112"/>
      <c r="L378" s="439">
        <f>G377*L377</f>
        <v>733.5</v>
      </c>
      <c r="M378" s="1112"/>
      <c r="N378" s="1112"/>
      <c r="O378" s="1112"/>
      <c r="P378" s="1112"/>
      <c r="Q378" s="1112"/>
      <c r="R378" s="1112"/>
      <c r="S378" s="1112"/>
      <c r="T378" s="1134"/>
      <c r="U378" s="1138"/>
      <c r="V378" s="1112"/>
      <c r="W378" s="1112"/>
      <c r="X378" s="1112"/>
      <c r="Y378" s="1112"/>
      <c r="Z378" s="1112"/>
      <c r="AA378" s="1109"/>
      <c r="AB378" s="1109"/>
      <c r="AC378" s="1112"/>
      <c r="AD378" s="1112"/>
      <c r="AE378" s="436">
        <f t="shared" si="148"/>
        <v>0</v>
      </c>
      <c r="AF378" s="436">
        <f t="shared" si="149"/>
        <v>0</v>
      </c>
      <c r="AG378" s="436">
        <f t="shared" si="150"/>
        <v>0</v>
      </c>
      <c r="AH378" s="436">
        <f t="shared" si="151"/>
        <v>0</v>
      </c>
      <c r="AI378" s="436">
        <f t="shared" si="152"/>
        <v>0</v>
      </c>
      <c r="AJ378" s="436">
        <f t="shared" si="152"/>
        <v>0</v>
      </c>
      <c r="AK378" s="437">
        <f t="shared" si="153"/>
        <v>0</v>
      </c>
      <c r="AL378" s="437">
        <f t="shared" si="154"/>
        <v>0</v>
      </c>
      <c r="AM378" s="437">
        <f t="shared" si="155"/>
        <v>0</v>
      </c>
      <c r="AN378" s="437">
        <f t="shared" si="144"/>
        <v>0</v>
      </c>
      <c r="AO378" s="437">
        <f t="shared" si="145"/>
        <v>0</v>
      </c>
      <c r="AP378" s="437">
        <f t="shared" si="143"/>
        <v>0</v>
      </c>
      <c r="AQ378" s="437">
        <f t="shared" si="143"/>
        <v>0</v>
      </c>
      <c r="AR378" s="436"/>
      <c r="AS378" s="437">
        <f t="shared" si="146"/>
        <v>0</v>
      </c>
    </row>
    <row r="379" spans="1:45" s="446" customFormat="1" ht="24.95" customHeight="1">
      <c r="A379" s="441"/>
      <c r="B379" s="441"/>
      <c r="C379" s="442" t="s">
        <v>318</v>
      </c>
      <c r="D379" s="443"/>
      <c r="E379" s="441"/>
      <c r="F379" s="441"/>
      <c r="G379" s="444">
        <f>SUM(G373:G378)</f>
        <v>15476</v>
      </c>
      <c r="H379" s="441"/>
      <c r="I379" s="441"/>
      <c r="J379" s="441"/>
      <c r="K379" s="441"/>
      <c r="L379" s="451">
        <f>SUM(L373:L378)</f>
        <v>2321.85</v>
      </c>
      <c r="M379" s="441"/>
      <c r="N379" s="444">
        <f>SUM(N373:N378)</f>
        <v>17797.400000000001</v>
      </c>
      <c r="O379" s="444">
        <f>SUM(O373:O378)</f>
        <v>2.5</v>
      </c>
      <c r="P379" s="444">
        <f>SUM(P373:P378)</f>
        <v>0</v>
      </c>
      <c r="Q379" s="444"/>
      <c r="R379" s="444"/>
      <c r="S379" s="444"/>
      <c r="T379" s="444"/>
      <c r="U379" s="444"/>
      <c r="V379" s="444">
        <f t="shared" ref="V379:AD379" si="157">SUM(V373:V378)</f>
        <v>3621.2350000000001</v>
      </c>
      <c r="W379" s="444">
        <f t="shared" si="157"/>
        <v>257.07499999999999</v>
      </c>
      <c r="X379" s="444">
        <f t="shared" si="157"/>
        <v>18582.785</v>
      </c>
      <c r="Y379" s="444">
        <f t="shared" si="157"/>
        <v>15167.215</v>
      </c>
      <c r="Z379" s="444">
        <f t="shared" si="157"/>
        <v>33750</v>
      </c>
      <c r="AA379" s="499">
        <f t="shared" si="157"/>
        <v>33750</v>
      </c>
      <c r="AB379" s="499">
        <f t="shared" si="157"/>
        <v>15167.215</v>
      </c>
      <c r="AC379" s="444">
        <f t="shared" si="157"/>
        <v>16750</v>
      </c>
      <c r="AD379" s="444">
        <f t="shared" si="157"/>
        <v>257.07499999999999</v>
      </c>
      <c r="AE379" s="436"/>
      <c r="AF379" s="436"/>
      <c r="AG379" s="436"/>
      <c r="AH379" s="436"/>
      <c r="AI379" s="436"/>
      <c r="AJ379" s="436"/>
      <c r="AK379" s="437"/>
      <c r="AL379" s="437"/>
      <c r="AM379" s="437"/>
      <c r="AN379" s="437"/>
      <c r="AO379" s="437"/>
      <c r="AP379" s="437">
        <f t="shared" si="143"/>
        <v>0</v>
      </c>
      <c r="AQ379" s="437">
        <f t="shared" si="143"/>
        <v>0</v>
      </c>
      <c r="AR379" s="436"/>
      <c r="AS379" s="437">
        <f t="shared" si="146"/>
        <v>0</v>
      </c>
    </row>
    <row r="380" spans="1:45" s="456" customFormat="1" ht="24.95" customHeight="1">
      <c r="A380" s="455"/>
      <c r="B380" s="455"/>
      <c r="C380" s="1136" t="s">
        <v>541</v>
      </c>
      <c r="D380" s="1136"/>
      <c r="E380" s="455"/>
      <c r="F380" s="455"/>
      <c r="G380" s="455"/>
      <c r="H380" s="455"/>
      <c r="I380" s="455"/>
      <c r="J380" s="455"/>
      <c r="K380" s="455"/>
      <c r="L380" s="455"/>
      <c r="M380" s="455"/>
      <c r="N380" s="455"/>
      <c r="O380" s="455"/>
      <c r="P380" s="455"/>
      <c r="Q380" s="455"/>
      <c r="R380" s="455"/>
      <c r="S380" s="455"/>
      <c r="T380" s="455"/>
      <c r="U380" s="455"/>
      <c r="V380" s="455"/>
      <c r="W380" s="455"/>
      <c r="X380" s="455"/>
      <c r="Y380" s="455"/>
      <c r="Z380" s="455"/>
      <c r="AA380" s="504"/>
      <c r="AB380" s="504"/>
      <c r="AC380" s="455"/>
      <c r="AD380" s="455"/>
      <c r="AE380" s="436">
        <f t="shared" si="148"/>
        <v>0</v>
      </c>
      <c r="AF380" s="436">
        <f t="shared" si="149"/>
        <v>0</v>
      </c>
      <c r="AG380" s="436">
        <f t="shared" si="150"/>
        <v>0</v>
      </c>
      <c r="AH380" s="436">
        <f t="shared" si="151"/>
        <v>0</v>
      </c>
      <c r="AI380" s="436">
        <f t="shared" si="152"/>
        <v>0</v>
      </c>
      <c r="AJ380" s="436">
        <f t="shared" si="152"/>
        <v>0</v>
      </c>
      <c r="AK380" s="437">
        <f t="shared" si="153"/>
        <v>0</v>
      </c>
      <c r="AL380" s="437">
        <f t="shared" si="154"/>
        <v>0</v>
      </c>
      <c r="AM380" s="437">
        <f t="shared" si="155"/>
        <v>0</v>
      </c>
      <c r="AN380" s="437">
        <f t="shared" si="144"/>
        <v>0</v>
      </c>
      <c r="AO380" s="437">
        <f t="shared" si="145"/>
        <v>0</v>
      </c>
      <c r="AP380" s="437">
        <f t="shared" si="143"/>
        <v>0</v>
      </c>
      <c r="AQ380" s="437">
        <f t="shared" si="143"/>
        <v>0</v>
      </c>
      <c r="AR380" s="436"/>
      <c r="AS380" s="437">
        <f t="shared" si="146"/>
        <v>0</v>
      </c>
    </row>
    <row r="381" spans="1:45" s="438" customFormat="1" ht="24.95" customHeight="1">
      <c r="A381" s="1134"/>
      <c r="B381" s="1134"/>
      <c r="C381" s="1139" t="s">
        <v>700</v>
      </c>
      <c r="D381" s="1134" t="s">
        <v>337</v>
      </c>
      <c r="E381" s="1134" t="s">
        <v>701</v>
      </c>
      <c r="F381" s="1140">
        <v>6</v>
      </c>
      <c r="G381" s="1112">
        <v>4324</v>
      </c>
      <c r="H381" s="1112"/>
      <c r="I381" s="1112"/>
      <c r="J381" s="1112"/>
      <c r="K381" s="1112"/>
      <c r="L381" s="435">
        <v>0.15</v>
      </c>
      <c r="M381" s="1112"/>
      <c r="N381" s="1112">
        <f>G381+H382+K382+L382</f>
        <v>4972.6000000000004</v>
      </c>
      <c r="O381" s="1112">
        <v>1</v>
      </c>
      <c r="P381" s="1140"/>
      <c r="Q381" s="1140"/>
      <c r="R381" s="1140"/>
      <c r="S381" s="1140"/>
      <c r="T381" s="1134">
        <v>21</v>
      </c>
      <c r="U381" s="1138">
        <v>0.3</v>
      </c>
      <c r="V381" s="1112">
        <f>N381*U381</f>
        <v>1491.78</v>
      </c>
      <c r="W381" s="1112">
        <f>AD381</f>
        <v>235.61999999999966</v>
      </c>
      <c r="X381" s="1112">
        <f>(N381+V381)*O381+W381</f>
        <v>6700</v>
      </c>
      <c r="Y381" s="1112">
        <f>AB381</f>
        <v>6800</v>
      </c>
      <c r="Z381" s="1112">
        <f>X381+Y381</f>
        <v>13500</v>
      </c>
      <c r="AA381" s="1109">
        <f>13500*O381</f>
        <v>13500</v>
      </c>
      <c r="AB381" s="1109">
        <f>AA381-X381</f>
        <v>6800</v>
      </c>
      <c r="AC381" s="1112">
        <f>6700*O381</f>
        <v>6700</v>
      </c>
      <c r="AD381" s="1112">
        <f>AC381-(N381*O381)-V381</f>
        <v>235.61999999999966</v>
      </c>
      <c r="AE381" s="436">
        <f t="shared" si="148"/>
        <v>4324</v>
      </c>
      <c r="AF381" s="436">
        <f t="shared" si="149"/>
        <v>0</v>
      </c>
      <c r="AG381" s="436">
        <f t="shared" si="150"/>
        <v>4972.6000000000004</v>
      </c>
      <c r="AH381" s="436">
        <f t="shared" si="151"/>
        <v>0</v>
      </c>
      <c r="AI381" s="436">
        <f t="shared" si="152"/>
        <v>648.60000000000036</v>
      </c>
      <c r="AJ381" s="436">
        <f t="shared" si="152"/>
        <v>0</v>
      </c>
      <c r="AK381" s="437">
        <f t="shared" si="153"/>
        <v>1491.78</v>
      </c>
      <c r="AL381" s="437">
        <f t="shared" si="154"/>
        <v>0</v>
      </c>
      <c r="AM381" s="437">
        <f t="shared" si="155"/>
        <v>235.61999999999966</v>
      </c>
      <c r="AN381" s="437">
        <f t="shared" si="144"/>
        <v>0</v>
      </c>
      <c r="AO381" s="437">
        <f t="shared" si="145"/>
        <v>0</v>
      </c>
      <c r="AP381" s="437">
        <f t="shared" si="143"/>
        <v>4972.6000000000004</v>
      </c>
      <c r="AQ381" s="437">
        <f t="shared" si="143"/>
        <v>0</v>
      </c>
      <c r="AR381" s="436"/>
      <c r="AS381" s="437">
        <f t="shared" si="146"/>
        <v>4972.6000000000004</v>
      </c>
    </row>
    <row r="382" spans="1:45" s="438" customFormat="1" ht="24.95" customHeight="1">
      <c r="A382" s="1134"/>
      <c r="B382" s="1134"/>
      <c r="C382" s="1139"/>
      <c r="D382" s="1134"/>
      <c r="E382" s="1134"/>
      <c r="F382" s="1140"/>
      <c r="G382" s="1112"/>
      <c r="H382" s="1112"/>
      <c r="I382" s="1112"/>
      <c r="J382" s="1112"/>
      <c r="K382" s="1112"/>
      <c r="L382" s="439">
        <f>G381*L381</f>
        <v>648.6</v>
      </c>
      <c r="M382" s="1112"/>
      <c r="N382" s="1112"/>
      <c r="O382" s="1112"/>
      <c r="P382" s="1140"/>
      <c r="Q382" s="1140"/>
      <c r="R382" s="1140"/>
      <c r="S382" s="1140"/>
      <c r="T382" s="1134"/>
      <c r="U382" s="1138"/>
      <c r="V382" s="1112"/>
      <c r="W382" s="1112"/>
      <c r="X382" s="1112"/>
      <c r="Y382" s="1112"/>
      <c r="Z382" s="1112"/>
      <c r="AA382" s="1109"/>
      <c r="AB382" s="1109"/>
      <c r="AC382" s="1112"/>
      <c r="AD382" s="1112"/>
      <c r="AE382" s="436">
        <f t="shared" si="148"/>
        <v>0</v>
      </c>
      <c r="AF382" s="436">
        <f t="shared" si="149"/>
        <v>0</v>
      </c>
      <c r="AG382" s="436">
        <f t="shared" si="150"/>
        <v>0</v>
      </c>
      <c r="AH382" s="436">
        <f t="shared" si="151"/>
        <v>0</v>
      </c>
      <c r="AI382" s="436">
        <f t="shared" si="152"/>
        <v>0</v>
      </c>
      <c r="AJ382" s="436">
        <f t="shared" si="152"/>
        <v>0</v>
      </c>
      <c r="AK382" s="437">
        <f t="shared" si="153"/>
        <v>0</v>
      </c>
      <c r="AL382" s="437">
        <f t="shared" si="154"/>
        <v>0</v>
      </c>
      <c r="AM382" s="437">
        <f t="shared" si="155"/>
        <v>0</v>
      </c>
      <c r="AN382" s="437">
        <f t="shared" si="144"/>
        <v>0</v>
      </c>
      <c r="AO382" s="437">
        <f t="shared" si="145"/>
        <v>0</v>
      </c>
      <c r="AP382" s="437">
        <f t="shared" si="143"/>
        <v>0</v>
      </c>
      <c r="AQ382" s="437">
        <f t="shared" si="143"/>
        <v>0</v>
      </c>
      <c r="AR382" s="436"/>
      <c r="AS382" s="437">
        <f t="shared" si="146"/>
        <v>0</v>
      </c>
    </row>
    <row r="383" spans="1:45" s="438" customFormat="1" ht="24.95" customHeight="1">
      <c r="A383" s="1134"/>
      <c r="B383" s="1134"/>
      <c r="C383" s="1139" t="s">
        <v>700</v>
      </c>
      <c r="D383" s="1134" t="s">
        <v>1064</v>
      </c>
      <c r="E383" s="1134" t="s">
        <v>702</v>
      </c>
      <c r="F383" s="1140">
        <v>9</v>
      </c>
      <c r="G383" s="1112">
        <v>5159</v>
      </c>
      <c r="H383" s="1112"/>
      <c r="I383" s="1112"/>
      <c r="J383" s="1112"/>
      <c r="K383" s="1112"/>
      <c r="L383" s="435">
        <v>0.15</v>
      </c>
      <c r="M383" s="1112"/>
      <c r="N383" s="1112">
        <f>G383+H384+K384+L384</f>
        <v>5932.85</v>
      </c>
      <c r="O383" s="1112">
        <v>1</v>
      </c>
      <c r="P383" s="1112"/>
      <c r="Q383" s="1112"/>
      <c r="R383" s="1112"/>
      <c r="S383" s="1112"/>
      <c r="T383" s="1134">
        <v>43</v>
      </c>
      <c r="U383" s="1138">
        <v>0.3</v>
      </c>
      <c r="V383" s="1112">
        <f>N383*U383</f>
        <v>1779.855</v>
      </c>
      <c r="W383" s="1112"/>
      <c r="X383" s="1112">
        <f>(N383+V383)*O383</f>
        <v>7712.7049999999999</v>
      </c>
      <c r="Y383" s="1112">
        <f>AB383</f>
        <v>5787.2950000000001</v>
      </c>
      <c r="Z383" s="1112">
        <f>X383+Y383</f>
        <v>13500</v>
      </c>
      <c r="AA383" s="1109">
        <f>13500*O383</f>
        <v>13500</v>
      </c>
      <c r="AB383" s="1109">
        <f>AA383-X383</f>
        <v>5787.2950000000001</v>
      </c>
      <c r="AC383" s="1112">
        <f>6700*O383</f>
        <v>6700</v>
      </c>
      <c r="AD383" s="1112"/>
      <c r="AE383" s="436">
        <f t="shared" si="148"/>
        <v>5159</v>
      </c>
      <c r="AF383" s="436">
        <f t="shared" si="149"/>
        <v>0</v>
      </c>
      <c r="AG383" s="436">
        <f t="shared" si="150"/>
        <v>5932.85</v>
      </c>
      <c r="AH383" s="436">
        <f t="shared" si="151"/>
        <v>0</v>
      </c>
      <c r="AI383" s="436">
        <f t="shared" si="152"/>
        <v>773.85000000000036</v>
      </c>
      <c r="AJ383" s="436">
        <f t="shared" si="152"/>
        <v>0</v>
      </c>
      <c r="AK383" s="437">
        <f t="shared" si="153"/>
        <v>1779.855</v>
      </c>
      <c r="AL383" s="437">
        <f t="shared" si="154"/>
        <v>0</v>
      </c>
      <c r="AM383" s="437">
        <f t="shared" si="155"/>
        <v>0</v>
      </c>
      <c r="AN383" s="437">
        <f t="shared" si="144"/>
        <v>0</v>
      </c>
      <c r="AO383" s="437">
        <f t="shared" si="145"/>
        <v>0</v>
      </c>
      <c r="AP383" s="437">
        <f t="shared" si="143"/>
        <v>5932.85</v>
      </c>
      <c r="AQ383" s="437">
        <f t="shared" si="143"/>
        <v>0</v>
      </c>
      <c r="AR383" s="436"/>
      <c r="AS383" s="437">
        <f t="shared" si="146"/>
        <v>5932.85</v>
      </c>
    </row>
    <row r="384" spans="1:45" s="438" customFormat="1" ht="24.95" customHeight="1">
      <c r="A384" s="1134"/>
      <c r="B384" s="1134"/>
      <c r="C384" s="1139"/>
      <c r="D384" s="1134"/>
      <c r="E384" s="1134"/>
      <c r="F384" s="1140"/>
      <c r="G384" s="1112"/>
      <c r="H384" s="1112"/>
      <c r="I384" s="1112"/>
      <c r="J384" s="1112"/>
      <c r="K384" s="1112"/>
      <c r="L384" s="439">
        <f>G383*L383</f>
        <v>773.85</v>
      </c>
      <c r="M384" s="1112"/>
      <c r="N384" s="1112"/>
      <c r="O384" s="1112"/>
      <c r="P384" s="1112"/>
      <c r="Q384" s="1112"/>
      <c r="R384" s="1112"/>
      <c r="S384" s="1112"/>
      <c r="T384" s="1134"/>
      <c r="U384" s="1138"/>
      <c r="V384" s="1112"/>
      <c r="W384" s="1112"/>
      <c r="X384" s="1112"/>
      <c r="Y384" s="1112"/>
      <c r="Z384" s="1112"/>
      <c r="AA384" s="1109"/>
      <c r="AB384" s="1109"/>
      <c r="AC384" s="1112"/>
      <c r="AD384" s="1112"/>
      <c r="AE384" s="436">
        <f t="shared" si="148"/>
        <v>0</v>
      </c>
      <c r="AF384" s="436">
        <f t="shared" si="149"/>
        <v>0</v>
      </c>
      <c r="AG384" s="436">
        <f t="shared" si="150"/>
        <v>0</v>
      </c>
      <c r="AH384" s="436">
        <f t="shared" si="151"/>
        <v>0</v>
      </c>
      <c r="AI384" s="436">
        <f t="shared" si="152"/>
        <v>0</v>
      </c>
      <c r="AJ384" s="436">
        <f t="shared" si="152"/>
        <v>0</v>
      </c>
      <c r="AK384" s="437">
        <f t="shared" si="153"/>
        <v>0</v>
      </c>
      <c r="AL384" s="437">
        <f t="shared" si="154"/>
        <v>0</v>
      </c>
      <c r="AM384" s="437">
        <f t="shared" si="155"/>
        <v>0</v>
      </c>
      <c r="AN384" s="437">
        <f t="shared" si="144"/>
        <v>0</v>
      </c>
      <c r="AO384" s="437">
        <f t="shared" si="145"/>
        <v>0</v>
      </c>
      <c r="AP384" s="437">
        <f t="shared" si="143"/>
        <v>0</v>
      </c>
      <c r="AQ384" s="437">
        <f t="shared" si="143"/>
        <v>0</v>
      </c>
      <c r="AR384" s="436"/>
      <c r="AS384" s="437">
        <f t="shared" si="146"/>
        <v>0</v>
      </c>
    </row>
    <row r="385" spans="1:45" s="438" customFormat="1" ht="24.95" customHeight="1">
      <c r="A385" s="1134"/>
      <c r="B385" s="1134"/>
      <c r="C385" s="1139" t="s">
        <v>700</v>
      </c>
      <c r="D385" s="1134" t="s">
        <v>1064</v>
      </c>
      <c r="E385" s="1134" t="s">
        <v>703</v>
      </c>
      <c r="F385" s="1134">
        <v>9</v>
      </c>
      <c r="G385" s="1112">
        <v>5159</v>
      </c>
      <c r="H385" s="1112"/>
      <c r="I385" s="1112"/>
      <c r="J385" s="1112"/>
      <c r="K385" s="1112"/>
      <c r="L385" s="435">
        <v>0.15</v>
      </c>
      <c r="M385" s="1112"/>
      <c r="N385" s="1112">
        <f>G385+H386+K386+L386</f>
        <v>5932.85</v>
      </c>
      <c r="O385" s="1112">
        <v>1</v>
      </c>
      <c r="P385" s="1112"/>
      <c r="Q385" s="1112"/>
      <c r="R385" s="1112"/>
      <c r="S385" s="1112"/>
      <c r="T385" s="1134">
        <v>27</v>
      </c>
      <c r="U385" s="1138">
        <v>0.3</v>
      </c>
      <c r="V385" s="1112">
        <f>N385*U385</f>
        <v>1779.855</v>
      </c>
      <c r="W385" s="1112"/>
      <c r="X385" s="1112">
        <f>(N385+V385)*O385</f>
        <v>7712.7049999999999</v>
      </c>
      <c r="Y385" s="1112">
        <f>AB385</f>
        <v>5787.2950000000001</v>
      </c>
      <c r="Z385" s="1112">
        <f>X385+Y385</f>
        <v>13500</v>
      </c>
      <c r="AA385" s="1109">
        <f>13500*O385</f>
        <v>13500</v>
      </c>
      <c r="AB385" s="1109">
        <f>AA385-X385</f>
        <v>5787.2950000000001</v>
      </c>
      <c r="AC385" s="1112">
        <f>6700*O385</f>
        <v>6700</v>
      </c>
      <c r="AD385" s="1112"/>
      <c r="AE385" s="436">
        <f t="shared" si="148"/>
        <v>5159</v>
      </c>
      <c r="AF385" s="436">
        <f t="shared" si="149"/>
        <v>0</v>
      </c>
      <c r="AG385" s="436">
        <f t="shared" si="150"/>
        <v>5932.85</v>
      </c>
      <c r="AH385" s="436">
        <f t="shared" si="151"/>
        <v>0</v>
      </c>
      <c r="AI385" s="436">
        <f t="shared" si="152"/>
        <v>773.85000000000036</v>
      </c>
      <c r="AJ385" s="436">
        <f t="shared" si="152"/>
        <v>0</v>
      </c>
      <c r="AK385" s="437">
        <f t="shared" si="153"/>
        <v>1779.855</v>
      </c>
      <c r="AL385" s="437">
        <f t="shared" si="154"/>
        <v>0</v>
      </c>
      <c r="AM385" s="437">
        <f t="shared" si="155"/>
        <v>0</v>
      </c>
      <c r="AN385" s="437">
        <f t="shared" si="144"/>
        <v>0</v>
      </c>
      <c r="AO385" s="437">
        <f t="shared" si="145"/>
        <v>0</v>
      </c>
      <c r="AP385" s="437">
        <f t="shared" si="143"/>
        <v>5932.85</v>
      </c>
      <c r="AQ385" s="437">
        <f t="shared" si="143"/>
        <v>0</v>
      </c>
      <c r="AR385" s="436"/>
      <c r="AS385" s="437">
        <f t="shared" si="146"/>
        <v>5932.85</v>
      </c>
    </row>
    <row r="386" spans="1:45" s="438" customFormat="1" ht="24.95" customHeight="1">
      <c r="A386" s="1134"/>
      <c r="B386" s="1134"/>
      <c r="C386" s="1139"/>
      <c r="D386" s="1134"/>
      <c r="E386" s="1134"/>
      <c r="F386" s="1134"/>
      <c r="G386" s="1112"/>
      <c r="H386" s="1112"/>
      <c r="I386" s="1112"/>
      <c r="J386" s="1112"/>
      <c r="K386" s="1112"/>
      <c r="L386" s="439">
        <f>G385*L385</f>
        <v>773.85</v>
      </c>
      <c r="M386" s="1112"/>
      <c r="N386" s="1112"/>
      <c r="O386" s="1112"/>
      <c r="P386" s="1112"/>
      <c r="Q386" s="1112"/>
      <c r="R386" s="1112"/>
      <c r="S386" s="1112"/>
      <c r="T386" s="1134"/>
      <c r="U386" s="1138"/>
      <c r="V386" s="1112"/>
      <c r="W386" s="1112"/>
      <c r="X386" s="1112"/>
      <c r="Y386" s="1112"/>
      <c r="Z386" s="1112"/>
      <c r="AA386" s="1109"/>
      <c r="AB386" s="1109"/>
      <c r="AC386" s="1112"/>
      <c r="AD386" s="1112"/>
      <c r="AE386" s="436">
        <f t="shared" si="148"/>
        <v>0</v>
      </c>
      <c r="AF386" s="436">
        <f t="shared" si="149"/>
        <v>0</v>
      </c>
      <c r="AG386" s="436">
        <f t="shared" si="150"/>
        <v>0</v>
      </c>
      <c r="AH386" s="436">
        <f t="shared" si="151"/>
        <v>0</v>
      </c>
      <c r="AI386" s="436">
        <f t="shared" si="152"/>
        <v>0</v>
      </c>
      <c r="AJ386" s="436">
        <f t="shared" si="152"/>
        <v>0</v>
      </c>
      <c r="AK386" s="437">
        <f t="shared" si="153"/>
        <v>0</v>
      </c>
      <c r="AL386" s="437">
        <f t="shared" si="154"/>
        <v>0</v>
      </c>
      <c r="AM386" s="437">
        <f t="shared" si="155"/>
        <v>0</v>
      </c>
      <c r="AN386" s="437">
        <f t="shared" si="144"/>
        <v>0</v>
      </c>
      <c r="AO386" s="437">
        <f t="shared" si="145"/>
        <v>0</v>
      </c>
      <c r="AP386" s="437">
        <f t="shared" si="143"/>
        <v>0</v>
      </c>
      <c r="AQ386" s="437">
        <f t="shared" si="143"/>
        <v>0</v>
      </c>
      <c r="AR386" s="436"/>
      <c r="AS386" s="437">
        <f t="shared" si="146"/>
        <v>0</v>
      </c>
    </row>
    <row r="387" spans="1:45" s="438" customFormat="1" ht="24.95" customHeight="1">
      <c r="A387" s="1134"/>
      <c r="B387" s="1134"/>
      <c r="C387" s="1139" t="s">
        <v>700</v>
      </c>
      <c r="D387" s="1134" t="s">
        <v>1065</v>
      </c>
      <c r="E387" s="1134" t="s">
        <v>704</v>
      </c>
      <c r="F387" s="1140">
        <v>9</v>
      </c>
      <c r="G387" s="1112">
        <v>5159</v>
      </c>
      <c r="H387" s="1112"/>
      <c r="I387" s="1112"/>
      <c r="J387" s="1112"/>
      <c r="K387" s="1112"/>
      <c r="L387" s="435">
        <v>0.15</v>
      </c>
      <c r="M387" s="1112"/>
      <c r="N387" s="1112">
        <f>G387+H388+K388+L388</f>
        <v>5932.85</v>
      </c>
      <c r="O387" s="1112">
        <v>1</v>
      </c>
      <c r="P387" s="1112"/>
      <c r="Q387" s="1112"/>
      <c r="R387" s="1112"/>
      <c r="S387" s="1112"/>
      <c r="T387" s="1134">
        <v>20</v>
      </c>
      <c r="U387" s="1138">
        <v>0.3</v>
      </c>
      <c r="V387" s="1112">
        <f>N387*U387</f>
        <v>1779.855</v>
      </c>
      <c r="W387" s="1112"/>
      <c r="X387" s="1112">
        <f>(N387+V387)*O387</f>
        <v>7712.7049999999999</v>
      </c>
      <c r="Y387" s="1112">
        <f>AB387</f>
        <v>5787.2950000000001</v>
      </c>
      <c r="Z387" s="1112">
        <f>X387+Y387</f>
        <v>13500</v>
      </c>
      <c r="AA387" s="1109">
        <f>13500*O387</f>
        <v>13500</v>
      </c>
      <c r="AB387" s="1109">
        <f>AA387-X387</f>
        <v>5787.2950000000001</v>
      </c>
      <c r="AC387" s="1112">
        <f>6700*O387</f>
        <v>6700</v>
      </c>
      <c r="AD387" s="1112"/>
      <c r="AE387" s="436">
        <f t="shared" si="148"/>
        <v>5159</v>
      </c>
      <c r="AF387" s="436">
        <f t="shared" si="149"/>
        <v>0</v>
      </c>
      <c r="AG387" s="436">
        <f t="shared" si="150"/>
        <v>5932.85</v>
      </c>
      <c r="AH387" s="436">
        <f t="shared" si="151"/>
        <v>0</v>
      </c>
      <c r="AI387" s="436">
        <f t="shared" si="152"/>
        <v>773.85000000000036</v>
      </c>
      <c r="AJ387" s="436">
        <f t="shared" si="152"/>
        <v>0</v>
      </c>
      <c r="AK387" s="437">
        <f t="shared" si="153"/>
        <v>1779.855</v>
      </c>
      <c r="AL387" s="437">
        <f t="shared" si="154"/>
        <v>0</v>
      </c>
      <c r="AM387" s="437">
        <f t="shared" si="155"/>
        <v>0</v>
      </c>
      <c r="AN387" s="437">
        <f t="shared" si="144"/>
        <v>0</v>
      </c>
      <c r="AO387" s="437">
        <f t="shared" si="145"/>
        <v>0</v>
      </c>
      <c r="AP387" s="437">
        <f t="shared" si="143"/>
        <v>5932.85</v>
      </c>
      <c r="AQ387" s="437">
        <f t="shared" si="143"/>
        <v>0</v>
      </c>
      <c r="AR387" s="436"/>
      <c r="AS387" s="437">
        <f t="shared" si="146"/>
        <v>5932.85</v>
      </c>
    </row>
    <row r="388" spans="1:45" s="438" customFormat="1" ht="24.95" customHeight="1">
      <c r="A388" s="1134"/>
      <c r="B388" s="1134"/>
      <c r="C388" s="1139"/>
      <c r="D388" s="1134"/>
      <c r="E388" s="1134"/>
      <c r="F388" s="1134"/>
      <c r="G388" s="1134"/>
      <c r="H388" s="1112"/>
      <c r="I388" s="1112"/>
      <c r="J388" s="1112"/>
      <c r="K388" s="1112"/>
      <c r="L388" s="439">
        <f>G387*L387</f>
        <v>773.85</v>
      </c>
      <c r="M388" s="1112"/>
      <c r="N388" s="1112"/>
      <c r="O388" s="1112"/>
      <c r="P388" s="1112"/>
      <c r="Q388" s="1112"/>
      <c r="R388" s="1112"/>
      <c r="S388" s="1112"/>
      <c r="T388" s="1134"/>
      <c r="U388" s="1138"/>
      <c r="V388" s="1112"/>
      <c r="W388" s="1112"/>
      <c r="X388" s="1112"/>
      <c r="Y388" s="1112"/>
      <c r="Z388" s="1112"/>
      <c r="AA388" s="1109"/>
      <c r="AB388" s="1109"/>
      <c r="AC388" s="1112"/>
      <c r="AD388" s="1112"/>
      <c r="AE388" s="436">
        <f t="shared" si="148"/>
        <v>0</v>
      </c>
      <c r="AF388" s="436">
        <f t="shared" si="149"/>
        <v>0</v>
      </c>
      <c r="AG388" s="436">
        <f t="shared" si="150"/>
        <v>0</v>
      </c>
      <c r="AH388" s="436">
        <f t="shared" si="151"/>
        <v>0</v>
      </c>
      <c r="AI388" s="436">
        <f t="shared" si="152"/>
        <v>0</v>
      </c>
      <c r="AJ388" s="436">
        <f t="shared" si="152"/>
        <v>0</v>
      </c>
      <c r="AK388" s="437">
        <f t="shared" si="153"/>
        <v>0</v>
      </c>
      <c r="AL388" s="437">
        <f t="shared" si="154"/>
        <v>0</v>
      </c>
      <c r="AM388" s="437">
        <f t="shared" si="155"/>
        <v>0</v>
      </c>
      <c r="AN388" s="437">
        <f t="shared" si="144"/>
        <v>0</v>
      </c>
      <c r="AO388" s="437">
        <f t="shared" si="145"/>
        <v>0</v>
      </c>
      <c r="AP388" s="437">
        <f t="shared" si="143"/>
        <v>0</v>
      </c>
      <c r="AQ388" s="437">
        <f t="shared" si="143"/>
        <v>0</v>
      </c>
      <c r="AR388" s="436"/>
      <c r="AS388" s="437">
        <f t="shared" si="146"/>
        <v>0</v>
      </c>
    </row>
    <row r="389" spans="1:45" s="446" customFormat="1" ht="24.95" customHeight="1">
      <c r="A389" s="441"/>
      <c r="B389" s="441"/>
      <c r="C389" s="442" t="s">
        <v>318</v>
      </c>
      <c r="D389" s="443"/>
      <c r="E389" s="441"/>
      <c r="F389" s="441"/>
      <c r="G389" s="444">
        <f>SUM(G381:G388)</f>
        <v>19801</v>
      </c>
      <c r="H389" s="441"/>
      <c r="I389" s="441"/>
      <c r="J389" s="441"/>
      <c r="K389" s="441"/>
      <c r="L389" s="444">
        <f>L382+L384+L386+L388</f>
        <v>2970.15</v>
      </c>
      <c r="M389" s="441"/>
      <c r="N389" s="444">
        <f>SUM(N381:N388)</f>
        <v>22771.15</v>
      </c>
      <c r="O389" s="444">
        <f>SUM(O381:O388)</f>
        <v>4</v>
      </c>
      <c r="P389" s="444">
        <f>SUM(P381:P388)</f>
        <v>0</v>
      </c>
      <c r="Q389" s="444"/>
      <c r="R389" s="444"/>
      <c r="S389" s="444"/>
      <c r="T389" s="444"/>
      <c r="U389" s="444"/>
      <c r="V389" s="444">
        <f t="shared" ref="V389:AD389" si="158">SUM(V381:V388)</f>
        <v>6831.3449999999993</v>
      </c>
      <c r="W389" s="444">
        <f t="shared" si="158"/>
        <v>235.61999999999966</v>
      </c>
      <c r="X389" s="444">
        <f t="shared" si="158"/>
        <v>29838.114999999998</v>
      </c>
      <c r="Y389" s="444">
        <f t="shared" si="158"/>
        <v>24161.885000000002</v>
      </c>
      <c r="Z389" s="444">
        <f t="shared" si="158"/>
        <v>54000</v>
      </c>
      <c r="AA389" s="499">
        <f t="shared" si="158"/>
        <v>54000</v>
      </c>
      <c r="AB389" s="499">
        <f t="shared" si="158"/>
        <v>24161.885000000002</v>
      </c>
      <c r="AC389" s="444">
        <f t="shared" si="158"/>
        <v>26800</v>
      </c>
      <c r="AD389" s="444">
        <f t="shared" si="158"/>
        <v>235.61999999999966</v>
      </c>
      <c r="AE389" s="436"/>
      <c r="AF389" s="436"/>
      <c r="AG389" s="436"/>
      <c r="AH389" s="436"/>
      <c r="AI389" s="436"/>
      <c r="AJ389" s="436"/>
      <c r="AK389" s="437"/>
      <c r="AL389" s="437"/>
      <c r="AM389" s="437"/>
      <c r="AN389" s="437"/>
      <c r="AO389" s="437"/>
      <c r="AP389" s="437">
        <f t="shared" si="143"/>
        <v>0</v>
      </c>
      <c r="AQ389" s="437">
        <f t="shared" si="143"/>
        <v>0</v>
      </c>
      <c r="AR389" s="436"/>
      <c r="AS389" s="437">
        <f t="shared" si="146"/>
        <v>0</v>
      </c>
    </row>
    <row r="390" spans="1:45" s="456" customFormat="1" ht="24.95" customHeight="1">
      <c r="A390" s="455"/>
      <c r="B390" s="455"/>
      <c r="C390" s="1136" t="s">
        <v>545</v>
      </c>
      <c r="D390" s="1136"/>
      <c r="E390" s="455"/>
      <c r="F390" s="455"/>
      <c r="G390" s="455"/>
      <c r="H390" s="455"/>
      <c r="I390" s="455"/>
      <c r="J390" s="455"/>
      <c r="K390" s="455"/>
      <c r="L390" s="455"/>
      <c r="M390" s="455"/>
      <c r="N390" s="455"/>
      <c r="O390" s="455"/>
      <c r="P390" s="455"/>
      <c r="Q390" s="455"/>
      <c r="R390" s="455"/>
      <c r="S390" s="455"/>
      <c r="T390" s="455"/>
      <c r="U390" s="455"/>
      <c r="V390" s="455"/>
      <c r="W390" s="455"/>
      <c r="X390" s="455"/>
      <c r="Y390" s="455"/>
      <c r="Z390" s="455"/>
      <c r="AA390" s="504"/>
      <c r="AB390" s="504"/>
      <c r="AC390" s="455"/>
      <c r="AD390" s="455"/>
      <c r="AE390" s="436">
        <f t="shared" si="148"/>
        <v>0</v>
      </c>
      <c r="AF390" s="436">
        <f t="shared" si="149"/>
        <v>0</v>
      </c>
      <c r="AG390" s="436">
        <f t="shared" si="150"/>
        <v>0</v>
      </c>
      <c r="AH390" s="436">
        <f t="shared" si="151"/>
        <v>0</v>
      </c>
      <c r="AI390" s="436">
        <f t="shared" si="152"/>
        <v>0</v>
      </c>
      <c r="AJ390" s="436">
        <f t="shared" si="152"/>
        <v>0</v>
      </c>
      <c r="AK390" s="437">
        <f t="shared" si="153"/>
        <v>0</v>
      </c>
      <c r="AL390" s="437">
        <f t="shared" si="154"/>
        <v>0</v>
      </c>
      <c r="AM390" s="437">
        <f t="shared" si="155"/>
        <v>0</v>
      </c>
      <c r="AN390" s="437">
        <f t="shared" si="144"/>
        <v>0</v>
      </c>
      <c r="AO390" s="437">
        <f t="shared" si="145"/>
        <v>0</v>
      </c>
      <c r="AP390" s="437">
        <f t="shared" si="143"/>
        <v>0</v>
      </c>
      <c r="AQ390" s="437">
        <f t="shared" si="143"/>
        <v>0</v>
      </c>
      <c r="AR390" s="436"/>
      <c r="AS390" s="437">
        <f t="shared" si="146"/>
        <v>0</v>
      </c>
    </row>
    <row r="391" spans="1:45" s="438" customFormat="1" ht="24.95" customHeight="1">
      <c r="A391" s="1134"/>
      <c r="B391" s="1134"/>
      <c r="C391" s="1141" t="s">
        <v>590</v>
      </c>
      <c r="D391" s="1134" t="s">
        <v>707</v>
      </c>
      <c r="E391" s="1134" t="s">
        <v>708</v>
      </c>
      <c r="F391" s="1134">
        <v>9</v>
      </c>
      <c r="G391" s="1112">
        <v>5159</v>
      </c>
      <c r="H391" s="435">
        <v>0.1</v>
      </c>
      <c r="I391" s="1138"/>
      <c r="J391" s="1138"/>
      <c r="K391" s="1112"/>
      <c r="L391" s="435">
        <v>0.15</v>
      </c>
      <c r="M391" s="1140"/>
      <c r="N391" s="1112">
        <f>G391+H392+K392+L392</f>
        <v>6526.1349999999993</v>
      </c>
      <c r="O391" s="1112">
        <v>1</v>
      </c>
      <c r="P391" s="1112"/>
      <c r="Q391" s="1140"/>
      <c r="R391" s="1140"/>
      <c r="S391" s="1140"/>
      <c r="T391" s="1134">
        <v>21</v>
      </c>
      <c r="U391" s="1138">
        <v>0.3</v>
      </c>
      <c r="V391" s="1112">
        <f>N391*U391</f>
        <v>1957.8404999999998</v>
      </c>
      <c r="W391" s="1112"/>
      <c r="X391" s="1112">
        <f>(N391+V391)*O391+W391</f>
        <v>8483.9754999999986</v>
      </c>
      <c r="Y391" s="1112">
        <f>AB391</f>
        <v>5016.0245000000014</v>
      </c>
      <c r="Z391" s="1112">
        <f>X391+Y391</f>
        <v>13500</v>
      </c>
      <c r="AA391" s="1109">
        <f>13500*O391</f>
        <v>13500</v>
      </c>
      <c r="AB391" s="1109">
        <f>AA391-X391</f>
        <v>5016.0245000000014</v>
      </c>
      <c r="AC391" s="1112">
        <f>6700*O391</f>
        <v>6700</v>
      </c>
      <c r="AD391" s="1112"/>
      <c r="AE391" s="436">
        <f t="shared" si="148"/>
        <v>5159</v>
      </c>
      <c r="AF391" s="436">
        <f t="shared" si="149"/>
        <v>0</v>
      </c>
      <c r="AG391" s="436">
        <f t="shared" si="150"/>
        <v>6526.1349999999993</v>
      </c>
      <c r="AH391" s="436">
        <f t="shared" si="151"/>
        <v>0</v>
      </c>
      <c r="AI391" s="436">
        <f t="shared" si="152"/>
        <v>1367.1349999999993</v>
      </c>
      <c r="AJ391" s="436">
        <f t="shared" si="152"/>
        <v>0</v>
      </c>
      <c r="AK391" s="437">
        <f t="shared" si="153"/>
        <v>1957.8404999999998</v>
      </c>
      <c r="AL391" s="437">
        <f t="shared" si="154"/>
        <v>0</v>
      </c>
      <c r="AM391" s="437">
        <f t="shared" si="155"/>
        <v>0</v>
      </c>
      <c r="AN391" s="437">
        <f t="shared" si="144"/>
        <v>0</v>
      </c>
      <c r="AO391" s="437">
        <f t="shared" si="145"/>
        <v>0</v>
      </c>
      <c r="AP391" s="437">
        <f t="shared" si="143"/>
        <v>6526.1349999999993</v>
      </c>
      <c r="AQ391" s="437">
        <f t="shared" si="143"/>
        <v>0</v>
      </c>
      <c r="AR391" s="436"/>
      <c r="AS391" s="437">
        <f t="shared" si="146"/>
        <v>6526.1349999999993</v>
      </c>
    </row>
    <row r="392" spans="1:45" s="438" customFormat="1" ht="24.95" customHeight="1">
      <c r="A392" s="1134"/>
      <c r="B392" s="1134"/>
      <c r="C392" s="1141"/>
      <c r="D392" s="1134"/>
      <c r="E392" s="1134"/>
      <c r="F392" s="1134"/>
      <c r="G392" s="1112"/>
      <c r="H392" s="449">
        <f>G391*H391</f>
        <v>515.9</v>
      </c>
      <c r="I392" s="1134"/>
      <c r="J392" s="1134"/>
      <c r="K392" s="1112"/>
      <c r="L392" s="439">
        <f>(G391+H392)*L391</f>
        <v>851.2349999999999</v>
      </c>
      <c r="M392" s="1140"/>
      <c r="N392" s="1112"/>
      <c r="O392" s="1112"/>
      <c r="P392" s="1112"/>
      <c r="Q392" s="1140"/>
      <c r="R392" s="1140"/>
      <c r="S392" s="1140"/>
      <c r="T392" s="1134"/>
      <c r="U392" s="1138"/>
      <c r="V392" s="1112"/>
      <c r="W392" s="1112"/>
      <c r="X392" s="1112"/>
      <c r="Y392" s="1112"/>
      <c r="Z392" s="1112"/>
      <c r="AA392" s="1109"/>
      <c r="AB392" s="1109"/>
      <c r="AC392" s="1112"/>
      <c r="AD392" s="1112"/>
      <c r="AE392" s="436">
        <f t="shared" si="148"/>
        <v>0</v>
      </c>
      <c r="AF392" s="436">
        <f t="shared" si="149"/>
        <v>0</v>
      </c>
      <c r="AG392" s="436">
        <f t="shared" si="150"/>
        <v>0</v>
      </c>
      <c r="AH392" s="436">
        <f t="shared" si="151"/>
        <v>0</v>
      </c>
      <c r="AI392" s="436">
        <f t="shared" si="152"/>
        <v>0</v>
      </c>
      <c r="AJ392" s="436">
        <f t="shared" si="152"/>
        <v>0</v>
      </c>
      <c r="AK392" s="437">
        <f t="shared" si="153"/>
        <v>0</v>
      </c>
      <c r="AL392" s="437">
        <f t="shared" si="154"/>
        <v>0</v>
      </c>
      <c r="AM392" s="437">
        <f t="shared" si="155"/>
        <v>0</v>
      </c>
      <c r="AN392" s="437">
        <f t="shared" si="144"/>
        <v>0</v>
      </c>
      <c r="AO392" s="437">
        <f t="shared" si="145"/>
        <v>0</v>
      </c>
      <c r="AP392" s="437">
        <f t="shared" si="143"/>
        <v>0</v>
      </c>
      <c r="AQ392" s="437">
        <f t="shared" si="143"/>
        <v>0</v>
      </c>
      <c r="AR392" s="436"/>
      <c r="AS392" s="437">
        <f t="shared" si="146"/>
        <v>0</v>
      </c>
    </row>
    <row r="393" spans="1:45" s="438" customFormat="1" ht="24.95" customHeight="1">
      <c r="A393" s="1134"/>
      <c r="B393" s="1134"/>
      <c r="C393" s="1139" t="s">
        <v>705</v>
      </c>
      <c r="D393" s="1134" t="s">
        <v>651</v>
      </c>
      <c r="E393" s="1134" t="s">
        <v>706</v>
      </c>
      <c r="F393" s="1134">
        <v>9</v>
      </c>
      <c r="G393" s="1112">
        <v>5159</v>
      </c>
      <c r="H393" s="1112"/>
      <c r="I393" s="1112"/>
      <c r="J393" s="1112"/>
      <c r="K393" s="1112"/>
      <c r="L393" s="435">
        <v>0.15</v>
      </c>
      <c r="M393" s="1112"/>
      <c r="N393" s="1112">
        <f>G393+H394+K394+L394</f>
        <v>5932.85</v>
      </c>
      <c r="O393" s="1112">
        <v>1</v>
      </c>
      <c r="P393" s="1112"/>
      <c r="Q393" s="1112"/>
      <c r="R393" s="1112"/>
      <c r="S393" s="1112"/>
      <c r="T393" s="1134">
        <v>17</v>
      </c>
      <c r="U393" s="1138">
        <v>0.2</v>
      </c>
      <c r="V393" s="1112">
        <f>N393*U393</f>
        <v>1186.5700000000002</v>
      </c>
      <c r="W393" s="1112"/>
      <c r="X393" s="1112">
        <f>(N393+V393)*O393</f>
        <v>7119.42</v>
      </c>
      <c r="Y393" s="1112">
        <f>AB393</f>
        <v>6380.58</v>
      </c>
      <c r="Z393" s="1112">
        <f>X393+Y393</f>
        <v>13500</v>
      </c>
      <c r="AA393" s="1109">
        <f>13500*O393</f>
        <v>13500</v>
      </c>
      <c r="AB393" s="1109">
        <f>AA393-X393</f>
        <v>6380.58</v>
      </c>
      <c r="AC393" s="1112">
        <f>6700*O393</f>
        <v>6700</v>
      </c>
      <c r="AD393" s="1112"/>
      <c r="AE393" s="436">
        <f>G393*O393</f>
        <v>5159</v>
      </c>
      <c r="AF393" s="436">
        <f>G393*P393</f>
        <v>0</v>
      </c>
      <c r="AG393" s="436">
        <f>N393*O393</f>
        <v>5932.85</v>
      </c>
      <c r="AH393" s="436">
        <f>N393*P393</f>
        <v>0</v>
      </c>
      <c r="AI393" s="436">
        <f>AG393-AE393</f>
        <v>773.85000000000036</v>
      </c>
      <c r="AJ393" s="436">
        <f>AH393-AF393</f>
        <v>0</v>
      </c>
      <c r="AK393" s="437">
        <f>V393*O393</f>
        <v>1186.5700000000002</v>
      </c>
      <c r="AL393" s="437">
        <f>V393*P393</f>
        <v>0</v>
      </c>
      <c r="AM393" s="437">
        <f>W393</f>
        <v>0</v>
      </c>
      <c r="AN393" s="437">
        <f>S393*O393</f>
        <v>0</v>
      </c>
      <c r="AO393" s="437">
        <f>S393*P393</f>
        <v>0</v>
      </c>
      <c r="AP393" s="437">
        <f>AG393</f>
        <v>5932.85</v>
      </c>
      <c r="AQ393" s="437">
        <f>AH393</f>
        <v>0</v>
      </c>
      <c r="AR393" s="436"/>
      <c r="AS393" s="437">
        <f>AP393+AQ393-AR393</f>
        <v>5932.85</v>
      </c>
    </row>
    <row r="394" spans="1:45" s="438" customFormat="1" ht="24.95" customHeight="1">
      <c r="A394" s="1134"/>
      <c r="B394" s="1134"/>
      <c r="C394" s="1139"/>
      <c r="D394" s="1134"/>
      <c r="E394" s="1134"/>
      <c r="F394" s="1134"/>
      <c r="G394" s="1112"/>
      <c r="H394" s="1112"/>
      <c r="I394" s="1112"/>
      <c r="J394" s="1112"/>
      <c r="K394" s="1112"/>
      <c r="L394" s="439">
        <f>G393*L393</f>
        <v>773.85</v>
      </c>
      <c r="M394" s="1112"/>
      <c r="N394" s="1112"/>
      <c r="O394" s="1112"/>
      <c r="P394" s="1112"/>
      <c r="Q394" s="1112"/>
      <c r="R394" s="1112"/>
      <c r="S394" s="1112"/>
      <c r="T394" s="1134"/>
      <c r="U394" s="1138"/>
      <c r="V394" s="1112"/>
      <c r="W394" s="1112"/>
      <c r="X394" s="1112"/>
      <c r="Y394" s="1112"/>
      <c r="Z394" s="1112"/>
      <c r="AA394" s="1109"/>
      <c r="AB394" s="1109"/>
      <c r="AC394" s="1112"/>
      <c r="AD394" s="1112"/>
      <c r="AE394" s="436">
        <f>G394*O394</f>
        <v>0</v>
      </c>
      <c r="AF394" s="436">
        <f>G394*P394</f>
        <v>0</v>
      </c>
      <c r="AG394" s="436">
        <f>N394*O394</f>
        <v>0</v>
      </c>
      <c r="AH394" s="436">
        <f>N394*P394</f>
        <v>0</v>
      </c>
      <c r="AI394" s="436">
        <f>AG394-AE394</f>
        <v>0</v>
      </c>
      <c r="AJ394" s="436">
        <f>AH394-AF394</f>
        <v>0</v>
      </c>
      <c r="AK394" s="437">
        <f>V394*O394</f>
        <v>0</v>
      </c>
      <c r="AL394" s="437">
        <f>V394*P394</f>
        <v>0</v>
      </c>
      <c r="AM394" s="437">
        <f>W394</f>
        <v>0</v>
      </c>
      <c r="AN394" s="437">
        <f>S394*O394</f>
        <v>0</v>
      </c>
      <c r="AO394" s="437">
        <f>S394*P394</f>
        <v>0</v>
      </c>
      <c r="AP394" s="437">
        <f>AG394</f>
        <v>0</v>
      </c>
      <c r="AQ394" s="437">
        <f>AH394</f>
        <v>0</v>
      </c>
      <c r="AR394" s="436"/>
      <c r="AS394" s="437">
        <f>AP394+AQ394-AR394</f>
        <v>0</v>
      </c>
    </row>
    <row r="395" spans="1:45" s="438" customFormat="1" ht="24.95" customHeight="1">
      <c r="A395" s="1134"/>
      <c r="B395" s="1134"/>
      <c r="C395" s="1139" t="s">
        <v>705</v>
      </c>
      <c r="D395" s="1134" t="s">
        <v>709</v>
      </c>
      <c r="E395" s="1134" t="s">
        <v>710</v>
      </c>
      <c r="F395" s="1134">
        <v>9</v>
      </c>
      <c r="G395" s="1112">
        <v>5159</v>
      </c>
      <c r="H395" s="1112"/>
      <c r="I395" s="1112"/>
      <c r="J395" s="1112"/>
      <c r="K395" s="1112"/>
      <c r="L395" s="435">
        <v>0.15</v>
      </c>
      <c r="M395" s="1112"/>
      <c r="N395" s="1112">
        <f>G395+H396+K396+L396</f>
        <v>5932.85</v>
      </c>
      <c r="O395" s="1112">
        <v>1</v>
      </c>
      <c r="P395" s="1140"/>
      <c r="Q395" s="1140"/>
      <c r="R395" s="1140"/>
      <c r="S395" s="1140"/>
      <c r="T395" s="1134">
        <v>26</v>
      </c>
      <c r="U395" s="1138">
        <v>0.3</v>
      </c>
      <c r="V395" s="1112">
        <f>N395*U395</f>
        <v>1779.855</v>
      </c>
      <c r="W395" s="1112"/>
      <c r="X395" s="1112">
        <f>(N395+V395)*O395</f>
        <v>7712.7049999999999</v>
      </c>
      <c r="Y395" s="1112">
        <f>AB395</f>
        <v>5787.2950000000001</v>
      </c>
      <c r="Z395" s="1112">
        <f>X395+Y395</f>
        <v>13500</v>
      </c>
      <c r="AA395" s="1109">
        <f>13500*O395</f>
        <v>13500</v>
      </c>
      <c r="AB395" s="1109">
        <f>AA395-X395</f>
        <v>5787.2950000000001</v>
      </c>
      <c r="AC395" s="1112">
        <f>6700*O395</f>
        <v>6700</v>
      </c>
      <c r="AD395" s="1112"/>
      <c r="AE395" s="436">
        <f t="shared" si="148"/>
        <v>5159</v>
      </c>
      <c r="AF395" s="436">
        <f t="shared" si="149"/>
        <v>0</v>
      </c>
      <c r="AG395" s="436">
        <f t="shared" si="150"/>
        <v>5932.85</v>
      </c>
      <c r="AH395" s="436">
        <f t="shared" si="151"/>
        <v>0</v>
      </c>
      <c r="AI395" s="436">
        <f t="shared" si="152"/>
        <v>773.85000000000036</v>
      </c>
      <c r="AJ395" s="436">
        <f t="shared" si="152"/>
        <v>0</v>
      </c>
      <c r="AK395" s="437">
        <f t="shared" si="153"/>
        <v>1779.855</v>
      </c>
      <c r="AL395" s="437">
        <f t="shared" si="154"/>
        <v>0</v>
      </c>
      <c r="AM395" s="437">
        <f t="shared" si="155"/>
        <v>0</v>
      </c>
      <c r="AN395" s="437">
        <f t="shared" si="144"/>
        <v>0</v>
      </c>
      <c r="AO395" s="437">
        <f t="shared" si="145"/>
        <v>0</v>
      </c>
      <c r="AP395" s="437">
        <f t="shared" si="143"/>
        <v>5932.85</v>
      </c>
      <c r="AQ395" s="437">
        <f t="shared" si="143"/>
        <v>0</v>
      </c>
      <c r="AR395" s="436"/>
      <c r="AS395" s="437">
        <f t="shared" si="146"/>
        <v>5932.85</v>
      </c>
    </row>
    <row r="396" spans="1:45" s="438" customFormat="1" ht="24.95" customHeight="1">
      <c r="A396" s="1134"/>
      <c r="B396" s="1134"/>
      <c r="C396" s="1139"/>
      <c r="D396" s="1134"/>
      <c r="E396" s="1134"/>
      <c r="F396" s="1134"/>
      <c r="G396" s="1134"/>
      <c r="H396" s="1112"/>
      <c r="I396" s="1112"/>
      <c r="J396" s="1112"/>
      <c r="K396" s="1112"/>
      <c r="L396" s="439">
        <f>G395*L395</f>
        <v>773.85</v>
      </c>
      <c r="M396" s="1112"/>
      <c r="N396" s="1112"/>
      <c r="O396" s="1112"/>
      <c r="P396" s="1140"/>
      <c r="Q396" s="1140"/>
      <c r="R396" s="1140"/>
      <c r="S396" s="1140"/>
      <c r="T396" s="1134"/>
      <c r="U396" s="1138"/>
      <c r="V396" s="1112"/>
      <c r="W396" s="1112"/>
      <c r="X396" s="1112"/>
      <c r="Y396" s="1112"/>
      <c r="Z396" s="1112"/>
      <c r="AA396" s="1109"/>
      <c r="AB396" s="1109"/>
      <c r="AC396" s="1112"/>
      <c r="AD396" s="1112"/>
      <c r="AE396" s="436">
        <f t="shared" si="148"/>
        <v>0</v>
      </c>
      <c r="AF396" s="436">
        <f t="shared" si="149"/>
        <v>0</v>
      </c>
      <c r="AG396" s="436">
        <f t="shared" si="150"/>
        <v>0</v>
      </c>
      <c r="AH396" s="436">
        <f t="shared" si="151"/>
        <v>0</v>
      </c>
      <c r="AI396" s="436">
        <f t="shared" si="152"/>
        <v>0</v>
      </c>
      <c r="AJ396" s="436">
        <f t="shared" si="152"/>
        <v>0</v>
      </c>
      <c r="AK396" s="437">
        <f t="shared" si="153"/>
        <v>0</v>
      </c>
      <c r="AL396" s="437">
        <f t="shared" si="154"/>
        <v>0</v>
      </c>
      <c r="AM396" s="437">
        <f t="shared" si="155"/>
        <v>0</v>
      </c>
      <c r="AN396" s="437">
        <f t="shared" si="144"/>
        <v>0</v>
      </c>
      <c r="AO396" s="437">
        <f t="shared" si="145"/>
        <v>0</v>
      </c>
      <c r="AP396" s="437">
        <f t="shared" si="143"/>
        <v>0</v>
      </c>
      <c r="AQ396" s="437">
        <f t="shared" si="143"/>
        <v>0</v>
      </c>
      <c r="AR396" s="436"/>
      <c r="AS396" s="437">
        <f t="shared" si="146"/>
        <v>0</v>
      </c>
    </row>
    <row r="397" spans="1:45" s="438" customFormat="1" ht="24.95" customHeight="1">
      <c r="A397" s="1134"/>
      <c r="B397" s="1134"/>
      <c r="C397" s="1139" t="s">
        <v>705</v>
      </c>
      <c r="D397" s="1134" t="s">
        <v>711</v>
      </c>
      <c r="E397" s="1134" t="s">
        <v>712</v>
      </c>
      <c r="F397" s="1134">
        <v>9</v>
      </c>
      <c r="G397" s="1112">
        <v>5159</v>
      </c>
      <c r="H397" s="1112"/>
      <c r="I397" s="1112"/>
      <c r="J397" s="1112"/>
      <c r="K397" s="1112"/>
      <c r="L397" s="435">
        <v>0.15</v>
      </c>
      <c r="M397" s="1112"/>
      <c r="N397" s="1112">
        <f>G397+H398+K398+L398</f>
        <v>5932.85</v>
      </c>
      <c r="O397" s="1112">
        <v>1</v>
      </c>
      <c r="P397" s="1112"/>
      <c r="Q397" s="1112"/>
      <c r="R397" s="1112"/>
      <c r="S397" s="1112"/>
      <c r="T397" s="1134">
        <v>24</v>
      </c>
      <c r="U397" s="1138">
        <v>0.3</v>
      </c>
      <c r="V397" s="1112">
        <f>N397*U397</f>
        <v>1779.855</v>
      </c>
      <c r="W397" s="1112"/>
      <c r="X397" s="1112">
        <f>(N397+V397)*O397</f>
        <v>7712.7049999999999</v>
      </c>
      <c r="Y397" s="1112">
        <f>AB397</f>
        <v>5787.2950000000001</v>
      </c>
      <c r="Z397" s="1112">
        <f>X397+Y397</f>
        <v>13500</v>
      </c>
      <c r="AA397" s="1109">
        <f>13500*O397</f>
        <v>13500</v>
      </c>
      <c r="AB397" s="1109">
        <f>AA397-X397</f>
        <v>5787.2950000000001</v>
      </c>
      <c r="AC397" s="1112">
        <f>6700*O397</f>
        <v>6700</v>
      </c>
      <c r="AD397" s="1112"/>
      <c r="AE397" s="436">
        <f t="shared" si="148"/>
        <v>5159</v>
      </c>
      <c r="AF397" s="436">
        <f t="shared" si="149"/>
        <v>0</v>
      </c>
      <c r="AG397" s="436">
        <f t="shared" si="150"/>
        <v>5932.85</v>
      </c>
      <c r="AH397" s="436">
        <f t="shared" si="151"/>
        <v>0</v>
      </c>
      <c r="AI397" s="436">
        <f t="shared" si="152"/>
        <v>773.85000000000036</v>
      </c>
      <c r="AJ397" s="436">
        <f t="shared" si="152"/>
        <v>0</v>
      </c>
      <c r="AK397" s="437">
        <f t="shared" si="153"/>
        <v>1779.855</v>
      </c>
      <c r="AL397" s="437">
        <f t="shared" si="154"/>
        <v>0</v>
      </c>
      <c r="AM397" s="437">
        <f t="shared" si="155"/>
        <v>0</v>
      </c>
      <c r="AN397" s="437">
        <f t="shared" si="144"/>
        <v>0</v>
      </c>
      <c r="AO397" s="437">
        <f t="shared" si="145"/>
        <v>0</v>
      </c>
      <c r="AP397" s="437">
        <f t="shared" si="143"/>
        <v>5932.85</v>
      </c>
      <c r="AQ397" s="437">
        <f t="shared" si="143"/>
        <v>0</v>
      </c>
      <c r="AR397" s="436"/>
      <c r="AS397" s="437">
        <f t="shared" si="146"/>
        <v>5932.85</v>
      </c>
    </row>
    <row r="398" spans="1:45" s="438" customFormat="1" ht="24.95" customHeight="1">
      <c r="A398" s="1134"/>
      <c r="B398" s="1134"/>
      <c r="C398" s="1139"/>
      <c r="D398" s="1134"/>
      <c r="E398" s="1134"/>
      <c r="F398" s="1134"/>
      <c r="G398" s="1112"/>
      <c r="H398" s="1112"/>
      <c r="I398" s="1112"/>
      <c r="J398" s="1112"/>
      <c r="K398" s="1112"/>
      <c r="L398" s="439">
        <f>G397*L397</f>
        <v>773.85</v>
      </c>
      <c r="M398" s="1112"/>
      <c r="N398" s="1112"/>
      <c r="O398" s="1112"/>
      <c r="P398" s="1112"/>
      <c r="Q398" s="1112"/>
      <c r="R398" s="1112"/>
      <c r="S398" s="1112"/>
      <c r="T398" s="1134"/>
      <c r="U398" s="1138"/>
      <c r="V398" s="1112"/>
      <c r="W398" s="1112"/>
      <c r="X398" s="1112"/>
      <c r="Y398" s="1112"/>
      <c r="Z398" s="1112"/>
      <c r="AA398" s="1109"/>
      <c r="AB398" s="1109"/>
      <c r="AC398" s="1112"/>
      <c r="AD398" s="1112"/>
      <c r="AE398" s="436">
        <f t="shared" si="148"/>
        <v>0</v>
      </c>
      <c r="AF398" s="436">
        <f t="shared" si="149"/>
        <v>0</v>
      </c>
      <c r="AG398" s="436">
        <f t="shared" si="150"/>
        <v>0</v>
      </c>
      <c r="AH398" s="436">
        <f t="shared" si="151"/>
        <v>0</v>
      </c>
      <c r="AI398" s="436">
        <f t="shared" si="152"/>
        <v>0</v>
      </c>
      <c r="AJ398" s="436">
        <f t="shared" si="152"/>
        <v>0</v>
      </c>
      <c r="AK398" s="437">
        <f t="shared" si="153"/>
        <v>0</v>
      </c>
      <c r="AL398" s="437">
        <f t="shared" si="154"/>
        <v>0</v>
      </c>
      <c r="AM398" s="437">
        <f t="shared" si="155"/>
        <v>0</v>
      </c>
      <c r="AN398" s="437">
        <f t="shared" si="144"/>
        <v>0</v>
      </c>
      <c r="AO398" s="437">
        <f t="shared" si="145"/>
        <v>0</v>
      </c>
      <c r="AP398" s="437">
        <f t="shared" si="143"/>
        <v>0</v>
      </c>
      <c r="AQ398" s="437">
        <f t="shared" si="143"/>
        <v>0</v>
      </c>
      <c r="AR398" s="436"/>
      <c r="AS398" s="437">
        <f t="shared" si="146"/>
        <v>0</v>
      </c>
    </row>
    <row r="399" spans="1:45" s="438" customFormat="1" ht="24.95" customHeight="1">
      <c r="A399" s="1134"/>
      <c r="B399" s="1134"/>
      <c r="C399" s="1139" t="s">
        <v>713</v>
      </c>
      <c r="D399" s="1134" t="s">
        <v>1066</v>
      </c>
      <c r="E399" s="1134" t="s">
        <v>714</v>
      </c>
      <c r="F399" s="1134">
        <v>9</v>
      </c>
      <c r="G399" s="1112">
        <v>5159</v>
      </c>
      <c r="H399" s="1112"/>
      <c r="I399" s="1112"/>
      <c r="J399" s="1112"/>
      <c r="K399" s="1112"/>
      <c r="L399" s="1112"/>
      <c r="M399" s="1112"/>
      <c r="N399" s="1112">
        <f>G399+H400+K400+L400</f>
        <v>5159</v>
      </c>
      <c r="O399" s="1112">
        <v>1</v>
      </c>
      <c r="P399" s="1112"/>
      <c r="Q399" s="1112"/>
      <c r="R399" s="1112"/>
      <c r="S399" s="1112"/>
      <c r="T399" s="1134">
        <v>24</v>
      </c>
      <c r="U399" s="1138">
        <v>0.3</v>
      </c>
      <c r="V399" s="1112">
        <f>N399*U399</f>
        <v>1547.7</v>
      </c>
      <c r="W399" s="1112"/>
      <c r="X399" s="1112">
        <f>(N399+V399)*O399</f>
        <v>6706.7</v>
      </c>
      <c r="Y399" s="1112">
        <f>AB399</f>
        <v>6793.3</v>
      </c>
      <c r="Z399" s="1112">
        <f>X399+Y399</f>
        <v>13500</v>
      </c>
      <c r="AA399" s="1109">
        <f>13500*O399</f>
        <v>13500</v>
      </c>
      <c r="AB399" s="1109">
        <f>AA399-X399</f>
        <v>6793.3</v>
      </c>
      <c r="AC399" s="1112">
        <f>6700*O399</f>
        <v>6700</v>
      </c>
      <c r="AD399" s="1112"/>
      <c r="AE399" s="436">
        <f t="shared" si="148"/>
        <v>5159</v>
      </c>
      <c r="AF399" s="436">
        <f t="shared" si="149"/>
        <v>0</v>
      </c>
      <c r="AG399" s="436">
        <f t="shared" si="150"/>
        <v>5159</v>
      </c>
      <c r="AH399" s="436">
        <f t="shared" si="151"/>
        <v>0</v>
      </c>
      <c r="AI399" s="436">
        <f t="shared" si="152"/>
        <v>0</v>
      </c>
      <c r="AJ399" s="436">
        <f t="shared" si="152"/>
        <v>0</v>
      </c>
      <c r="AK399" s="437">
        <f t="shared" si="153"/>
        <v>1547.7</v>
      </c>
      <c r="AL399" s="437">
        <f t="shared" si="154"/>
        <v>0</v>
      </c>
      <c r="AM399" s="437">
        <f t="shared" si="155"/>
        <v>0</v>
      </c>
      <c r="AN399" s="437">
        <f t="shared" si="144"/>
        <v>0</v>
      </c>
      <c r="AO399" s="437">
        <f t="shared" si="145"/>
        <v>0</v>
      </c>
      <c r="AP399" s="437">
        <f t="shared" ref="AP399:AQ468" si="159">AG399</f>
        <v>5159</v>
      </c>
      <c r="AQ399" s="437">
        <f t="shared" si="159"/>
        <v>0</v>
      </c>
      <c r="AR399" s="436"/>
      <c r="AS399" s="437">
        <f t="shared" si="146"/>
        <v>5159</v>
      </c>
    </row>
    <row r="400" spans="1:45" s="438" customFormat="1" ht="24.95" customHeight="1">
      <c r="A400" s="1134"/>
      <c r="B400" s="1134"/>
      <c r="C400" s="1139"/>
      <c r="D400" s="1134"/>
      <c r="E400" s="1134"/>
      <c r="F400" s="1134"/>
      <c r="G400" s="1112"/>
      <c r="H400" s="1112"/>
      <c r="I400" s="1112"/>
      <c r="J400" s="1112"/>
      <c r="K400" s="1112"/>
      <c r="L400" s="1112"/>
      <c r="M400" s="1112"/>
      <c r="N400" s="1112"/>
      <c r="O400" s="1112"/>
      <c r="P400" s="1112"/>
      <c r="Q400" s="1112"/>
      <c r="R400" s="1112"/>
      <c r="S400" s="1112"/>
      <c r="T400" s="1134"/>
      <c r="U400" s="1138"/>
      <c r="V400" s="1112"/>
      <c r="W400" s="1112"/>
      <c r="X400" s="1112"/>
      <c r="Y400" s="1112"/>
      <c r="Z400" s="1112"/>
      <c r="AA400" s="1109"/>
      <c r="AB400" s="1109"/>
      <c r="AC400" s="1112"/>
      <c r="AD400" s="1112"/>
      <c r="AE400" s="436">
        <f t="shared" si="148"/>
        <v>0</v>
      </c>
      <c r="AF400" s="436">
        <f t="shared" si="149"/>
        <v>0</v>
      </c>
      <c r="AG400" s="436">
        <f t="shared" si="150"/>
        <v>0</v>
      </c>
      <c r="AH400" s="436">
        <f t="shared" si="151"/>
        <v>0</v>
      </c>
      <c r="AI400" s="436">
        <f t="shared" si="152"/>
        <v>0</v>
      </c>
      <c r="AJ400" s="436">
        <f t="shared" si="152"/>
        <v>0</v>
      </c>
      <c r="AK400" s="437">
        <f t="shared" si="153"/>
        <v>0</v>
      </c>
      <c r="AL400" s="437">
        <f t="shared" si="154"/>
        <v>0</v>
      </c>
      <c r="AM400" s="437">
        <f t="shared" si="155"/>
        <v>0</v>
      </c>
      <c r="AN400" s="437">
        <f t="shared" si="144"/>
        <v>0</v>
      </c>
      <c r="AO400" s="437">
        <f t="shared" si="145"/>
        <v>0</v>
      </c>
      <c r="AP400" s="437">
        <f t="shared" si="159"/>
        <v>0</v>
      </c>
      <c r="AQ400" s="437">
        <f t="shared" si="159"/>
        <v>0</v>
      </c>
      <c r="AR400" s="436"/>
      <c r="AS400" s="437">
        <f t="shared" si="146"/>
        <v>0</v>
      </c>
    </row>
    <row r="401" spans="1:45" s="438" customFormat="1" ht="24.95" customHeight="1">
      <c r="A401" s="1134"/>
      <c r="B401" s="1134"/>
      <c r="C401" s="1139" t="s">
        <v>715</v>
      </c>
      <c r="D401" s="1134" t="s">
        <v>603</v>
      </c>
      <c r="E401" s="1134" t="s">
        <v>716</v>
      </c>
      <c r="F401" s="1134">
        <v>8</v>
      </c>
      <c r="G401" s="1112">
        <v>4890</v>
      </c>
      <c r="H401" s="1112"/>
      <c r="I401" s="1112"/>
      <c r="J401" s="1112"/>
      <c r="K401" s="1112"/>
      <c r="L401" s="1112"/>
      <c r="M401" s="1112"/>
      <c r="N401" s="1112">
        <f>G401+H402+K402+L402</f>
        <v>4890</v>
      </c>
      <c r="O401" s="1112">
        <v>1</v>
      </c>
      <c r="P401" s="1112"/>
      <c r="Q401" s="1112"/>
      <c r="R401" s="1112"/>
      <c r="S401" s="1112"/>
      <c r="T401" s="1134">
        <v>14</v>
      </c>
      <c r="U401" s="1138">
        <v>0.2</v>
      </c>
      <c r="V401" s="1112">
        <f>N401*U401</f>
        <v>978</v>
      </c>
      <c r="W401" s="1112">
        <f>AD401</f>
        <v>832</v>
      </c>
      <c r="X401" s="1112">
        <f>(N401+V401)*O401+W401</f>
        <v>6700</v>
      </c>
      <c r="Y401" s="1112">
        <f>AB401</f>
        <v>6800</v>
      </c>
      <c r="Z401" s="1112">
        <f>X401+Y401</f>
        <v>13500</v>
      </c>
      <c r="AA401" s="1109">
        <f>13500*O401</f>
        <v>13500</v>
      </c>
      <c r="AB401" s="1109">
        <f>AA401-X401</f>
        <v>6800</v>
      </c>
      <c r="AC401" s="1112">
        <f>6700*O401</f>
        <v>6700</v>
      </c>
      <c r="AD401" s="1112">
        <f>AC401-(N401*O401)-V401</f>
        <v>832</v>
      </c>
      <c r="AE401" s="436">
        <f t="shared" si="148"/>
        <v>4890</v>
      </c>
      <c r="AF401" s="436">
        <f t="shared" si="149"/>
        <v>0</v>
      </c>
      <c r="AG401" s="436">
        <f t="shared" si="150"/>
        <v>4890</v>
      </c>
      <c r="AH401" s="436">
        <f t="shared" si="151"/>
        <v>0</v>
      </c>
      <c r="AI401" s="436">
        <f t="shared" si="152"/>
        <v>0</v>
      </c>
      <c r="AJ401" s="436">
        <f t="shared" si="152"/>
        <v>0</v>
      </c>
      <c r="AK401" s="437">
        <f t="shared" si="153"/>
        <v>978</v>
      </c>
      <c r="AL401" s="437">
        <f t="shared" si="154"/>
        <v>0</v>
      </c>
      <c r="AM401" s="437">
        <f t="shared" si="155"/>
        <v>832</v>
      </c>
      <c r="AN401" s="437">
        <f t="shared" si="144"/>
        <v>0</v>
      </c>
      <c r="AO401" s="437">
        <f t="shared" si="145"/>
        <v>0</v>
      </c>
      <c r="AP401" s="437">
        <f t="shared" si="159"/>
        <v>4890</v>
      </c>
      <c r="AQ401" s="437">
        <f t="shared" si="159"/>
        <v>0</v>
      </c>
      <c r="AR401" s="436"/>
      <c r="AS401" s="437">
        <f t="shared" si="146"/>
        <v>4890</v>
      </c>
    </row>
    <row r="402" spans="1:45" s="438" customFormat="1" ht="24.95" customHeight="1">
      <c r="A402" s="1134"/>
      <c r="B402" s="1134"/>
      <c r="C402" s="1139"/>
      <c r="D402" s="1134"/>
      <c r="E402" s="1134"/>
      <c r="F402" s="1134"/>
      <c r="G402" s="1112"/>
      <c r="H402" s="1112"/>
      <c r="I402" s="1112"/>
      <c r="J402" s="1112"/>
      <c r="K402" s="1112"/>
      <c r="L402" s="1112"/>
      <c r="M402" s="1112"/>
      <c r="N402" s="1112"/>
      <c r="O402" s="1112"/>
      <c r="P402" s="1112"/>
      <c r="Q402" s="1112"/>
      <c r="R402" s="1112"/>
      <c r="S402" s="1112"/>
      <c r="T402" s="1134"/>
      <c r="U402" s="1138"/>
      <c r="V402" s="1112"/>
      <c r="W402" s="1112"/>
      <c r="X402" s="1112"/>
      <c r="Y402" s="1112"/>
      <c r="Z402" s="1112"/>
      <c r="AA402" s="1109"/>
      <c r="AB402" s="1109"/>
      <c r="AC402" s="1112"/>
      <c r="AD402" s="1112"/>
      <c r="AE402" s="436">
        <f t="shared" si="148"/>
        <v>0</v>
      </c>
      <c r="AF402" s="436">
        <f t="shared" si="149"/>
        <v>0</v>
      </c>
      <c r="AG402" s="436">
        <f t="shared" si="150"/>
        <v>0</v>
      </c>
      <c r="AH402" s="436">
        <f t="shared" si="151"/>
        <v>0</v>
      </c>
      <c r="AI402" s="436">
        <f t="shared" si="152"/>
        <v>0</v>
      </c>
      <c r="AJ402" s="436">
        <f t="shared" si="152"/>
        <v>0</v>
      </c>
      <c r="AK402" s="437">
        <f t="shared" si="153"/>
        <v>0</v>
      </c>
      <c r="AL402" s="437">
        <f t="shared" si="154"/>
        <v>0</v>
      </c>
      <c r="AM402" s="437">
        <f t="shared" si="155"/>
        <v>0</v>
      </c>
      <c r="AN402" s="437">
        <f t="shared" si="144"/>
        <v>0</v>
      </c>
      <c r="AO402" s="437">
        <f t="shared" si="145"/>
        <v>0</v>
      </c>
      <c r="AP402" s="437">
        <f t="shared" si="159"/>
        <v>0</v>
      </c>
      <c r="AQ402" s="437">
        <f t="shared" si="159"/>
        <v>0</v>
      </c>
      <c r="AR402" s="436"/>
      <c r="AS402" s="437">
        <f t="shared" si="146"/>
        <v>0</v>
      </c>
    </row>
    <row r="403" spans="1:45" s="438" customFormat="1" ht="24.95" customHeight="1">
      <c r="A403" s="1134"/>
      <c r="B403" s="1134"/>
      <c r="C403" s="1139" t="s">
        <v>715</v>
      </c>
      <c r="D403" s="1134" t="s">
        <v>663</v>
      </c>
      <c r="E403" s="1134" t="s">
        <v>717</v>
      </c>
      <c r="F403" s="1134">
        <v>9</v>
      </c>
      <c r="G403" s="1112">
        <v>5159</v>
      </c>
      <c r="H403" s="1112"/>
      <c r="I403" s="1112"/>
      <c r="J403" s="1112"/>
      <c r="K403" s="1112"/>
      <c r="L403" s="1112"/>
      <c r="M403" s="1112"/>
      <c r="N403" s="1112">
        <f>G403+H404+K404+L404</f>
        <v>5159</v>
      </c>
      <c r="O403" s="1112">
        <v>1</v>
      </c>
      <c r="P403" s="1112"/>
      <c r="Q403" s="1112"/>
      <c r="R403" s="1112"/>
      <c r="S403" s="1112"/>
      <c r="T403" s="1134">
        <v>28</v>
      </c>
      <c r="U403" s="1138">
        <v>0.3</v>
      </c>
      <c r="V403" s="1112">
        <f>N403*U403</f>
        <v>1547.7</v>
      </c>
      <c r="W403" s="1112"/>
      <c r="X403" s="1112">
        <f>(N403+V403)*O403</f>
        <v>6706.7</v>
      </c>
      <c r="Y403" s="1112">
        <f>AB403</f>
        <v>6793.3</v>
      </c>
      <c r="Z403" s="1112">
        <f>X403+Y403</f>
        <v>13500</v>
      </c>
      <c r="AA403" s="1109">
        <f>13500*O403</f>
        <v>13500</v>
      </c>
      <c r="AB403" s="1109">
        <f>AA403-X403</f>
        <v>6793.3</v>
      </c>
      <c r="AC403" s="1112">
        <f>6700*O403</f>
        <v>6700</v>
      </c>
      <c r="AD403" s="1112"/>
      <c r="AE403" s="436">
        <f t="shared" si="148"/>
        <v>5159</v>
      </c>
      <c r="AF403" s="436">
        <f t="shared" si="149"/>
        <v>0</v>
      </c>
      <c r="AG403" s="436">
        <f t="shared" si="150"/>
        <v>5159</v>
      </c>
      <c r="AH403" s="436">
        <f t="shared" si="151"/>
        <v>0</v>
      </c>
      <c r="AI403" s="436">
        <f t="shared" ref="AI403:AJ444" si="160">AG403-AE403</f>
        <v>0</v>
      </c>
      <c r="AJ403" s="436">
        <f t="shared" si="160"/>
        <v>0</v>
      </c>
      <c r="AK403" s="437">
        <f t="shared" si="153"/>
        <v>1547.7</v>
      </c>
      <c r="AL403" s="437">
        <f t="shared" si="154"/>
        <v>0</v>
      </c>
      <c r="AM403" s="437">
        <f t="shared" si="155"/>
        <v>0</v>
      </c>
      <c r="AN403" s="437">
        <f t="shared" si="144"/>
        <v>0</v>
      </c>
      <c r="AO403" s="437">
        <f t="shared" si="145"/>
        <v>0</v>
      </c>
      <c r="AP403" s="437">
        <f t="shared" si="159"/>
        <v>5159</v>
      </c>
      <c r="AQ403" s="437">
        <f t="shared" si="159"/>
        <v>0</v>
      </c>
      <c r="AR403" s="436"/>
      <c r="AS403" s="437">
        <f t="shared" si="146"/>
        <v>5159</v>
      </c>
    </row>
    <row r="404" spans="1:45" s="438" customFormat="1" ht="24.95" customHeight="1">
      <c r="A404" s="1134"/>
      <c r="B404" s="1134"/>
      <c r="C404" s="1139"/>
      <c r="D404" s="1134"/>
      <c r="E404" s="1134"/>
      <c r="F404" s="1134"/>
      <c r="G404" s="1112"/>
      <c r="H404" s="1112"/>
      <c r="I404" s="1112"/>
      <c r="J404" s="1112"/>
      <c r="K404" s="1112"/>
      <c r="L404" s="1112"/>
      <c r="M404" s="1112"/>
      <c r="N404" s="1112"/>
      <c r="O404" s="1112"/>
      <c r="P404" s="1112"/>
      <c r="Q404" s="1112"/>
      <c r="R404" s="1112"/>
      <c r="S404" s="1112"/>
      <c r="T404" s="1134"/>
      <c r="U404" s="1138"/>
      <c r="V404" s="1112"/>
      <c r="W404" s="1112"/>
      <c r="X404" s="1112"/>
      <c r="Y404" s="1112"/>
      <c r="Z404" s="1112"/>
      <c r="AA404" s="1109"/>
      <c r="AB404" s="1109"/>
      <c r="AC404" s="1112"/>
      <c r="AD404" s="1112"/>
      <c r="AE404" s="436">
        <f t="shared" si="148"/>
        <v>0</v>
      </c>
      <c r="AF404" s="436">
        <f t="shared" si="149"/>
        <v>0</v>
      </c>
      <c r="AG404" s="436">
        <f t="shared" si="150"/>
        <v>0</v>
      </c>
      <c r="AH404" s="436">
        <f t="shared" si="151"/>
        <v>0</v>
      </c>
      <c r="AI404" s="436">
        <f t="shared" si="160"/>
        <v>0</v>
      </c>
      <c r="AJ404" s="436">
        <f t="shared" si="160"/>
        <v>0</v>
      </c>
      <c r="AK404" s="437">
        <f t="shared" si="153"/>
        <v>0</v>
      </c>
      <c r="AL404" s="437">
        <f t="shared" si="154"/>
        <v>0</v>
      </c>
      <c r="AM404" s="437">
        <f t="shared" si="155"/>
        <v>0</v>
      </c>
      <c r="AN404" s="437">
        <f t="shared" si="144"/>
        <v>0</v>
      </c>
      <c r="AO404" s="437">
        <f t="shared" si="145"/>
        <v>0</v>
      </c>
      <c r="AP404" s="437">
        <f t="shared" si="159"/>
        <v>0</v>
      </c>
      <c r="AQ404" s="437">
        <f t="shared" si="159"/>
        <v>0</v>
      </c>
      <c r="AR404" s="436"/>
      <c r="AS404" s="437">
        <f t="shared" si="146"/>
        <v>0</v>
      </c>
    </row>
    <row r="405" spans="1:45" s="446" customFormat="1" ht="24.95" customHeight="1">
      <c r="A405" s="441"/>
      <c r="B405" s="441"/>
      <c r="C405" s="442" t="s">
        <v>318</v>
      </c>
      <c r="D405" s="443"/>
      <c r="E405" s="441"/>
      <c r="F405" s="441"/>
      <c r="G405" s="444">
        <f>SUM(G391:G404)</f>
        <v>35844</v>
      </c>
      <c r="H405" s="441"/>
      <c r="I405" s="441"/>
      <c r="J405" s="441"/>
      <c r="K405" s="441"/>
      <c r="L405" s="451">
        <f>L392+L394+L396+L398</f>
        <v>3172.7849999999999</v>
      </c>
      <c r="M405" s="441"/>
      <c r="N405" s="444">
        <f>SUM(N391:N404)</f>
        <v>39532.684999999998</v>
      </c>
      <c r="O405" s="444">
        <f>SUM(O391:O404)</f>
        <v>7</v>
      </c>
      <c r="P405" s="444">
        <f>SUM(P391:P404)</f>
        <v>0</v>
      </c>
      <c r="Q405" s="444"/>
      <c r="R405" s="444"/>
      <c r="S405" s="444"/>
      <c r="T405" s="444"/>
      <c r="U405" s="444"/>
      <c r="V405" s="444">
        <f t="shared" ref="V405:AD405" si="161">SUM(V391:V404)</f>
        <v>10777.520500000001</v>
      </c>
      <c r="W405" s="444">
        <f t="shared" si="161"/>
        <v>832</v>
      </c>
      <c r="X405" s="444">
        <f t="shared" si="161"/>
        <v>51142.205499999996</v>
      </c>
      <c r="Y405" s="444">
        <f t="shared" si="161"/>
        <v>43357.794500000004</v>
      </c>
      <c r="Z405" s="444">
        <f t="shared" si="161"/>
        <v>94500</v>
      </c>
      <c r="AA405" s="499">
        <f t="shared" si="161"/>
        <v>94500</v>
      </c>
      <c r="AB405" s="499">
        <f t="shared" si="161"/>
        <v>43357.794500000004</v>
      </c>
      <c r="AC405" s="444">
        <f t="shared" si="161"/>
        <v>46900</v>
      </c>
      <c r="AD405" s="444">
        <f t="shared" si="161"/>
        <v>832</v>
      </c>
      <c r="AE405" s="436"/>
      <c r="AF405" s="436"/>
      <c r="AG405" s="436"/>
      <c r="AH405" s="436"/>
      <c r="AI405" s="436"/>
      <c r="AJ405" s="436"/>
      <c r="AK405" s="437"/>
      <c r="AL405" s="437"/>
      <c r="AM405" s="437"/>
      <c r="AN405" s="437"/>
      <c r="AO405" s="437"/>
      <c r="AP405" s="437">
        <f t="shared" si="159"/>
        <v>0</v>
      </c>
      <c r="AQ405" s="437">
        <f t="shared" si="159"/>
        <v>0</v>
      </c>
      <c r="AR405" s="436"/>
      <c r="AS405" s="437">
        <f t="shared" si="146"/>
        <v>0</v>
      </c>
    </row>
    <row r="406" spans="1:45" s="456" customFormat="1" ht="24.95" customHeight="1">
      <c r="A406" s="455"/>
      <c r="B406" s="455"/>
      <c r="C406" s="1136" t="s">
        <v>548</v>
      </c>
      <c r="D406" s="1136"/>
      <c r="E406" s="455"/>
      <c r="F406" s="455"/>
      <c r="G406" s="455"/>
      <c r="H406" s="455"/>
      <c r="I406" s="455"/>
      <c r="J406" s="455"/>
      <c r="K406" s="455"/>
      <c r="L406" s="455"/>
      <c r="M406" s="455"/>
      <c r="N406" s="455"/>
      <c r="O406" s="455"/>
      <c r="P406" s="455"/>
      <c r="Q406" s="455"/>
      <c r="R406" s="455"/>
      <c r="S406" s="455"/>
      <c r="T406" s="455"/>
      <c r="U406" s="455"/>
      <c r="V406" s="455"/>
      <c r="W406" s="455"/>
      <c r="X406" s="455"/>
      <c r="Y406" s="455"/>
      <c r="Z406" s="455"/>
      <c r="AA406" s="504"/>
      <c r="AB406" s="504"/>
      <c r="AC406" s="455"/>
      <c r="AD406" s="455"/>
      <c r="AE406" s="436">
        <f t="shared" si="148"/>
        <v>0</v>
      </c>
      <c r="AF406" s="436">
        <f t="shared" si="149"/>
        <v>0</v>
      </c>
      <c r="AG406" s="436">
        <f t="shared" si="150"/>
        <v>0</v>
      </c>
      <c r="AH406" s="436">
        <f t="shared" si="151"/>
        <v>0</v>
      </c>
      <c r="AI406" s="436">
        <f t="shared" si="160"/>
        <v>0</v>
      </c>
      <c r="AJ406" s="436">
        <f t="shared" si="160"/>
        <v>0</v>
      </c>
      <c r="AK406" s="437">
        <f t="shared" si="153"/>
        <v>0</v>
      </c>
      <c r="AL406" s="437">
        <f t="shared" si="154"/>
        <v>0</v>
      </c>
      <c r="AM406" s="437">
        <f t="shared" si="155"/>
        <v>0</v>
      </c>
      <c r="AN406" s="437">
        <f t="shared" si="144"/>
        <v>0</v>
      </c>
      <c r="AO406" s="437">
        <f t="shared" si="145"/>
        <v>0</v>
      </c>
      <c r="AP406" s="437">
        <f t="shared" si="159"/>
        <v>0</v>
      </c>
      <c r="AQ406" s="437">
        <f t="shared" si="159"/>
        <v>0</v>
      </c>
      <c r="AR406" s="436"/>
      <c r="AS406" s="437">
        <f t="shared" si="146"/>
        <v>0</v>
      </c>
    </row>
    <row r="407" spans="1:45" s="438" customFormat="1" ht="24.95" customHeight="1">
      <c r="A407" s="1134"/>
      <c r="B407" s="1134"/>
      <c r="C407" s="1141" t="s">
        <v>590</v>
      </c>
      <c r="D407" s="1134" t="s">
        <v>718</v>
      </c>
      <c r="E407" s="1134" t="s">
        <v>567</v>
      </c>
      <c r="F407" s="1134">
        <v>9</v>
      </c>
      <c r="G407" s="1112">
        <v>5159</v>
      </c>
      <c r="H407" s="435">
        <v>0.1</v>
      </c>
      <c r="I407" s="1140"/>
      <c r="J407" s="1140"/>
      <c r="K407" s="1140"/>
      <c r="L407" s="1140"/>
      <c r="M407" s="1140"/>
      <c r="N407" s="1112">
        <f>G407+H408+K408</f>
        <v>5674.9</v>
      </c>
      <c r="O407" s="1112">
        <v>1</v>
      </c>
      <c r="P407" s="1140"/>
      <c r="Q407" s="1140"/>
      <c r="R407" s="1140"/>
      <c r="S407" s="1140"/>
      <c r="T407" s="1134">
        <v>39</v>
      </c>
      <c r="U407" s="1138">
        <v>0.3</v>
      </c>
      <c r="V407" s="1112">
        <f>N407*U407</f>
        <v>1702.4699999999998</v>
      </c>
      <c r="W407" s="1112"/>
      <c r="X407" s="1112">
        <f>(N407+V407)*O407</f>
        <v>7377.369999999999</v>
      </c>
      <c r="Y407" s="1112">
        <f>AB407</f>
        <v>6122.630000000001</v>
      </c>
      <c r="Z407" s="1112">
        <f>X407+Y407</f>
        <v>13500</v>
      </c>
      <c r="AA407" s="1109">
        <f>13500*O407</f>
        <v>13500</v>
      </c>
      <c r="AB407" s="1109">
        <f>AA407-X407</f>
        <v>6122.630000000001</v>
      </c>
      <c r="AC407" s="1112">
        <f>6700*O407</f>
        <v>6700</v>
      </c>
      <c r="AD407" s="1112"/>
      <c r="AE407" s="436">
        <f t="shared" si="148"/>
        <v>5159</v>
      </c>
      <c r="AF407" s="436">
        <f t="shared" si="149"/>
        <v>0</v>
      </c>
      <c r="AG407" s="436">
        <f t="shared" si="150"/>
        <v>5674.9</v>
      </c>
      <c r="AH407" s="436">
        <f t="shared" si="151"/>
        <v>0</v>
      </c>
      <c r="AI407" s="436">
        <f t="shared" si="160"/>
        <v>515.89999999999964</v>
      </c>
      <c r="AJ407" s="436">
        <f t="shared" si="160"/>
        <v>0</v>
      </c>
      <c r="AK407" s="437">
        <f t="shared" si="153"/>
        <v>1702.4699999999998</v>
      </c>
      <c r="AL407" s="437">
        <f t="shared" si="154"/>
        <v>0</v>
      </c>
      <c r="AM407" s="437">
        <f t="shared" si="155"/>
        <v>0</v>
      </c>
      <c r="AN407" s="437">
        <f t="shared" si="144"/>
        <v>0</v>
      </c>
      <c r="AO407" s="437">
        <f t="shared" si="145"/>
        <v>0</v>
      </c>
      <c r="AP407" s="437">
        <f t="shared" si="159"/>
        <v>5674.9</v>
      </c>
      <c r="AQ407" s="437">
        <f t="shared" si="159"/>
        <v>0</v>
      </c>
      <c r="AR407" s="436"/>
      <c r="AS407" s="437">
        <f t="shared" si="146"/>
        <v>5674.9</v>
      </c>
    </row>
    <row r="408" spans="1:45" s="438" customFormat="1" ht="24.95" customHeight="1">
      <c r="A408" s="1134"/>
      <c r="B408" s="1134"/>
      <c r="C408" s="1141"/>
      <c r="D408" s="1134"/>
      <c r="E408" s="1134"/>
      <c r="F408" s="1134"/>
      <c r="G408" s="1112"/>
      <c r="H408" s="449">
        <f>G407*H407</f>
        <v>515.9</v>
      </c>
      <c r="I408" s="1140"/>
      <c r="J408" s="1140"/>
      <c r="K408" s="1140"/>
      <c r="L408" s="1140"/>
      <c r="M408" s="1140"/>
      <c r="N408" s="1112"/>
      <c r="O408" s="1112"/>
      <c r="P408" s="1140"/>
      <c r="Q408" s="1140"/>
      <c r="R408" s="1140"/>
      <c r="S408" s="1140"/>
      <c r="T408" s="1134"/>
      <c r="U408" s="1138"/>
      <c r="V408" s="1112"/>
      <c r="W408" s="1112"/>
      <c r="X408" s="1112"/>
      <c r="Y408" s="1112"/>
      <c r="Z408" s="1112"/>
      <c r="AA408" s="1109"/>
      <c r="AB408" s="1109"/>
      <c r="AC408" s="1112"/>
      <c r="AD408" s="1112"/>
      <c r="AE408" s="436">
        <f t="shared" si="148"/>
        <v>0</v>
      </c>
      <c r="AF408" s="436">
        <f t="shared" si="149"/>
        <v>0</v>
      </c>
      <c r="AG408" s="436">
        <f t="shared" si="150"/>
        <v>0</v>
      </c>
      <c r="AH408" s="436">
        <f t="shared" si="151"/>
        <v>0</v>
      </c>
      <c r="AI408" s="436">
        <f t="shared" si="160"/>
        <v>0</v>
      </c>
      <c r="AJ408" s="436">
        <f t="shared" si="160"/>
        <v>0</v>
      </c>
      <c r="AK408" s="437">
        <f t="shared" si="153"/>
        <v>0</v>
      </c>
      <c r="AL408" s="437">
        <f t="shared" si="154"/>
        <v>0</v>
      </c>
      <c r="AM408" s="437">
        <f t="shared" si="155"/>
        <v>0</v>
      </c>
      <c r="AN408" s="437">
        <f t="shared" si="144"/>
        <v>0</v>
      </c>
      <c r="AO408" s="437">
        <f t="shared" si="145"/>
        <v>0</v>
      </c>
      <c r="AP408" s="437">
        <f t="shared" si="159"/>
        <v>0</v>
      </c>
      <c r="AQ408" s="437">
        <f t="shared" si="159"/>
        <v>0</v>
      </c>
      <c r="AR408" s="436"/>
      <c r="AS408" s="437">
        <f t="shared" si="146"/>
        <v>0</v>
      </c>
    </row>
    <row r="409" spans="1:45" s="438" customFormat="1" ht="24.95" customHeight="1">
      <c r="A409" s="1134"/>
      <c r="B409" s="1134"/>
      <c r="C409" s="1139" t="s">
        <v>564</v>
      </c>
      <c r="D409" s="1134" t="s">
        <v>719</v>
      </c>
      <c r="E409" s="1134" t="s">
        <v>720</v>
      </c>
      <c r="F409" s="1134">
        <v>9</v>
      </c>
      <c r="G409" s="1112">
        <v>5159</v>
      </c>
      <c r="H409" s="1112"/>
      <c r="I409" s="1112"/>
      <c r="J409" s="1112"/>
      <c r="K409" s="1112"/>
      <c r="L409" s="1112"/>
      <c r="M409" s="1112"/>
      <c r="N409" s="1112">
        <f>G409+H410</f>
        <v>5159</v>
      </c>
      <c r="O409" s="1112">
        <v>1</v>
      </c>
      <c r="P409" s="1140"/>
      <c r="Q409" s="1140"/>
      <c r="R409" s="1140"/>
      <c r="S409" s="1140"/>
      <c r="T409" s="1134">
        <v>25</v>
      </c>
      <c r="U409" s="1138">
        <v>0.3</v>
      </c>
      <c r="V409" s="1112">
        <f>N409*U409</f>
        <v>1547.7</v>
      </c>
      <c r="W409" s="1112"/>
      <c r="X409" s="1112">
        <f>(N409+V409)*O409+W409</f>
        <v>6706.7</v>
      </c>
      <c r="Y409" s="1112">
        <f>AB409</f>
        <v>6793.3</v>
      </c>
      <c r="Z409" s="1112">
        <f>X409+Y409</f>
        <v>13500</v>
      </c>
      <c r="AA409" s="1109">
        <f>13500*O409</f>
        <v>13500</v>
      </c>
      <c r="AB409" s="1109">
        <f>AA409-X409</f>
        <v>6793.3</v>
      </c>
      <c r="AC409" s="1112">
        <f>6700*O409</f>
        <v>6700</v>
      </c>
      <c r="AD409" s="1112"/>
      <c r="AE409" s="436">
        <f t="shared" si="148"/>
        <v>5159</v>
      </c>
      <c r="AF409" s="436">
        <f t="shared" si="149"/>
        <v>0</v>
      </c>
      <c r="AG409" s="436">
        <f t="shared" si="150"/>
        <v>5159</v>
      </c>
      <c r="AH409" s="436">
        <f t="shared" si="151"/>
        <v>0</v>
      </c>
      <c r="AI409" s="436">
        <f t="shared" si="160"/>
        <v>0</v>
      </c>
      <c r="AJ409" s="436">
        <f t="shared" si="160"/>
        <v>0</v>
      </c>
      <c r="AK409" s="437">
        <f t="shared" si="153"/>
        <v>1547.7</v>
      </c>
      <c r="AL409" s="437">
        <f t="shared" si="154"/>
        <v>0</v>
      </c>
      <c r="AM409" s="437">
        <f t="shared" si="155"/>
        <v>0</v>
      </c>
      <c r="AN409" s="437">
        <f t="shared" si="144"/>
        <v>0</v>
      </c>
      <c r="AO409" s="437">
        <f t="shared" si="145"/>
        <v>0</v>
      </c>
      <c r="AP409" s="437">
        <f t="shared" si="159"/>
        <v>5159</v>
      </c>
      <c r="AQ409" s="437">
        <f t="shared" si="159"/>
        <v>0</v>
      </c>
      <c r="AR409" s="436"/>
      <c r="AS409" s="437">
        <f t="shared" si="146"/>
        <v>5159</v>
      </c>
    </row>
    <row r="410" spans="1:45" s="438" customFormat="1" ht="24.95" customHeight="1">
      <c r="A410" s="1134"/>
      <c r="B410" s="1134"/>
      <c r="C410" s="1139"/>
      <c r="D410" s="1134"/>
      <c r="E410" s="1134"/>
      <c r="F410" s="1134"/>
      <c r="G410" s="1112"/>
      <c r="H410" s="1112"/>
      <c r="I410" s="1112"/>
      <c r="J410" s="1112"/>
      <c r="K410" s="1112"/>
      <c r="L410" s="1112"/>
      <c r="M410" s="1112"/>
      <c r="N410" s="1112"/>
      <c r="O410" s="1112"/>
      <c r="P410" s="1140"/>
      <c r="Q410" s="1140"/>
      <c r="R410" s="1140"/>
      <c r="S410" s="1140"/>
      <c r="T410" s="1134"/>
      <c r="U410" s="1138"/>
      <c r="V410" s="1112"/>
      <c r="W410" s="1112"/>
      <c r="X410" s="1112"/>
      <c r="Y410" s="1112"/>
      <c r="Z410" s="1112"/>
      <c r="AA410" s="1109"/>
      <c r="AB410" s="1109"/>
      <c r="AC410" s="1112"/>
      <c r="AD410" s="1112"/>
      <c r="AE410" s="436">
        <f t="shared" si="148"/>
        <v>0</v>
      </c>
      <c r="AF410" s="436">
        <f t="shared" si="149"/>
        <v>0</v>
      </c>
      <c r="AG410" s="436">
        <f t="shared" si="150"/>
        <v>0</v>
      </c>
      <c r="AH410" s="436">
        <f t="shared" si="151"/>
        <v>0</v>
      </c>
      <c r="AI410" s="436">
        <f t="shared" si="160"/>
        <v>0</v>
      </c>
      <c r="AJ410" s="436">
        <f t="shared" si="160"/>
        <v>0</v>
      </c>
      <c r="AK410" s="437">
        <f t="shared" si="153"/>
        <v>0</v>
      </c>
      <c r="AL410" s="437">
        <f t="shared" si="154"/>
        <v>0</v>
      </c>
      <c r="AM410" s="437">
        <f t="shared" si="155"/>
        <v>0</v>
      </c>
      <c r="AN410" s="437">
        <f t="shared" si="144"/>
        <v>0</v>
      </c>
      <c r="AO410" s="437">
        <f t="shared" si="145"/>
        <v>0</v>
      </c>
      <c r="AP410" s="437">
        <f t="shared" si="159"/>
        <v>0</v>
      </c>
      <c r="AQ410" s="437">
        <f t="shared" si="159"/>
        <v>0</v>
      </c>
      <c r="AR410" s="436"/>
      <c r="AS410" s="437">
        <f t="shared" si="146"/>
        <v>0</v>
      </c>
    </row>
    <row r="411" spans="1:45" s="438" customFormat="1" ht="24.95" customHeight="1">
      <c r="A411" s="1134"/>
      <c r="B411" s="1134"/>
      <c r="C411" s="1139" t="s">
        <v>564</v>
      </c>
      <c r="D411" s="1134" t="s">
        <v>661</v>
      </c>
      <c r="E411" s="1134" t="s">
        <v>662</v>
      </c>
      <c r="F411" s="1134">
        <v>9</v>
      </c>
      <c r="G411" s="1112">
        <v>5159</v>
      </c>
      <c r="H411" s="1112"/>
      <c r="I411" s="1112"/>
      <c r="J411" s="1112"/>
      <c r="K411" s="1112"/>
      <c r="L411" s="1112"/>
      <c r="M411" s="1112"/>
      <c r="N411" s="1112">
        <f>G411+H412</f>
        <v>5159</v>
      </c>
      <c r="O411" s="1112">
        <v>1</v>
      </c>
      <c r="P411" s="1112"/>
      <c r="Q411" s="1140"/>
      <c r="R411" s="1140"/>
      <c r="S411" s="1140"/>
      <c r="T411" s="1134">
        <v>32</v>
      </c>
      <c r="U411" s="1138">
        <v>0.3</v>
      </c>
      <c r="V411" s="1112">
        <f>N411*U411</f>
        <v>1547.7</v>
      </c>
      <c r="W411" s="1112"/>
      <c r="X411" s="1112">
        <f>(N411+V411)*O411+W411</f>
        <v>6706.7</v>
      </c>
      <c r="Y411" s="1112">
        <f>AB411</f>
        <v>6793.3</v>
      </c>
      <c r="Z411" s="1112">
        <f>X411+Y411</f>
        <v>13500</v>
      </c>
      <c r="AA411" s="1109">
        <f>13500*O411</f>
        <v>13500</v>
      </c>
      <c r="AB411" s="1109">
        <f>AA411-X411</f>
        <v>6793.3</v>
      </c>
      <c r="AC411" s="1112">
        <f>6700*O411</f>
        <v>6700</v>
      </c>
      <c r="AD411" s="1112"/>
      <c r="AE411" s="436">
        <f t="shared" si="148"/>
        <v>5159</v>
      </c>
      <c r="AF411" s="436">
        <f t="shared" si="149"/>
        <v>0</v>
      </c>
      <c r="AG411" s="436">
        <f t="shared" si="150"/>
        <v>5159</v>
      </c>
      <c r="AH411" s="436">
        <f t="shared" si="151"/>
        <v>0</v>
      </c>
      <c r="AI411" s="436">
        <f t="shared" si="160"/>
        <v>0</v>
      </c>
      <c r="AJ411" s="436">
        <f t="shared" si="160"/>
        <v>0</v>
      </c>
      <c r="AK411" s="437">
        <f t="shared" si="153"/>
        <v>1547.7</v>
      </c>
      <c r="AL411" s="437">
        <f t="shared" si="154"/>
        <v>0</v>
      </c>
      <c r="AM411" s="437">
        <f t="shared" si="155"/>
        <v>0</v>
      </c>
      <c r="AN411" s="437">
        <f t="shared" si="144"/>
        <v>0</v>
      </c>
      <c r="AO411" s="437">
        <f t="shared" si="145"/>
        <v>0</v>
      </c>
      <c r="AP411" s="437">
        <f t="shared" si="159"/>
        <v>5159</v>
      </c>
      <c r="AQ411" s="437">
        <f t="shared" si="159"/>
        <v>0</v>
      </c>
      <c r="AR411" s="436"/>
      <c r="AS411" s="437">
        <f t="shared" si="146"/>
        <v>5159</v>
      </c>
    </row>
    <row r="412" spans="1:45" s="438" customFormat="1" ht="24.95" customHeight="1">
      <c r="A412" s="1134"/>
      <c r="B412" s="1134"/>
      <c r="C412" s="1139"/>
      <c r="D412" s="1134"/>
      <c r="E412" s="1134"/>
      <c r="F412" s="1134"/>
      <c r="G412" s="1112"/>
      <c r="H412" s="1112"/>
      <c r="I412" s="1112"/>
      <c r="J412" s="1112"/>
      <c r="K412" s="1112"/>
      <c r="L412" s="1112"/>
      <c r="M412" s="1112"/>
      <c r="N412" s="1112"/>
      <c r="O412" s="1112"/>
      <c r="P412" s="1112"/>
      <c r="Q412" s="1140"/>
      <c r="R412" s="1140"/>
      <c r="S412" s="1140"/>
      <c r="T412" s="1134"/>
      <c r="U412" s="1138"/>
      <c r="V412" s="1112"/>
      <c r="W412" s="1112"/>
      <c r="X412" s="1112"/>
      <c r="Y412" s="1112"/>
      <c r="Z412" s="1112"/>
      <c r="AA412" s="1109"/>
      <c r="AB412" s="1109"/>
      <c r="AC412" s="1112"/>
      <c r="AD412" s="1112"/>
      <c r="AE412" s="436">
        <f t="shared" si="148"/>
        <v>0</v>
      </c>
      <c r="AF412" s="436">
        <f t="shared" si="149"/>
        <v>0</v>
      </c>
      <c r="AG412" s="436">
        <f t="shared" si="150"/>
        <v>0</v>
      </c>
      <c r="AH412" s="436">
        <f t="shared" si="151"/>
        <v>0</v>
      </c>
      <c r="AI412" s="436">
        <f t="shared" si="160"/>
        <v>0</v>
      </c>
      <c r="AJ412" s="436">
        <f t="shared" si="160"/>
        <v>0</v>
      </c>
      <c r="AK412" s="437">
        <f t="shared" si="153"/>
        <v>0</v>
      </c>
      <c r="AL412" s="437">
        <f t="shared" si="154"/>
        <v>0</v>
      </c>
      <c r="AM412" s="437">
        <f t="shared" si="155"/>
        <v>0</v>
      </c>
      <c r="AN412" s="437">
        <f t="shared" si="144"/>
        <v>0</v>
      </c>
      <c r="AO412" s="437">
        <f t="shared" si="145"/>
        <v>0</v>
      </c>
      <c r="AP412" s="437">
        <f t="shared" si="159"/>
        <v>0</v>
      </c>
      <c r="AQ412" s="437">
        <f t="shared" si="159"/>
        <v>0</v>
      </c>
      <c r="AR412" s="436"/>
      <c r="AS412" s="437">
        <f t="shared" si="146"/>
        <v>0</v>
      </c>
    </row>
    <row r="413" spans="1:45" s="438" customFormat="1" ht="24.95" customHeight="1">
      <c r="A413" s="1134"/>
      <c r="B413" s="1134"/>
      <c r="C413" s="1139" t="s">
        <v>564</v>
      </c>
      <c r="D413" s="1134" t="s">
        <v>337</v>
      </c>
      <c r="E413" s="1134" t="s">
        <v>672</v>
      </c>
      <c r="F413" s="1134">
        <v>6</v>
      </c>
      <c r="G413" s="1112">
        <v>4324</v>
      </c>
      <c r="H413" s="1112"/>
      <c r="I413" s="1112"/>
      <c r="J413" s="1112"/>
      <c r="K413" s="1112"/>
      <c r="L413" s="1112"/>
      <c r="M413" s="1112"/>
      <c r="N413" s="1112">
        <f>G413+H414+K414+L414</f>
        <v>4324</v>
      </c>
      <c r="O413" s="1112">
        <v>0.5</v>
      </c>
      <c r="P413" s="1140"/>
      <c r="Q413" s="1140"/>
      <c r="R413" s="1140"/>
      <c r="S413" s="1140"/>
      <c r="T413" s="1134">
        <v>49</v>
      </c>
      <c r="U413" s="1138">
        <v>0.3</v>
      </c>
      <c r="V413" s="1112">
        <f>N413*U413</f>
        <v>1297.2</v>
      </c>
      <c r="W413" s="1112">
        <f>AD413</f>
        <v>539.4</v>
      </c>
      <c r="X413" s="1112">
        <f>(N413+V413)*O413+W413</f>
        <v>3350</v>
      </c>
      <c r="Y413" s="1112">
        <f>AB413</f>
        <v>3400</v>
      </c>
      <c r="Z413" s="1112">
        <f>X413+Y413</f>
        <v>6750</v>
      </c>
      <c r="AA413" s="1109">
        <f>13500*O413</f>
        <v>6750</v>
      </c>
      <c r="AB413" s="1109">
        <f>AA413-X413</f>
        <v>3400</v>
      </c>
      <c r="AC413" s="1112">
        <f>6700*O413</f>
        <v>3350</v>
      </c>
      <c r="AD413" s="1112">
        <f>AC413-(N413*O413)-V413*0.5</f>
        <v>539.4</v>
      </c>
      <c r="AE413" s="436">
        <f t="shared" si="148"/>
        <v>2162</v>
      </c>
      <c r="AF413" s="436">
        <f t="shared" si="149"/>
        <v>0</v>
      </c>
      <c r="AG413" s="436">
        <f t="shared" si="150"/>
        <v>2162</v>
      </c>
      <c r="AH413" s="436">
        <f t="shared" si="151"/>
        <v>0</v>
      </c>
      <c r="AI413" s="436">
        <f t="shared" si="160"/>
        <v>0</v>
      </c>
      <c r="AJ413" s="436">
        <f t="shared" si="160"/>
        <v>0</v>
      </c>
      <c r="AK413" s="437">
        <f t="shared" si="153"/>
        <v>648.6</v>
      </c>
      <c r="AL413" s="437">
        <f t="shared" si="154"/>
        <v>0</v>
      </c>
      <c r="AM413" s="437">
        <f t="shared" si="155"/>
        <v>539.4</v>
      </c>
      <c r="AN413" s="437">
        <f t="shared" si="144"/>
        <v>0</v>
      </c>
      <c r="AO413" s="437">
        <f t="shared" si="145"/>
        <v>0</v>
      </c>
      <c r="AP413" s="437">
        <f t="shared" si="159"/>
        <v>2162</v>
      </c>
      <c r="AQ413" s="437">
        <f t="shared" si="159"/>
        <v>0</v>
      </c>
      <c r="AR413" s="436"/>
      <c r="AS413" s="437">
        <f t="shared" si="146"/>
        <v>2162</v>
      </c>
    </row>
    <row r="414" spans="1:45" s="438" customFormat="1" ht="24.95" customHeight="1">
      <c r="A414" s="1134"/>
      <c r="B414" s="1134"/>
      <c r="C414" s="1139"/>
      <c r="D414" s="1134"/>
      <c r="E414" s="1134"/>
      <c r="F414" s="1134"/>
      <c r="G414" s="1112"/>
      <c r="H414" s="1112"/>
      <c r="I414" s="1112"/>
      <c r="J414" s="1112"/>
      <c r="K414" s="1112"/>
      <c r="L414" s="1112"/>
      <c r="M414" s="1112"/>
      <c r="N414" s="1112"/>
      <c r="O414" s="1112"/>
      <c r="P414" s="1140"/>
      <c r="Q414" s="1140"/>
      <c r="R414" s="1140"/>
      <c r="S414" s="1140"/>
      <c r="T414" s="1134"/>
      <c r="U414" s="1138"/>
      <c r="V414" s="1112"/>
      <c r="W414" s="1112"/>
      <c r="X414" s="1112"/>
      <c r="Y414" s="1112"/>
      <c r="Z414" s="1112"/>
      <c r="AA414" s="1109"/>
      <c r="AB414" s="1109"/>
      <c r="AC414" s="1112"/>
      <c r="AD414" s="1112"/>
      <c r="AE414" s="436">
        <f t="shared" si="148"/>
        <v>0</v>
      </c>
      <c r="AF414" s="436">
        <f t="shared" si="149"/>
        <v>0</v>
      </c>
      <c r="AG414" s="436">
        <f t="shared" si="150"/>
        <v>0</v>
      </c>
      <c r="AH414" s="436">
        <f t="shared" si="151"/>
        <v>0</v>
      </c>
      <c r="AI414" s="436">
        <f t="shared" si="160"/>
        <v>0</v>
      </c>
      <c r="AJ414" s="436">
        <f t="shared" si="160"/>
        <v>0</v>
      </c>
      <c r="AK414" s="437">
        <f t="shared" si="153"/>
        <v>0</v>
      </c>
      <c r="AL414" s="437">
        <f t="shared" si="154"/>
        <v>0</v>
      </c>
      <c r="AM414" s="437">
        <f t="shared" si="155"/>
        <v>0</v>
      </c>
      <c r="AN414" s="437">
        <f t="shared" si="144"/>
        <v>0</v>
      </c>
      <c r="AO414" s="437">
        <f t="shared" si="145"/>
        <v>0</v>
      </c>
      <c r="AP414" s="437">
        <f t="shared" si="159"/>
        <v>0</v>
      </c>
      <c r="AQ414" s="437">
        <f t="shared" si="159"/>
        <v>0</v>
      </c>
      <c r="AR414" s="436"/>
      <c r="AS414" s="437">
        <f t="shared" si="146"/>
        <v>0</v>
      </c>
    </row>
    <row r="415" spans="1:45" s="438" customFormat="1" ht="24.95" customHeight="1">
      <c r="A415" s="1134"/>
      <c r="B415" s="1134"/>
      <c r="C415" s="1139" t="s">
        <v>564</v>
      </c>
      <c r="D415" s="1134"/>
      <c r="E415" s="1134" t="s">
        <v>325</v>
      </c>
      <c r="F415" s="1134">
        <v>9</v>
      </c>
      <c r="G415" s="1112">
        <v>5159</v>
      </c>
      <c r="H415" s="1112"/>
      <c r="I415" s="1112"/>
      <c r="J415" s="1112"/>
      <c r="K415" s="1112"/>
      <c r="L415" s="1112"/>
      <c r="M415" s="1112"/>
      <c r="N415" s="1112">
        <f>G415+H416+K416+L416</f>
        <v>5159</v>
      </c>
      <c r="O415" s="1112">
        <v>0.5</v>
      </c>
      <c r="P415" s="1140"/>
      <c r="Q415" s="1140"/>
      <c r="R415" s="1140"/>
      <c r="S415" s="1140"/>
      <c r="T415" s="1134"/>
      <c r="U415" s="1138">
        <v>0</v>
      </c>
      <c r="V415" s="1112">
        <f>N415*U415</f>
        <v>0</v>
      </c>
      <c r="W415" s="1112">
        <f>AD415</f>
        <v>770.5</v>
      </c>
      <c r="X415" s="1112">
        <f>(N415+V415)*O415+W415</f>
        <v>3350</v>
      </c>
      <c r="Y415" s="1112">
        <f>AB415</f>
        <v>3400</v>
      </c>
      <c r="Z415" s="1112">
        <f>X415+Y415</f>
        <v>6750</v>
      </c>
      <c r="AA415" s="1109">
        <f>13500*O415</f>
        <v>6750</v>
      </c>
      <c r="AB415" s="1109">
        <f>AA415-X415</f>
        <v>3400</v>
      </c>
      <c r="AC415" s="1112">
        <f>6700*O415</f>
        <v>3350</v>
      </c>
      <c r="AD415" s="1112">
        <f>AC415-(N415*O415)-V415</f>
        <v>770.5</v>
      </c>
      <c r="AE415" s="436">
        <f t="shared" si="148"/>
        <v>2579.5</v>
      </c>
      <c r="AF415" s="436">
        <f t="shared" si="149"/>
        <v>0</v>
      </c>
      <c r="AG415" s="436">
        <f t="shared" si="150"/>
        <v>2579.5</v>
      </c>
      <c r="AH415" s="436">
        <f t="shared" si="151"/>
        <v>0</v>
      </c>
      <c r="AI415" s="436">
        <f t="shared" si="160"/>
        <v>0</v>
      </c>
      <c r="AJ415" s="436">
        <f t="shared" si="160"/>
        <v>0</v>
      </c>
      <c r="AK415" s="437">
        <f t="shared" si="153"/>
        <v>0</v>
      </c>
      <c r="AL415" s="437">
        <f t="shared" si="154"/>
        <v>0</v>
      </c>
      <c r="AM415" s="437">
        <f t="shared" si="155"/>
        <v>770.5</v>
      </c>
      <c r="AN415" s="437">
        <f t="shared" si="144"/>
        <v>0</v>
      </c>
      <c r="AO415" s="437">
        <f t="shared" si="145"/>
        <v>0</v>
      </c>
      <c r="AP415" s="437">
        <f t="shared" si="159"/>
        <v>2579.5</v>
      </c>
      <c r="AQ415" s="437">
        <f t="shared" si="159"/>
        <v>0</v>
      </c>
      <c r="AR415" s="436"/>
      <c r="AS415" s="437">
        <f t="shared" si="146"/>
        <v>2579.5</v>
      </c>
    </row>
    <row r="416" spans="1:45" s="438" customFormat="1" ht="23.25" customHeight="1">
      <c r="A416" s="1134"/>
      <c r="B416" s="1134"/>
      <c r="C416" s="1139"/>
      <c r="D416" s="1134"/>
      <c r="E416" s="1134"/>
      <c r="F416" s="1134"/>
      <c r="G416" s="1112"/>
      <c r="H416" s="1112"/>
      <c r="I416" s="1112"/>
      <c r="J416" s="1112"/>
      <c r="K416" s="1112"/>
      <c r="L416" s="1112"/>
      <c r="M416" s="1112"/>
      <c r="N416" s="1112"/>
      <c r="O416" s="1112"/>
      <c r="P416" s="1140"/>
      <c r="Q416" s="1140"/>
      <c r="R416" s="1140"/>
      <c r="S416" s="1140"/>
      <c r="T416" s="1134"/>
      <c r="U416" s="1138"/>
      <c r="V416" s="1112"/>
      <c r="W416" s="1112"/>
      <c r="X416" s="1112"/>
      <c r="Y416" s="1112"/>
      <c r="Z416" s="1112"/>
      <c r="AA416" s="1109"/>
      <c r="AB416" s="1109"/>
      <c r="AC416" s="1112"/>
      <c r="AD416" s="1112"/>
      <c r="AE416" s="436">
        <f t="shared" si="148"/>
        <v>0</v>
      </c>
      <c r="AF416" s="436">
        <f t="shared" si="149"/>
        <v>0</v>
      </c>
      <c r="AG416" s="436">
        <f t="shared" si="150"/>
        <v>0</v>
      </c>
      <c r="AH416" s="436">
        <f t="shared" si="151"/>
        <v>0</v>
      </c>
      <c r="AI416" s="436">
        <f t="shared" si="160"/>
        <v>0</v>
      </c>
      <c r="AJ416" s="436">
        <f t="shared" si="160"/>
        <v>0</v>
      </c>
      <c r="AK416" s="437">
        <f t="shared" si="153"/>
        <v>0</v>
      </c>
      <c r="AL416" s="437">
        <f t="shared" si="154"/>
        <v>0</v>
      </c>
      <c r="AM416" s="437">
        <f t="shared" si="155"/>
        <v>0</v>
      </c>
      <c r="AN416" s="437">
        <f t="shared" si="144"/>
        <v>0</v>
      </c>
      <c r="AO416" s="437">
        <f t="shared" si="145"/>
        <v>0</v>
      </c>
      <c r="AP416" s="437">
        <f t="shared" si="159"/>
        <v>0</v>
      </c>
      <c r="AQ416" s="437">
        <f t="shared" si="159"/>
        <v>0</v>
      </c>
      <c r="AR416" s="436"/>
      <c r="AS416" s="437">
        <f t="shared" si="146"/>
        <v>0</v>
      </c>
    </row>
    <row r="417" spans="1:45" s="438" customFormat="1" ht="23.25" customHeight="1">
      <c r="A417" s="1134"/>
      <c r="B417" s="1134"/>
      <c r="C417" s="1139" t="s">
        <v>564</v>
      </c>
      <c r="D417" s="1134" t="s">
        <v>1055</v>
      </c>
      <c r="E417" s="1134" t="s">
        <v>721</v>
      </c>
      <c r="F417" s="1134">
        <v>9</v>
      </c>
      <c r="G417" s="1112">
        <v>5159</v>
      </c>
      <c r="H417" s="1112"/>
      <c r="I417" s="1112"/>
      <c r="J417" s="1112"/>
      <c r="K417" s="1112"/>
      <c r="L417" s="1112"/>
      <c r="M417" s="1112"/>
      <c r="N417" s="1112">
        <f>G417+H418</f>
        <v>5159</v>
      </c>
      <c r="O417" s="1112">
        <v>1</v>
      </c>
      <c r="P417" s="1112"/>
      <c r="Q417" s="1112"/>
      <c r="R417" s="1112"/>
      <c r="S417" s="1112"/>
      <c r="T417" s="1134">
        <v>35</v>
      </c>
      <c r="U417" s="1138">
        <v>0.3</v>
      </c>
      <c r="V417" s="1112">
        <f>N417*U417</f>
        <v>1547.7</v>
      </c>
      <c r="W417" s="1112"/>
      <c r="X417" s="1112">
        <f>(N417+V417)*O417</f>
        <v>6706.7</v>
      </c>
      <c r="Y417" s="1112">
        <f>AB417</f>
        <v>6793.3</v>
      </c>
      <c r="Z417" s="1112">
        <f>X417+Y417</f>
        <v>13500</v>
      </c>
      <c r="AA417" s="1109">
        <f>13500*O417</f>
        <v>13500</v>
      </c>
      <c r="AB417" s="1109">
        <f>AA417-X417</f>
        <v>6793.3</v>
      </c>
      <c r="AC417" s="1112">
        <f>6700*O417</f>
        <v>6700</v>
      </c>
      <c r="AD417" s="1112"/>
      <c r="AE417" s="436">
        <f t="shared" si="148"/>
        <v>5159</v>
      </c>
      <c r="AF417" s="436">
        <f t="shared" si="149"/>
        <v>0</v>
      </c>
      <c r="AG417" s="436">
        <f t="shared" si="150"/>
        <v>5159</v>
      </c>
      <c r="AH417" s="436">
        <f t="shared" si="151"/>
        <v>0</v>
      </c>
      <c r="AI417" s="436">
        <f t="shared" si="160"/>
        <v>0</v>
      </c>
      <c r="AJ417" s="436">
        <f t="shared" si="160"/>
        <v>0</v>
      </c>
      <c r="AK417" s="437">
        <f t="shared" si="153"/>
        <v>1547.7</v>
      </c>
      <c r="AL417" s="437">
        <f t="shared" si="154"/>
        <v>0</v>
      </c>
      <c r="AM417" s="437">
        <f t="shared" si="155"/>
        <v>0</v>
      </c>
      <c r="AN417" s="437">
        <f t="shared" si="144"/>
        <v>0</v>
      </c>
      <c r="AO417" s="437">
        <f t="shared" si="145"/>
        <v>0</v>
      </c>
      <c r="AP417" s="437">
        <f t="shared" si="159"/>
        <v>5159</v>
      </c>
      <c r="AQ417" s="437">
        <f t="shared" si="159"/>
        <v>0</v>
      </c>
      <c r="AR417" s="436"/>
      <c r="AS417" s="437">
        <f t="shared" si="146"/>
        <v>5159</v>
      </c>
    </row>
    <row r="418" spans="1:45" s="438" customFormat="1" ht="24.95" customHeight="1">
      <c r="A418" s="1134"/>
      <c r="B418" s="1134"/>
      <c r="C418" s="1139"/>
      <c r="D418" s="1134"/>
      <c r="E418" s="1134"/>
      <c r="F418" s="1134"/>
      <c r="G418" s="1112"/>
      <c r="H418" s="1112"/>
      <c r="I418" s="1112"/>
      <c r="J418" s="1112"/>
      <c r="K418" s="1112"/>
      <c r="L418" s="1112"/>
      <c r="M418" s="1112"/>
      <c r="N418" s="1112"/>
      <c r="O418" s="1112"/>
      <c r="P418" s="1112"/>
      <c r="Q418" s="1112"/>
      <c r="R418" s="1112"/>
      <c r="S418" s="1112"/>
      <c r="T418" s="1134"/>
      <c r="U418" s="1138"/>
      <c r="V418" s="1112"/>
      <c r="W418" s="1112"/>
      <c r="X418" s="1112"/>
      <c r="Y418" s="1112"/>
      <c r="Z418" s="1112"/>
      <c r="AA418" s="1109"/>
      <c r="AB418" s="1109"/>
      <c r="AC418" s="1112"/>
      <c r="AD418" s="1112"/>
      <c r="AE418" s="436">
        <f t="shared" si="148"/>
        <v>0</v>
      </c>
      <c r="AF418" s="436">
        <f t="shared" si="149"/>
        <v>0</v>
      </c>
      <c r="AG418" s="436">
        <f t="shared" si="150"/>
        <v>0</v>
      </c>
      <c r="AH418" s="436">
        <f t="shared" si="151"/>
        <v>0</v>
      </c>
      <c r="AI418" s="436">
        <f t="shared" si="160"/>
        <v>0</v>
      </c>
      <c r="AJ418" s="436">
        <f t="shared" si="160"/>
        <v>0</v>
      </c>
      <c r="AK418" s="437">
        <f t="shared" si="153"/>
        <v>0</v>
      </c>
      <c r="AL418" s="437">
        <f t="shared" si="154"/>
        <v>0</v>
      </c>
      <c r="AM418" s="437">
        <f t="shared" si="155"/>
        <v>0</v>
      </c>
      <c r="AN418" s="437">
        <f t="shared" si="144"/>
        <v>0</v>
      </c>
      <c r="AO418" s="437">
        <f t="shared" si="145"/>
        <v>0</v>
      </c>
      <c r="AP418" s="437">
        <f t="shared" si="159"/>
        <v>0</v>
      </c>
      <c r="AQ418" s="437">
        <f t="shared" si="159"/>
        <v>0</v>
      </c>
      <c r="AR418" s="436"/>
      <c r="AS418" s="437">
        <f t="shared" si="146"/>
        <v>0</v>
      </c>
    </row>
    <row r="419" spans="1:45" s="438" customFormat="1" ht="24.95" customHeight="1">
      <c r="A419" s="1134"/>
      <c r="B419" s="1134"/>
      <c r="C419" s="1139" t="s">
        <v>564</v>
      </c>
      <c r="D419" s="1134" t="s">
        <v>572</v>
      </c>
      <c r="E419" s="1134" t="s">
        <v>722</v>
      </c>
      <c r="F419" s="1134">
        <v>9</v>
      </c>
      <c r="G419" s="1112">
        <v>5159</v>
      </c>
      <c r="H419" s="1112"/>
      <c r="I419" s="1112"/>
      <c r="J419" s="1112"/>
      <c r="K419" s="1112"/>
      <c r="L419" s="1140"/>
      <c r="M419" s="1140"/>
      <c r="N419" s="1112">
        <f>G419+I420</f>
        <v>5159</v>
      </c>
      <c r="O419" s="1112">
        <v>1</v>
      </c>
      <c r="P419" s="1112"/>
      <c r="Q419" s="1140"/>
      <c r="R419" s="1140"/>
      <c r="S419" s="1140"/>
      <c r="T419" s="1134">
        <v>35</v>
      </c>
      <c r="U419" s="1138">
        <v>0.3</v>
      </c>
      <c r="V419" s="1112">
        <f>N419*U419</f>
        <v>1547.7</v>
      </c>
      <c r="W419" s="1112"/>
      <c r="X419" s="1112">
        <f>(N419+V419)*O419</f>
        <v>6706.7</v>
      </c>
      <c r="Y419" s="1112">
        <f>AB419</f>
        <v>6793.3</v>
      </c>
      <c r="Z419" s="1112">
        <f>X419+Y419</f>
        <v>13500</v>
      </c>
      <c r="AA419" s="1109">
        <f>13500*O419</f>
        <v>13500</v>
      </c>
      <c r="AB419" s="1109">
        <f>AA419-X419</f>
        <v>6793.3</v>
      </c>
      <c r="AC419" s="1112">
        <f>6700*O419</f>
        <v>6700</v>
      </c>
      <c r="AD419" s="1112"/>
      <c r="AE419" s="436">
        <f t="shared" si="148"/>
        <v>5159</v>
      </c>
      <c r="AF419" s="436">
        <f t="shared" si="149"/>
        <v>0</v>
      </c>
      <c r="AG419" s="436">
        <f t="shared" si="150"/>
        <v>5159</v>
      </c>
      <c r="AH419" s="436">
        <f t="shared" si="151"/>
        <v>0</v>
      </c>
      <c r="AI419" s="436">
        <f t="shared" si="160"/>
        <v>0</v>
      </c>
      <c r="AJ419" s="436">
        <f t="shared" si="160"/>
        <v>0</v>
      </c>
      <c r="AK419" s="437">
        <f t="shared" si="153"/>
        <v>1547.7</v>
      </c>
      <c r="AL419" s="437">
        <f t="shared" si="154"/>
        <v>0</v>
      </c>
      <c r="AM419" s="437">
        <f t="shared" si="155"/>
        <v>0</v>
      </c>
      <c r="AN419" s="437">
        <f t="shared" si="144"/>
        <v>0</v>
      </c>
      <c r="AO419" s="437">
        <f t="shared" si="145"/>
        <v>0</v>
      </c>
      <c r="AP419" s="437">
        <f t="shared" si="159"/>
        <v>5159</v>
      </c>
      <c r="AQ419" s="437">
        <f t="shared" si="159"/>
        <v>0</v>
      </c>
      <c r="AR419" s="436"/>
      <c r="AS419" s="437">
        <f t="shared" si="146"/>
        <v>5159</v>
      </c>
    </row>
    <row r="420" spans="1:45" s="438" customFormat="1" ht="24.95" customHeight="1">
      <c r="A420" s="1134"/>
      <c r="B420" s="1134"/>
      <c r="C420" s="1139"/>
      <c r="D420" s="1134"/>
      <c r="E420" s="1134"/>
      <c r="F420" s="1134"/>
      <c r="G420" s="1112"/>
      <c r="H420" s="1112"/>
      <c r="I420" s="1112"/>
      <c r="J420" s="1112"/>
      <c r="K420" s="1112"/>
      <c r="L420" s="1140"/>
      <c r="M420" s="1140"/>
      <c r="N420" s="1112"/>
      <c r="O420" s="1112"/>
      <c r="P420" s="1112"/>
      <c r="Q420" s="1140"/>
      <c r="R420" s="1140"/>
      <c r="S420" s="1140"/>
      <c r="T420" s="1134"/>
      <c r="U420" s="1138"/>
      <c r="V420" s="1112"/>
      <c r="W420" s="1112"/>
      <c r="X420" s="1112"/>
      <c r="Y420" s="1112"/>
      <c r="Z420" s="1112"/>
      <c r="AA420" s="1109"/>
      <c r="AB420" s="1109"/>
      <c r="AC420" s="1112"/>
      <c r="AD420" s="1112"/>
      <c r="AE420" s="436">
        <f t="shared" si="148"/>
        <v>0</v>
      </c>
      <c r="AF420" s="436">
        <f t="shared" si="149"/>
        <v>0</v>
      </c>
      <c r="AG420" s="436">
        <f t="shared" si="150"/>
        <v>0</v>
      </c>
      <c r="AH420" s="436">
        <f t="shared" si="151"/>
        <v>0</v>
      </c>
      <c r="AI420" s="436">
        <f t="shared" si="160"/>
        <v>0</v>
      </c>
      <c r="AJ420" s="436">
        <f t="shared" si="160"/>
        <v>0</v>
      </c>
      <c r="AK420" s="437">
        <f t="shared" si="153"/>
        <v>0</v>
      </c>
      <c r="AL420" s="437">
        <f t="shared" si="154"/>
        <v>0</v>
      </c>
      <c r="AM420" s="437">
        <f t="shared" si="155"/>
        <v>0</v>
      </c>
      <c r="AN420" s="437">
        <f t="shared" ref="AN420:AN483" si="162">S420*O420</f>
        <v>0</v>
      </c>
      <c r="AO420" s="437">
        <f t="shared" ref="AO420:AO483" si="163">S420*P420</f>
        <v>0</v>
      </c>
      <c r="AP420" s="437">
        <f t="shared" si="159"/>
        <v>0</v>
      </c>
      <c r="AQ420" s="437">
        <f t="shared" si="159"/>
        <v>0</v>
      </c>
      <c r="AR420" s="436"/>
      <c r="AS420" s="437">
        <f t="shared" si="146"/>
        <v>0</v>
      </c>
    </row>
    <row r="421" spans="1:45" s="446" customFormat="1" ht="24.95" customHeight="1">
      <c r="A421" s="441"/>
      <c r="B421" s="441"/>
      <c r="C421" s="442" t="s">
        <v>318</v>
      </c>
      <c r="D421" s="443"/>
      <c r="E421" s="441"/>
      <c r="F421" s="441"/>
      <c r="G421" s="444">
        <f>SUM(G407:G420)</f>
        <v>35278</v>
      </c>
      <c r="H421" s="441">
        <f>H408</f>
        <v>515.9</v>
      </c>
      <c r="I421" s="441"/>
      <c r="J421" s="441"/>
      <c r="K421" s="441"/>
      <c r="L421" s="441"/>
      <c r="M421" s="441"/>
      <c r="N421" s="444">
        <f>SUM(N407:N420)</f>
        <v>35793.9</v>
      </c>
      <c r="O421" s="444">
        <f>SUM(O407:O420)</f>
        <v>6</v>
      </c>
      <c r="P421" s="444">
        <f>SUM(P407:P420)</f>
        <v>0</v>
      </c>
      <c r="Q421" s="444"/>
      <c r="R421" s="444"/>
      <c r="S421" s="444"/>
      <c r="T421" s="444"/>
      <c r="U421" s="444"/>
      <c r="V421" s="444">
        <f t="shared" ref="V421:AD421" si="164">SUM(V407:V420)</f>
        <v>9190.4699999999993</v>
      </c>
      <c r="W421" s="444">
        <f t="shared" si="164"/>
        <v>1309.9000000000001</v>
      </c>
      <c r="X421" s="444">
        <f t="shared" si="164"/>
        <v>40904.17</v>
      </c>
      <c r="Y421" s="444">
        <f t="shared" si="164"/>
        <v>40095.83</v>
      </c>
      <c r="Z421" s="444">
        <f t="shared" si="164"/>
        <v>81000</v>
      </c>
      <c r="AA421" s="499">
        <f t="shared" si="164"/>
        <v>81000</v>
      </c>
      <c r="AB421" s="499">
        <f t="shared" si="164"/>
        <v>40095.83</v>
      </c>
      <c r="AC421" s="444">
        <f t="shared" si="164"/>
        <v>40200</v>
      </c>
      <c r="AD421" s="444">
        <f t="shared" si="164"/>
        <v>1309.9000000000001</v>
      </c>
      <c r="AE421" s="436"/>
      <c r="AF421" s="436"/>
      <c r="AG421" s="436"/>
      <c r="AH421" s="436"/>
      <c r="AI421" s="436"/>
      <c r="AJ421" s="436"/>
      <c r="AK421" s="437"/>
      <c r="AL421" s="437"/>
      <c r="AM421" s="437"/>
      <c r="AN421" s="437"/>
      <c r="AO421" s="437"/>
      <c r="AP421" s="437">
        <f t="shared" si="159"/>
        <v>0</v>
      </c>
      <c r="AQ421" s="437">
        <f t="shared" si="159"/>
        <v>0</v>
      </c>
      <c r="AR421" s="436"/>
      <c r="AS421" s="437">
        <f t="shared" si="146"/>
        <v>0</v>
      </c>
    </row>
    <row r="422" spans="1:45" s="456" customFormat="1" ht="24.95" customHeight="1">
      <c r="A422" s="455"/>
      <c r="B422" s="455"/>
      <c r="C422" s="1135" t="s">
        <v>723</v>
      </c>
      <c r="D422" s="1135"/>
      <c r="E422" s="455"/>
      <c r="F422" s="455"/>
      <c r="G422" s="455"/>
      <c r="H422" s="455"/>
      <c r="I422" s="455"/>
      <c r="J422" s="455"/>
      <c r="K422" s="455"/>
      <c r="L422" s="455"/>
      <c r="M422" s="455"/>
      <c r="N422" s="455"/>
      <c r="O422" s="455"/>
      <c r="P422" s="455"/>
      <c r="Q422" s="455"/>
      <c r="R422" s="455"/>
      <c r="S422" s="455"/>
      <c r="T422" s="455"/>
      <c r="U422" s="455"/>
      <c r="V422" s="455"/>
      <c r="W422" s="455"/>
      <c r="X422" s="455"/>
      <c r="Y422" s="455"/>
      <c r="Z422" s="455"/>
      <c r="AA422" s="504"/>
      <c r="AB422" s="504"/>
      <c r="AC422" s="455"/>
      <c r="AD422" s="455"/>
      <c r="AE422" s="436">
        <f t="shared" si="148"/>
        <v>0</v>
      </c>
      <c r="AF422" s="436">
        <f t="shared" si="149"/>
        <v>0</v>
      </c>
      <c r="AG422" s="436">
        <f t="shared" si="150"/>
        <v>0</v>
      </c>
      <c r="AH422" s="436">
        <f t="shared" si="151"/>
        <v>0</v>
      </c>
      <c r="AI422" s="436">
        <f t="shared" si="160"/>
        <v>0</v>
      </c>
      <c r="AJ422" s="436">
        <f t="shared" si="160"/>
        <v>0</v>
      </c>
      <c r="AK422" s="437">
        <f t="shared" si="153"/>
        <v>0</v>
      </c>
      <c r="AL422" s="437">
        <f t="shared" si="154"/>
        <v>0</v>
      </c>
      <c r="AM422" s="437">
        <f t="shared" si="155"/>
        <v>0</v>
      </c>
      <c r="AN422" s="437">
        <f t="shared" si="162"/>
        <v>0</v>
      </c>
      <c r="AO422" s="437">
        <f t="shared" si="163"/>
        <v>0</v>
      </c>
      <c r="AP422" s="437">
        <f t="shared" si="159"/>
        <v>0</v>
      </c>
      <c r="AQ422" s="437">
        <f t="shared" si="159"/>
        <v>0</v>
      </c>
      <c r="AR422" s="436"/>
      <c r="AS422" s="437">
        <f t="shared" ref="AS422:AS468" si="165">AP422+AQ422-AR422</f>
        <v>0</v>
      </c>
    </row>
    <row r="423" spans="1:45" s="438" customFormat="1" ht="24.95" customHeight="1">
      <c r="A423" s="1134"/>
      <c r="B423" s="1134"/>
      <c r="C423" s="1139" t="s">
        <v>724</v>
      </c>
      <c r="D423" s="1134" t="s">
        <v>589</v>
      </c>
      <c r="E423" s="1134" t="s">
        <v>725</v>
      </c>
      <c r="F423" s="1134">
        <v>9</v>
      </c>
      <c r="G423" s="1112">
        <v>5159</v>
      </c>
      <c r="H423" s="1112"/>
      <c r="I423" s="1112"/>
      <c r="J423" s="1112"/>
      <c r="K423" s="1112"/>
      <c r="L423" s="1112"/>
      <c r="M423" s="1140"/>
      <c r="N423" s="1112">
        <f>G423+H424+K424+L424</f>
        <v>5159</v>
      </c>
      <c r="O423" s="1112">
        <v>1</v>
      </c>
      <c r="P423" s="1112"/>
      <c r="Q423" s="1140"/>
      <c r="R423" s="1140"/>
      <c r="S423" s="1140"/>
      <c r="T423" s="1134">
        <v>30</v>
      </c>
      <c r="U423" s="1138">
        <v>0.3</v>
      </c>
      <c r="V423" s="1112">
        <f>N423*U423</f>
        <v>1547.7</v>
      </c>
      <c r="W423" s="1112"/>
      <c r="X423" s="1112">
        <f>(N423+V423)*O423</f>
        <v>6706.7</v>
      </c>
      <c r="Y423" s="1112">
        <f>AB423</f>
        <v>6793.3</v>
      </c>
      <c r="Z423" s="1112">
        <f>X423+Y423</f>
        <v>13500</v>
      </c>
      <c r="AA423" s="1109">
        <f>13500*O423</f>
        <v>13500</v>
      </c>
      <c r="AB423" s="1109">
        <f>AA423-X423</f>
        <v>6793.3</v>
      </c>
      <c r="AC423" s="1112">
        <f>6700*O423</f>
        <v>6700</v>
      </c>
      <c r="AD423" s="1112"/>
      <c r="AE423" s="436">
        <f t="shared" si="148"/>
        <v>5159</v>
      </c>
      <c r="AF423" s="436">
        <f t="shared" si="149"/>
        <v>0</v>
      </c>
      <c r="AG423" s="436">
        <f t="shared" si="150"/>
        <v>5159</v>
      </c>
      <c r="AH423" s="436">
        <f t="shared" si="151"/>
        <v>0</v>
      </c>
      <c r="AI423" s="436">
        <f t="shared" si="160"/>
        <v>0</v>
      </c>
      <c r="AJ423" s="436">
        <f t="shared" si="160"/>
        <v>0</v>
      </c>
      <c r="AK423" s="437">
        <f t="shared" si="153"/>
        <v>1547.7</v>
      </c>
      <c r="AL423" s="437">
        <f t="shared" si="154"/>
        <v>0</v>
      </c>
      <c r="AM423" s="437">
        <f t="shared" si="155"/>
        <v>0</v>
      </c>
      <c r="AN423" s="437">
        <f t="shared" si="162"/>
        <v>0</v>
      </c>
      <c r="AO423" s="437">
        <f t="shared" si="163"/>
        <v>0</v>
      </c>
      <c r="AP423" s="437">
        <f t="shared" si="159"/>
        <v>5159</v>
      </c>
      <c r="AQ423" s="437">
        <f t="shared" si="159"/>
        <v>0</v>
      </c>
      <c r="AR423" s="436"/>
      <c r="AS423" s="437">
        <f t="shared" si="165"/>
        <v>5159</v>
      </c>
    </row>
    <row r="424" spans="1:45" s="438" customFormat="1" ht="24.95" customHeight="1">
      <c r="A424" s="1134"/>
      <c r="B424" s="1134"/>
      <c r="C424" s="1139"/>
      <c r="D424" s="1134"/>
      <c r="E424" s="1134"/>
      <c r="F424" s="1134"/>
      <c r="G424" s="1112"/>
      <c r="H424" s="1112"/>
      <c r="I424" s="1112"/>
      <c r="J424" s="1112"/>
      <c r="K424" s="1112"/>
      <c r="L424" s="1112"/>
      <c r="M424" s="1140"/>
      <c r="N424" s="1112"/>
      <c r="O424" s="1112"/>
      <c r="P424" s="1112"/>
      <c r="Q424" s="1140"/>
      <c r="R424" s="1140"/>
      <c r="S424" s="1140"/>
      <c r="T424" s="1134"/>
      <c r="U424" s="1138"/>
      <c r="V424" s="1112"/>
      <c r="W424" s="1112"/>
      <c r="X424" s="1112"/>
      <c r="Y424" s="1112"/>
      <c r="Z424" s="1112"/>
      <c r="AA424" s="1109"/>
      <c r="AB424" s="1109"/>
      <c r="AC424" s="1112"/>
      <c r="AD424" s="1112"/>
      <c r="AE424" s="436">
        <f t="shared" si="148"/>
        <v>0</v>
      </c>
      <c r="AF424" s="436">
        <f t="shared" si="149"/>
        <v>0</v>
      </c>
      <c r="AG424" s="436">
        <f t="shared" si="150"/>
        <v>0</v>
      </c>
      <c r="AH424" s="436">
        <f t="shared" si="151"/>
        <v>0</v>
      </c>
      <c r="AI424" s="436">
        <f t="shared" si="160"/>
        <v>0</v>
      </c>
      <c r="AJ424" s="436">
        <f t="shared" si="160"/>
        <v>0</v>
      </c>
      <c r="AK424" s="437">
        <f t="shared" si="153"/>
        <v>0</v>
      </c>
      <c r="AL424" s="437">
        <f t="shared" si="154"/>
        <v>0</v>
      </c>
      <c r="AM424" s="437">
        <f t="shared" si="155"/>
        <v>0</v>
      </c>
      <c r="AN424" s="437">
        <f t="shared" si="162"/>
        <v>0</v>
      </c>
      <c r="AO424" s="437">
        <f t="shared" si="163"/>
        <v>0</v>
      </c>
      <c r="AP424" s="437">
        <f t="shared" si="159"/>
        <v>0</v>
      </c>
      <c r="AQ424" s="437">
        <f t="shared" si="159"/>
        <v>0</v>
      </c>
      <c r="AR424" s="436"/>
      <c r="AS424" s="437">
        <f t="shared" si="165"/>
        <v>0</v>
      </c>
    </row>
    <row r="425" spans="1:45" s="446" customFormat="1" ht="24.95" customHeight="1">
      <c r="A425" s="441"/>
      <c r="B425" s="441"/>
      <c r="C425" s="442" t="s">
        <v>318</v>
      </c>
      <c r="D425" s="443"/>
      <c r="E425" s="441"/>
      <c r="F425" s="441"/>
      <c r="G425" s="444">
        <f>SUM(G423)</f>
        <v>5159</v>
      </c>
      <c r="H425" s="441"/>
      <c r="I425" s="441"/>
      <c r="J425" s="441"/>
      <c r="K425" s="441"/>
      <c r="L425" s="441"/>
      <c r="M425" s="441"/>
      <c r="N425" s="444">
        <f>SUM(N423:N424)</f>
        <v>5159</v>
      </c>
      <c r="O425" s="444">
        <f>SUM(O423:O424)</f>
        <v>1</v>
      </c>
      <c r="P425" s="444">
        <f>SUM(P423:P424)</f>
        <v>0</v>
      </c>
      <c r="Q425" s="444"/>
      <c r="R425" s="444"/>
      <c r="S425" s="444"/>
      <c r="T425" s="444"/>
      <c r="U425" s="444"/>
      <c r="V425" s="444">
        <f t="shared" ref="V425:AD425" si="166">SUM(V423:V424)</f>
        <v>1547.7</v>
      </c>
      <c r="W425" s="444">
        <f t="shared" si="166"/>
        <v>0</v>
      </c>
      <c r="X425" s="444">
        <f t="shared" si="166"/>
        <v>6706.7</v>
      </c>
      <c r="Y425" s="444">
        <f t="shared" si="166"/>
        <v>6793.3</v>
      </c>
      <c r="Z425" s="444">
        <f t="shared" si="166"/>
        <v>13500</v>
      </c>
      <c r="AA425" s="499">
        <f t="shared" si="166"/>
        <v>13500</v>
      </c>
      <c r="AB425" s="499">
        <f t="shared" si="166"/>
        <v>6793.3</v>
      </c>
      <c r="AC425" s="444">
        <f t="shared" si="166"/>
        <v>6700</v>
      </c>
      <c r="AD425" s="444">
        <f t="shared" si="166"/>
        <v>0</v>
      </c>
      <c r="AE425" s="436"/>
      <c r="AF425" s="436"/>
      <c r="AG425" s="436"/>
      <c r="AH425" s="436"/>
      <c r="AI425" s="436"/>
      <c r="AJ425" s="436"/>
      <c r="AK425" s="437"/>
      <c r="AL425" s="437"/>
      <c r="AM425" s="437"/>
      <c r="AN425" s="437"/>
      <c r="AO425" s="437"/>
      <c r="AP425" s="437">
        <f t="shared" si="159"/>
        <v>0</v>
      </c>
      <c r="AQ425" s="437">
        <f t="shared" si="159"/>
        <v>0</v>
      </c>
      <c r="AR425" s="436"/>
      <c r="AS425" s="437">
        <f t="shared" si="165"/>
        <v>0</v>
      </c>
    </row>
    <row r="426" spans="1:45" s="456" customFormat="1" ht="24.95" customHeight="1">
      <c r="A426" s="455"/>
      <c r="B426" s="455"/>
      <c r="C426" s="1136" t="s">
        <v>726</v>
      </c>
      <c r="D426" s="1137"/>
      <c r="E426" s="455"/>
      <c r="F426" s="455"/>
      <c r="G426" s="455"/>
      <c r="H426" s="455"/>
      <c r="I426" s="455"/>
      <c r="J426" s="455"/>
      <c r="K426" s="455"/>
      <c r="L426" s="455"/>
      <c r="M426" s="455"/>
      <c r="N426" s="455"/>
      <c r="O426" s="455"/>
      <c r="P426" s="455"/>
      <c r="Q426" s="455"/>
      <c r="R426" s="455"/>
      <c r="S426" s="455"/>
      <c r="T426" s="455"/>
      <c r="U426" s="455"/>
      <c r="V426" s="455"/>
      <c r="W426" s="455"/>
      <c r="X426" s="455"/>
      <c r="Y426" s="455"/>
      <c r="Z426" s="455"/>
      <c r="AA426" s="504"/>
      <c r="AB426" s="504"/>
      <c r="AC426" s="455"/>
      <c r="AD426" s="455"/>
      <c r="AE426" s="436"/>
      <c r="AF426" s="436"/>
      <c r="AG426" s="436"/>
      <c r="AH426" s="436"/>
      <c r="AI426" s="436"/>
      <c r="AJ426" s="436"/>
      <c r="AK426" s="437"/>
      <c r="AL426" s="437"/>
      <c r="AM426" s="437"/>
      <c r="AN426" s="437"/>
      <c r="AO426" s="437"/>
      <c r="AP426" s="437">
        <f t="shared" si="159"/>
        <v>0</v>
      </c>
      <c r="AQ426" s="437">
        <f t="shared" si="159"/>
        <v>0</v>
      </c>
      <c r="AR426" s="436"/>
      <c r="AS426" s="437">
        <f t="shared" si="165"/>
        <v>0</v>
      </c>
    </row>
    <row r="427" spans="1:45" s="438" customFormat="1" ht="24.95" customHeight="1">
      <c r="A427" s="1134"/>
      <c r="B427" s="1134"/>
      <c r="C427" s="1139" t="s">
        <v>727</v>
      </c>
      <c r="D427" s="1140"/>
      <c r="E427" s="1140" t="s">
        <v>325</v>
      </c>
      <c r="F427" s="1134">
        <v>9</v>
      </c>
      <c r="G427" s="1112">
        <v>5159</v>
      </c>
      <c r="H427" s="1112"/>
      <c r="I427" s="1112"/>
      <c r="J427" s="1112"/>
      <c r="K427" s="1112"/>
      <c r="L427" s="1112"/>
      <c r="M427" s="1112"/>
      <c r="N427" s="1112">
        <f>G427+H428</f>
        <v>5159</v>
      </c>
      <c r="O427" s="1112">
        <v>1</v>
      </c>
      <c r="P427" s="1112"/>
      <c r="Q427" s="1112"/>
      <c r="R427" s="1112"/>
      <c r="S427" s="1112"/>
      <c r="T427" s="1134"/>
      <c r="U427" s="1138">
        <v>0</v>
      </c>
      <c r="V427" s="1112">
        <f>N427*U427</f>
        <v>0</v>
      </c>
      <c r="W427" s="1112">
        <f>AD427</f>
        <v>1541</v>
      </c>
      <c r="X427" s="1112">
        <f>(N427+V427)*O427+W427</f>
        <v>6700</v>
      </c>
      <c r="Y427" s="1112">
        <f>AB427</f>
        <v>6800</v>
      </c>
      <c r="Z427" s="1112">
        <f>X427+Y427</f>
        <v>13500</v>
      </c>
      <c r="AA427" s="1109">
        <f>13500*O427</f>
        <v>13500</v>
      </c>
      <c r="AB427" s="1109">
        <f>AA427-X427</f>
        <v>6800</v>
      </c>
      <c r="AC427" s="1112">
        <f>6700*O427</f>
        <v>6700</v>
      </c>
      <c r="AD427" s="1112">
        <f>AC427-(N427*O427)-V427</f>
        <v>1541</v>
      </c>
      <c r="AE427" s="436">
        <f t="shared" ref="AE427:AE432" si="167">G427*O427</f>
        <v>5159</v>
      </c>
      <c r="AF427" s="436">
        <f t="shared" ref="AF427:AF432" si="168">G427*P427</f>
        <v>0</v>
      </c>
      <c r="AG427" s="436">
        <f t="shared" ref="AG427:AG432" si="169">N427*O427</f>
        <v>5159</v>
      </c>
      <c r="AH427" s="436">
        <f t="shared" ref="AH427:AH432" si="170">N427*P427</f>
        <v>0</v>
      </c>
      <c r="AI427" s="436">
        <f t="shared" si="160"/>
        <v>0</v>
      </c>
      <c r="AJ427" s="436">
        <f t="shared" si="160"/>
        <v>0</v>
      </c>
      <c r="AK427" s="437">
        <f t="shared" ref="AK427:AK432" si="171">V427*O427</f>
        <v>0</v>
      </c>
      <c r="AL427" s="437">
        <f t="shared" ref="AL427:AL432" si="172">V427*P427</f>
        <v>0</v>
      </c>
      <c r="AM427" s="437">
        <f t="shared" ref="AM427:AM432" si="173">W427</f>
        <v>1541</v>
      </c>
      <c r="AN427" s="437">
        <f t="shared" si="162"/>
        <v>0</v>
      </c>
      <c r="AO427" s="437">
        <f t="shared" si="163"/>
        <v>0</v>
      </c>
      <c r="AP427" s="437">
        <f t="shared" si="159"/>
        <v>5159</v>
      </c>
      <c r="AQ427" s="437">
        <f t="shared" si="159"/>
        <v>0</v>
      </c>
      <c r="AR427" s="436"/>
      <c r="AS427" s="437">
        <f t="shared" si="165"/>
        <v>5159</v>
      </c>
    </row>
    <row r="428" spans="1:45" s="438" customFormat="1" ht="24.95" customHeight="1">
      <c r="A428" s="1134"/>
      <c r="B428" s="1134"/>
      <c r="C428" s="1139"/>
      <c r="D428" s="1140"/>
      <c r="E428" s="1140"/>
      <c r="F428" s="1134"/>
      <c r="G428" s="1112"/>
      <c r="H428" s="1112"/>
      <c r="I428" s="1112"/>
      <c r="J428" s="1112"/>
      <c r="K428" s="1112"/>
      <c r="L428" s="1112"/>
      <c r="M428" s="1112"/>
      <c r="N428" s="1112"/>
      <c r="O428" s="1112"/>
      <c r="P428" s="1112"/>
      <c r="Q428" s="1112"/>
      <c r="R428" s="1112"/>
      <c r="S428" s="1112"/>
      <c r="T428" s="1134"/>
      <c r="U428" s="1138"/>
      <c r="V428" s="1112"/>
      <c r="W428" s="1112"/>
      <c r="X428" s="1112"/>
      <c r="Y428" s="1112"/>
      <c r="Z428" s="1112"/>
      <c r="AA428" s="1109"/>
      <c r="AB428" s="1109"/>
      <c r="AC428" s="1112"/>
      <c r="AD428" s="1112"/>
      <c r="AE428" s="436">
        <f t="shared" si="167"/>
        <v>0</v>
      </c>
      <c r="AF428" s="436">
        <f t="shared" si="168"/>
        <v>0</v>
      </c>
      <c r="AG428" s="436">
        <f t="shared" si="169"/>
        <v>0</v>
      </c>
      <c r="AH428" s="436">
        <f t="shared" si="170"/>
        <v>0</v>
      </c>
      <c r="AI428" s="436">
        <f t="shared" si="160"/>
        <v>0</v>
      </c>
      <c r="AJ428" s="436">
        <f t="shared" si="160"/>
        <v>0</v>
      </c>
      <c r="AK428" s="437">
        <f t="shared" si="171"/>
        <v>0</v>
      </c>
      <c r="AL428" s="437">
        <f t="shared" si="172"/>
        <v>0</v>
      </c>
      <c r="AM428" s="437">
        <f t="shared" si="173"/>
        <v>0</v>
      </c>
      <c r="AN428" s="437">
        <f t="shared" si="162"/>
        <v>0</v>
      </c>
      <c r="AO428" s="437">
        <f t="shared" si="163"/>
        <v>0</v>
      </c>
      <c r="AP428" s="437">
        <f t="shared" si="159"/>
        <v>0</v>
      </c>
      <c r="AQ428" s="437">
        <f t="shared" si="159"/>
        <v>0</v>
      </c>
      <c r="AR428" s="436"/>
      <c r="AS428" s="437">
        <f t="shared" si="165"/>
        <v>0</v>
      </c>
    </row>
    <row r="429" spans="1:45" s="438" customFormat="1" ht="24.95" customHeight="1">
      <c r="A429" s="1134"/>
      <c r="B429" s="1134"/>
      <c r="C429" s="1139" t="s">
        <v>728</v>
      </c>
      <c r="D429" s="1140" t="s">
        <v>729</v>
      </c>
      <c r="E429" s="1140" t="s">
        <v>730</v>
      </c>
      <c r="F429" s="1134">
        <v>7</v>
      </c>
      <c r="G429" s="1112">
        <v>4592</v>
      </c>
      <c r="H429" s="1112"/>
      <c r="I429" s="1112"/>
      <c r="J429" s="1112"/>
      <c r="K429" s="1112"/>
      <c r="L429" s="1140"/>
      <c r="M429" s="1140"/>
      <c r="N429" s="1112">
        <f>G429+I430</f>
        <v>4592</v>
      </c>
      <c r="O429" s="1112">
        <v>1</v>
      </c>
      <c r="P429" s="1112"/>
      <c r="Q429" s="1140"/>
      <c r="R429" s="1140"/>
      <c r="S429" s="1140"/>
      <c r="T429" s="1134">
        <v>20</v>
      </c>
      <c r="U429" s="1138">
        <v>0.3</v>
      </c>
      <c r="V429" s="1112">
        <f>N429*U429</f>
        <v>1377.6</v>
      </c>
      <c r="W429" s="1112">
        <f>AD429</f>
        <v>730.40000000000009</v>
      </c>
      <c r="X429" s="1112">
        <f>(N429+V429)*O429+W429</f>
        <v>6700</v>
      </c>
      <c r="Y429" s="1112">
        <f>AB429</f>
        <v>6800</v>
      </c>
      <c r="Z429" s="1112">
        <f>X429+Y429</f>
        <v>13500</v>
      </c>
      <c r="AA429" s="1109">
        <f>13500*O429</f>
        <v>13500</v>
      </c>
      <c r="AB429" s="1109">
        <f>AA429-X429</f>
        <v>6800</v>
      </c>
      <c r="AC429" s="1112">
        <f>6700*O429</f>
        <v>6700</v>
      </c>
      <c r="AD429" s="1112">
        <f>AC429-(N429*O429)-V429</f>
        <v>730.40000000000009</v>
      </c>
      <c r="AE429" s="436">
        <f t="shared" si="167"/>
        <v>4592</v>
      </c>
      <c r="AF429" s="436">
        <f t="shared" si="168"/>
        <v>0</v>
      </c>
      <c r="AG429" s="436">
        <f t="shared" si="169"/>
        <v>4592</v>
      </c>
      <c r="AH429" s="436">
        <f t="shared" si="170"/>
        <v>0</v>
      </c>
      <c r="AI429" s="436">
        <f>AG429-AE429</f>
        <v>0</v>
      </c>
      <c r="AJ429" s="436">
        <f>AH429-AF429</f>
        <v>0</v>
      </c>
      <c r="AK429" s="437">
        <f t="shared" si="171"/>
        <v>1377.6</v>
      </c>
      <c r="AL429" s="437">
        <f t="shared" si="172"/>
        <v>0</v>
      </c>
      <c r="AM429" s="437">
        <f t="shared" si="173"/>
        <v>730.40000000000009</v>
      </c>
      <c r="AN429" s="437">
        <f t="shared" si="162"/>
        <v>0</v>
      </c>
      <c r="AO429" s="437">
        <f t="shared" si="163"/>
        <v>0</v>
      </c>
      <c r="AP429" s="437">
        <f>AG429</f>
        <v>4592</v>
      </c>
      <c r="AQ429" s="437">
        <f>AH429</f>
        <v>0</v>
      </c>
      <c r="AR429" s="436"/>
      <c r="AS429" s="437">
        <f t="shared" si="165"/>
        <v>4592</v>
      </c>
    </row>
    <row r="430" spans="1:45" s="438" customFormat="1" ht="24.95" customHeight="1">
      <c r="A430" s="1134"/>
      <c r="B430" s="1134"/>
      <c r="C430" s="1139"/>
      <c r="D430" s="1140"/>
      <c r="E430" s="1140"/>
      <c r="F430" s="1134"/>
      <c r="G430" s="1112"/>
      <c r="H430" s="1112"/>
      <c r="I430" s="1112"/>
      <c r="J430" s="1112"/>
      <c r="K430" s="1112"/>
      <c r="L430" s="1140"/>
      <c r="M430" s="1140"/>
      <c r="N430" s="1112"/>
      <c r="O430" s="1112"/>
      <c r="P430" s="1112"/>
      <c r="Q430" s="1140"/>
      <c r="R430" s="1140"/>
      <c r="S430" s="1140"/>
      <c r="T430" s="1134"/>
      <c r="U430" s="1138"/>
      <c r="V430" s="1112"/>
      <c r="W430" s="1112"/>
      <c r="X430" s="1112"/>
      <c r="Y430" s="1112"/>
      <c r="Z430" s="1112"/>
      <c r="AA430" s="1109"/>
      <c r="AB430" s="1109"/>
      <c r="AC430" s="1112"/>
      <c r="AD430" s="1112"/>
      <c r="AE430" s="436">
        <f t="shared" si="167"/>
        <v>0</v>
      </c>
      <c r="AF430" s="436">
        <f t="shared" si="168"/>
        <v>0</v>
      </c>
      <c r="AG430" s="436">
        <f t="shared" si="169"/>
        <v>0</v>
      </c>
      <c r="AH430" s="436">
        <f t="shared" si="170"/>
        <v>0</v>
      </c>
      <c r="AI430" s="436">
        <f>AG430-AE430</f>
        <v>0</v>
      </c>
      <c r="AJ430" s="436">
        <f>AH430-AF430</f>
        <v>0</v>
      </c>
      <c r="AK430" s="437">
        <f t="shared" si="171"/>
        <v>0</v>
      </c>
      <c r="AL430" s="437">
        <f t="shared" si="172"/>
        <v>0</v>
      </c>
      <c r="AM430" s="437">
        <f t="shared" si="173"/>
        <v>0</v>
      </c>
      <c r="AN430" s="437">
        <f t="shared" si="162"/>
        <v>0</v>
      </c>
      <c r="AO430" s="437">
        <f t="shared" si="163"/>
        <v>0</v>
      </c>
      <c r="AP430" s="437">
        <f>AG430</f>
        <v>0</v>
      </c>
      <c r="AQ430" s="437">
        <f>AH430</f>
        <v>0</v>
      </c>
      <c r="AR430" s="436"/>
      <c r="AS430" s="437">
        <f t="shared" si="165"/>
        <v>0</v>
      </c>
    </row>
    <row r="431" spans="1:45" s="438" customFormat="1" ht="24.95" customHeight="1">
      <c r="A431" s="1134"/>
      <c r="B431" s="1134"/>
      <c r="C431" s="1139" t="s">
        <v>728</v>
      </c>
      <c r="D431" s="1140" t="s">
        <v>731</v>
      </c>
      <c r="E431" s="1140" t="s">
        <v>732</v>
      </c>
      <c r="F431" s="1134">
        <v>8</v>
      </c>
      <c r="G431" s="1112">
        <v>4890</v>
      </c>
      <c r="H431" s="1112"/>
      <c r="I431" s="1112"/>
      <c r="J431" s="1112"/>
      <c r="K431" s="1112"/>
      <c r="L431" s="1140"/>
      <c r="M431" s="1140"/>
      <c r="N431" s="1112">
        <f>G431+I432</f>
        <v>4890</v>
      </c>
      <c r="O431" s="1112">
        <v>0.5</v>
      </c>
      <c r="P431" s="1112"/>
      <c r="Q431" s="1140"/>
      <c r="R431" s="1140"/>
      <c r="S431" s="1140"/>
      <c r="T431" s="1134">
        <v>13</v>
      </c>
      <c r="U431" s="1138">
        <v>0.2</v>
      </c>
      <c r="V431" s="1112">
        <f>N431*U431</f>
        <v>978</v>
      </c>
      <c r="W431" s="1112">
        <f>AD431</f>
        <v>372.59999999999991</v>
      </c>
      <c r="X431" s="1112">
        <f>(N431+V431)*O431+W431</f>
        <v>3306.6</v>
      </c>
      <c r="Y431" s="1112">
        <f>AB431</f>
        <v>3443.4</v>
      </c>
      <c r="Z431" s="1112">
        <f>X431+Y431</f>
        <v>6750</v>
      </c>
      <c r="AA431" s="1109">
        <f>13500*O431</f>
        <v>6750</v>
      </c>
      <c r="AB431" s="1109">
        <f>AA431-X431</f>
        <v>3443.4</v>
      </c>
      <c r="AC431" s="1112">
        <f>6700*O431</f>
        <v>3350</v>
      </c>
      <c r="AD431" s="1112">
        <f>3000-2627.4</f>
        <v>372.59999999999991</v>
      </c>
      <c r="AE431" s="436">
        <f t="shared" si="167"/>
        <v>2445</v>
      </c>
      <c r="AF431" s="436">
        <f t="shared" si="168"/>
        <v>0</v>
      </c>
      <c r="AG431" s="436">
        <f t="shared" si="169"/>
        <v>2445</v>
      </c>
      <c r="AH431" s="436">
        <f t="shared" si="170"/>
        <v>0</v>
      </c>
      <c r="AI431" s="436">
        <f t="shared" si="160"/>
        <v>0</v>
      </c>
      <c r="AJ431" s="436">
        <f t="shared" si="160"/>
        <v>0</v>
      </c>
      <c r="AK431" s="437">
        <f t="shared" si="171"/>
        <v>489</v>
      </c>
      <c r="AL431" s="437">
        <f t="shared" si="172"/>
        <v>0</v>
      </c>
      <c r="AM431" s="437">
        <f t="shared" si="173"/>
        <v>372.59999999999991</v>
      </c>
      <c r="AN431" s="437">
        <f t="shared" si="162"/>
        <v>0</v>
      </c>
      <c r="AO431" s="437">
        <f t="shared" si="163"/>
        <v>0</v>
      </c>
      <c r="AP431" s="437">
        <f t="shared" si="159"/>
        <v>2445</v>
      </c>
      <c r="AQ431" s="437">
        <f t="shared" si="159"/>
        <v>0</v>
      </c>
      <c r="AR431" s="436"/>
      <c r="AS431" s="437">
        <f t="shared" si="165"/>
        <v>2445</v>
      </c>
    </row>
    <row r="432" spans="1:45" s="438" customFormat="1" ht="24.95" customHeight="1">
      <c r="A432" s="1134"/>
      <c r="B432" s="1134"/>
      <c r="C432" s="1139"/>
      <c r="D432" s="1140"/>
      <c r="E432" s="1140"/>
      <c r="F432" s="1134"/>
      <c r="G432" s="1112"/>
      <c r="H432" s="1112"/>
      <c r="I432" s="1112"/>
      <c r="J432" s="1112"/>
      <c r="K432" s="1112"/>
      <c r="L432" s="1140"/>
      <c r="M432" s="1140"/>
      <c r="N432" s="1112"/>
      <c r="O432" s="1112"/>
      <c r="P432" s="1112"/>
      <c r="Q432" s="1140"/>
      <c r="R432" s="1140"/>
      <c r="S432" s="1140"/>
      <c r="T432" s="1134"/>
      <c r="U432" s="1138"/>
      <c r="V432" s="1112"/>
      <c r="W432" s="1112"/>
      <c r="X432" s="1112"/>
      <c r="Y432" s="1112"/>
      <c r="Z432" s="1112"/>
      <c r="AA432" s="1109"/>
      <c r="AB432" s="1109"/>
      <c r="AC432" s="1112"/>
      <c r="AD432" s="1112"/>
      <c r="AE432" s="436">
        <f t="shared" si="167"/>
        <v>0</v>
      </c>
      <c r="AF432" s="436">
        <f t="shared" si="168"/>
        <v>0</v>
      </c>
      <c r="AG432" s="436">
        <f t="shared" si="169"/>
        <v>0</v>
      </c>
      <c r="AH432" s="436">
        <f t="shared" si="170"/>
        <v>0</v>
      </c>
      <c r="AI432" s="436">
        <f t="shared" si="160"/>
        <v>0</v>
      </c>
      <c r="AJ432" s="436">
        <f t="shared" si="160"/>
        <v>0</v>
      </c>
      <c r="AK432" s="437">
        <f t="shared" si="171"/>
        <v>0</v>
      </c>
      <c r="AL432" s="437">
        <f t="shared" si="172"/>
        <v>0</v>
      </c>
      <c r="AM432" s="437">
        <f t="shared" si="173"/>
        <v>0</v>
      </c>
      <c r="AN432" s="437">
        <f t="shared" si="162"/>
        <v>0</v>
      </c>
      <c r="AO432" s="437">
        <f t="shared" si="163"/>
        <v>0</v>
      </c>
      <c r="AP432" s="437">
        <f t="shared" si="159"/>
        <v>0</v>
      </c>
      <c r="AQ432" s="437">
        <f t="shared" si="159"/>
        <v>0</v>
      </c>
      <c r="AR432" s="436"/>
      <c r="AS432" s="437">
        <f t="shared" si="165"/>
        <v>0</v>
      </c>
    </row>
    <row r="433" spans="1:45" s="446" customFormat="1" ht="24.95" customHeight="1">
      <c r="A433" s="441"/>
      <c r="B433" s="441"/>
      <c r="C433" s="442" t="s">
        <v>318</v>
      </c>
      <c r="D433" s="443"/>
      <c r="E433" s="441"/>
      <c r="F433" s="441"/>
      <c r="G433" s="444">
        <f>SUM(G427:G432)</f>
        <v>14641</v>
      </c>
      <c r="H433" s="441"/>
      <c r="I433" s="441"/>
      <c r="J433" s="441"/>
      <c r="K433" s="441"/>
      <c r="L433" s="441"/>
      <c r="M433" s="441"/>
      <c r="N433" s="444">
        <f>SUM(N427:N432)</f>
        <v>14641</v>
      </c>
      <c r="O433" s="444">
        <f>SUM(O427:O432)</f>
        <v>2.5</v>
      </c>
      <c r="P433" s="444">
        <f>SUM(P427:P432)</f>
        <v>0</v>
      </c>
      <c r="Q433" s="444"/>
      <c r="R433" s="444"/>
      <c r="S433" s="444"/>
      <c r="T433" s="444"/>
      <c r="U433" s="444"/>
      <c r="V433" s="444">
        <f t="shared" ref="V433:AD433" si="174">SUM(V427:V432)</f>
        <v>2355.6</v>
      </c>
      <c r="W433" s="444">
        <f t="shared" si="174"/>
        <v>2644</v>
      </c>
      <c r="X433" s="444">
        <f t="shared" si="174"/>
        <v>16706.599999999999</v>
      </c>
      <c r="Y433" s="444">
        <f t="shared" si="174"/>
        <v>17043.400000000001</v>
      </c>
      <c r="Z433" s="444">
        <f t="shared" si="174"/>
        <v>33750</v>
      </c>
      <c r="AA433" s="499">
        <f t="shared" si="174"/>
        <v>33750</v>
      </c>
      <c r="AB433" s="499">
        <f t="shared" si="174"/>
        <v>17043.400000000001</v>
      </c>
      <c r="AC433" s="444">
        <f t="shared" si="174"/>
        <v>16750</v>
      </c>
      <c r="AD433" s="444">
        <f t="shared" si="174"/>
        <v>2644</v>
      </c>
      <c r="AE433" s="436"/>
      <c r="AF433" s="436"/>
      <c r="AG433" s="436"/>
      <c r="AH433" s="436"/>
      <c r="AI433" s="436"/>
      <c r="AJ433" s="436"/>
      <c r="AK433" s="437"/>
      <c r="AL433" s="437"/>
      <c r="AM433" s="437"/>
      <c r="AN433" s="437"/>
      <c r="AO433" s="437"/>
      <c r="AP433" s="437">
        <f t="shared" si="159"/>
        <v>0</v>
      </c>
      <c r="AQ433" s="437">
        <f t="shared" si="159"/>
        <v>0</v>
      </c>
      <c r="AR433" s="436"/>
      <c r="AS433" s="437">
        <f t="shared" si="165"/>
        <v>0</v>
      </c>
    </row>
    <row r="434" spans="1:45" s="446" customFormat="1" ht="24.95" customHeight="1">
      <c r="A434" s="441"/>
      <c r="B434" s="441"/>
      <c r="C434" s="1136" t="s">
        <v>733</v>
      </c>
      <c r="D434" s="1137"/>
      <c r="E434" s="441"/>
      <c r="F434" s="441"/>
      <c r="G434" s="441"/>
      <c r="H434" s="441"/>
      <c r="I434" s="441"/>
      <c r="J434" s="441"/>
      <c r="K434" s="441"/>
      <c r="L434" s="441"/>
      <c r="M434" s="441"/>
      <c r="N434" s="445">
        <f>N202+N226+N248+N280+N296+N314+N328+N344+N360+N370+N379+N389+N405+N421+N425+N433</f>
        <v>566578.18900000013</v>
      </c>
      <c r="O434" s="444">
        <f>O202+O226+O248+O280+O296+O314+O328+O344+O360+O370+O379+O389+O405+O421+O425+O433</f>
        <v>94.5</v>
      </c>
      <c r="P434" s="444">
        <f>P202+P226+P248+P280+P296+P314+P328+P344+P360+P370+P379+P389+P405+P421+P425+P433</f>
        <v>1</v>
      </c>
      <c r="Q434" s="444"/>
      <c r="R434" s="444"/>
      <c r="S434" s="444"/>
      <c r="T434" s="444"/>
      <c r="U434" s="444"/>
      <c r="V434" s="445">
        <f t="shared" ref="V434:AD434" si="175">V202+V226+V248+V280+V296+V314+V328+V344+V360+V370+V379+V389+V405+V421+V425+V433</f>
        <v>153090.55170000004</v>
      </c>
      <c r="W434" s="445">
        <f t="shared" si="175"/>
        <v>17737.474999999999</v>
      </c>
      <c r="X434" s="445">
        <f t="shared" si="175"/>
        <v>684517.07819999999</v>
      </c>
      <c r="Y434" s="445">
        <f t="shared" si="175"/>
        <v>604732.92180000013</v>
      </c>
      <c r="Z434" s="445">
        <f t="shared" si="175"/>
        <v>1289250</v>
      </c>
      <c r="AA434" s="502">
        <f t="shared" si="175"/>
        <v>1289250</v>
      </c>
      <c r="AB434" s="502">
        <f t="shared" si="175"/>
        <v>604732.92180000013</v>
      </c>
      <c r="AC434" s="445">
        <f t="shared" si="175"/>
        <v>639850</v>
      </c>
      <c r="AD434" s="444">
        <f t="shared" si="175"/>
        <v>18276.875</v>
      </c>
      <c r="AE434" s="436"/>
      <c r="AF434" s="436"/>
      <c r="AG434" s="436"/>
      <c r="AH434" s="436"/>
      <c r="AI434" s="436"/>
      <c r="AJ434" s="436"/>
      <c r="AK434" s="437"/>
      <c r="AL434" s="437"/>
      <c r="AM434" s="437"/>
      <c r="AN434" s="437"/>
      <c r="AO434" s="437"/>
      <c r="AP434" s="437">
        <f t="shared" si="159"/>
        <v>0</v>
      </c>
      <c r="AQ434" s="437">
        <f t="shared" si="159"/>
        <v>0</v>
      </c>
      <c r="AR434" s="436"/>
      <c r="AS434" s="437">
        <f t="shared" si="165"/>
        <v>0</v>
      </c>
    </row>
    <row r="435" spans="1:45" s="456" customFormat="1" ht="24.95" customHeight="1">
      <c r="A435" s="455"/>
      <c r="B435" s="455"/>
      <c r="C435" s="1135" t="s">
        <v>734</v>
      </c>
      <c r="D435" s="1135"/>
      <c r="E435" s="455"/>
      <c r="F435" s="455"/>
      <c r="G435" s="455"/>
      <c r="H435" s="455"/>
      <c r="I435" s="455"/>
      <c r="J435" s="455"/>
      <c r="K435" s="455"/>
      <c r="L435" s="455"/>
      <c r="M435" s="455"/>
      <c r="N435" s="455"/>
      <c r="O435" s="455"/>
      <c r="P435" s="455"/>
      <c r="Q435" s="455"/>
      <c r="R435" s="455"/>
      <c r="S435" s="455"/>
      <c r="T435" s="455"/>
      <c r="U435" s="455"/>
      <c r="V435" s="455"/>
      <c r="W435" s="455"/>
      <c r="X435" s="455"/>
      <c r="Y435" s="455"/>
      <c r="Z435" s="455"/>
      <c r="AA435" s="504"/>
      <c r="AB435" s="504"/>
      <c r="AC435" s="455"/>
      <c r="AD435" s="455"/>
      <c r="AE435" s="436">
        <f t="shared" ref="AE435:AE444" si="176">G435*O435</f>
        <v>0</v>
      </c>
      <c r="AF435" s="436">
        <f t="shared" ref="AF435:AF444" si="177">G435*P435</f>
        <v>0</v>
      </c>
      <c r="AG435" s="436">
        <f t="shared" ref="AG435:AG444" si="178">N435*O435</f>
        <v>0</v>
      </c>
      <c r="AH435" s="436">
        <f t="shared" ref="AH435:AH444" si="179">N435*P435</f>
        <v>0</v>
      </c>
      <c r="AI435" s="436">
        <f t="shared" si="160"/>
        <v>0</v>
      </c>
      <c r="AJ435" s="436">
        <f t="shared" si="160"/>
        <v>0</v>
      </c>
      <c r="AK435" s="437">
        <f t="shared" ref="AK435:AK444" si="180">V435*O435</f>
        <v>0</v>
      </c>
      <c r="AL435" s="437">
        <f t="shared" ref="AL435:AL444" si="181">V435*P435</f>
        <v>0</v>
      </c>
      <c r="AM435" s="437">
        <f t="shared" ref="AM435:AM444" si="182">W435</f>
        <v>0</v>
      </c>
      <c r="AN435" s="437">
        <f t="shared" si="162"/>
        <v>0</v>
      </c>
      <c r="AO435" s="437">
        <f t="shared" si="163"/>
        <v>0</v>
      </c>
      <c r="AP435" s="437">
        <f t="shared" si="159"/>
        <v>0</v>
      </c>
      <c r="AQ435" s="437">
        <f t="shared" si="159"/>
        <v>0</v>
      </c>
      <c r="AR435" s="436"/>
      <c r="AS435" s="437">
        <f t="shared" si="165"/>
        <v>0</v>
      </c>
    </row>
    <row r="436" spans="1:45" s="456" customFormat="1" ht="24.95" customHeight="1">
      <c r="A436" s="455"/>
      <c r="B436" s="455"/>
      <c r="C436" s="1136" t="s">
        <v>1006</v>
      </c>
      <c r="D436" s="1136"/>
      <c r="E436" s="455"/>
      <c r="F436" s="455"/>
      <c r="G436" s="455"/>
      <c r="H436" s="455"/>
      <c r="I436" s="455"/>
      <c r="J436" s="455"/>
      <c r="K436" s="455"/>
      <c r="L436" s="455"/>
      <c r="M436" s="455"/>
      <c r="N436" s="455"/>
      <c r="O436" s="455"/>
      <c r="P436" s="455"/>
      <c r="Q436" s="455"/>
      <c r="R436" s="455"/>
      <c r="S436" s="455"/>
      <c r="T436" s="455"/>
      <c r="U436" s="455"/>
      <c r="V436" s="455"/>
      <c r="W436" s="455"/>
      <c r="X436" s="455"/>
      <c r="Y436" s="455"/>
      <c r="Z436" s="455"/>
      <c r="AA436" s="504"/>
      <c r="AB436" s="504"/>
      <c r="AC436" s="455"/>
      <c r="AD436" s="455"/>
      <c r="AE436" s="436">
        <f t="shared" si="176"/>
        <v>0</v>
      </c>
      <c r="AF436" s="436">
        <f t="shared" si="177"/>
        <v>0</v>
      </c>
      <c r="AG436" s="436">
        <f t="shared" si="178"/>
        <v>0</v>
      </c>
      <c r="AH436" s="436">
        <f t="shared" si="179"/>
        <v>0</v>
      </c>
      <c r="AI436" s="436">
        <f t="shared" si="160"/>
        <v>0</v>
      </c>
      <c r="AJ436" s="436">
        <f t="shared" si="160"/>
        <v>0</v>
      </c>
      <c r="AK436" s="437">
        <f t="shared" si="180"/>
        <v>0</v>
      </c>
      <c r="AL436" s="437">
        <f t="shared" si="181"/>
        <v>0</v>
      </c>
      <c r="AM436" s="437">
        <f t="shared" si="182"/>
        <v>0</v>
      </c>
      <c r="AN436" s="437">
        <f t="shared" si="162"/>
        <v>0</v>
      </c>
      <c r="AO436" s="437">
        <f t="shared" si="163"/>
        <v>0</v>
      </c>
      <c r="AP436" s="437">
        <f t="shared" si="159"/>
        <v>0</v>
      </c>
      <c r="AQ436" s="437">
        <f t="shared" si="159"/>
        <v>0</v>
      </c>
      <c r="AR436" s="436"/>
      <c r="AS436" s="437">
        <f t="shared" si="165"/>
        <v>0</v>
      </c>
    </row>
    <row r="437" spans="1:45" s="438" customFormat="1" ht="24.95" customHeight="1">
      <c r="A437" s="1134"/>
      <c r="B437" s="1134"/>
      <c r="C437" s="1139" t="s">
        <v>735</v>
      </c>
      <c r="D437" s="1134"/>
      <c r="E437" s="1134" t="s">
        <v>736</v>
      </c>
      <c r="F437" s="1134">
        <v>3</v>
      </c>
      <c r="G437" s="1112">
        <v>3519</v>
      </c>
      <c r="H437" s="1112"/>
      <c r="I437" s="1140"/>
      <c r="J437" s="1140"/>
      <c r="K437" s="1140"/>
      <c r="L437" s="1140"/>
      <c r="M437" s="1140"/>
      <c r="N437" s="1112">
        <f>G437+H438+K438</f>
        <v>3519</v>
      </c>
      <c r="O437" s="1112">
        <v>1</v>
      </c>
      <c r="P437" s="1140"/>
      <c r="Q437" s="1140"/>
      <c r="R437" s="1138">
        <v>0.1</v>
      </c>
      <c r="S437" s="1112">
        <f>N437*R437</f>
        <v>351.90000000000003</v>
      </c>
      <c r="T437" s="1134"/>
      <c r="U437" s="1138"/>
      <c r="V437" s="1112"/>
      <c r="W437" s="1112">
        <f>AD437</f>
        <v>3181</v>
      </c>
      <c r="X437" s="1112">
        <f>(N437+V437+Q438+S437)*O437+W437</f>
        <v>7051.9</v>
      </c>
      <c r="Y437" s="1112"/>
      <c r="Z437" s="1112">
        <f>X437+Y437</f>
        <v>7051.9</v>
      </c>
      <c r="AA437" s="1109">
        <f>Z437</f>
        <v>7051.9</v>
      </c>
      <c r="AB437" s="1109">
        <f>AA437-X437</f>
        <v>0</v>
      </c>
      <c r="AC437" s="1112">
        <f>6700*O437</f>
        <v>6700</v>
      </c>
      <c r="AD437" s="1112">
        <f>AC437-(N437*O437)</f>
        <v>3181</v>
      </c>
      <c r="AE437" s="436">
        <f t="shared" si="176"/>
        <v>3519</v>
      </c>
      <c r="AF437" s="436">
        <f t="shared" si="177"/>
        <v>0</v>
      </c>
      <c r="AG437" s="436">
        <f t="shared" si="178"/>
        <v>3519</v>
      </c>
      <c r="AH437" s="436">
        <f t="shared" si="179"/>
        <v>0</v>
      </c>
      <c r="AI437" s="436">
        <f t="shared" si="160"/>
        <v>0</v>
      </c>
      <c r="AJ437" s="436">
        <f t="shared" si="160"/>
        <v>0</v>
      </c>
      <c r="AK437" s="437">
        <f t="shared" si="180"/>
        <v>0</v>
      </c>
      <c r="AL437" s="437">
        <f t="shared" si="181"/>
        <v>0</v>
      </c>
      <c r="AM437" s="437">
        <f t="shared" si="182"/>
        <v>3181</v>
      </c>
      <c r="AN437" s="437">
        <f t="shared" si="162"/>
        <v>351.90000000000003</v>
      </c>
      <c r="AO437" s="437">
        <f t="shared" si="163"/>
        <v>0</v>
      </c>
      <c r="AP437" s="437">
        <f t="shared" si="159"/>
        <v>3519</v>
      </c>
      <c r="AQ437" s="437">
        <f t="shared" si="159"/>
        <v>0</v>
      </c>
      <c r="AR437" s="436"/>
      <c r="AS437" s="437">
        <f t="shared" si="165"/>
        <v>3519</v>
      </c>
    </row>
    <row r="438" spans="1:45" s="438" customFormat="1" ht="24.95" customHeight="1">
      <c r="A438" s="1134"/>
      <c r="B438" s="1134"/>
      <c r="C438" s="1139"/>
      <c r="D438" s="1134"/>
      <c r="E438" s="1134"/>
      <c r="F438" s="1134"/>
      <c r="G438" s="1112"/>
      <c r="H438" s="1112"/>
      <c r="I438" s="1140"/>
      <c r="J438" s="1140"/>
      <c r="K438" s="1140"/>
      <c r="L438" s="1140"/>
      <c r="M438" s="1140"/>
      <c r="N438" s="1112"/>
      <c r="O438" s="1112"/>
      <c r="P438" s="1140"/>
      <c r="Q438" s="1140"/>
      <c r="R438" s="1138"/>
      <c r="S438" s="1112"/>
      <c r="T438" s="1134"/>
      <c r="U438" s="1138"/>
      <c r="V438" s="1112"/>
      <c r="W438" s="1112"/>
      <c r="X438" s="1112"/>
      <c r="Y438" s="1112"/>
      <c r="Z438" s="1112"/>
      <c r="AA438" s="1109"/>
      <c r="AB438" s="1109"/>
      <c r="AC438" s="1112"/>
      <c r="AD438" s="1112"/>
      <c r="AE438" s="436">
        <f t="shared" si="176"/>
        <v>0</v>
      </c>
      <c r="AF438" s="436">
        <f t="shared" si="177"/>
        <v>0</v>
      </c>
      <c r="AG438" s="436">
        <f t="shared" si="178"/>
        <v>0</v>
      </c>
      <c r="AH438" s="436">
        <f t="shared" si="179"/>
        <v>0</v>
      </c>
      <c r="AI438" s="436">
        <f t="shared" si="160"/>
        <v>0</v>
      </c>
      <c r="AJ438" s="436">
        <f t="shared" si="160"/>
        <v>0</v>
      </c>
      <c r="AK438" s="437">
        <f t="shared" si="180"/>
        <v>0</v>
      </c>
      <c r="AL438" s="437">
        <f t="shared" si="181"/>
        <v>0</v>
      </c>
      <c r="AM438" s="437">
        <f t="shared" si="182"/>
        <v>0</v>
      </c>
      <c r="AN438" s="437">
        <f t="shared" si="162"/>
        <v>0</v>
      </c>
      <c r="AO438" s="437">
        <f t="shared" si="163"/>
        <v>0</v>
      </c>
      <c r="AP438" s="437">
        <f t="shared" si="159"/>
        <v>0</v>
      </c>
      <c r="AQ438" s="437">
        <f t="shared" si="159"/>
        <v>0</v>
      </c>
      <c r="AR438" s="436"/>
      <c r="AS438" s="437">
        <f t="shared" si="165"/>
        <v>0</v>
      </c>
    </row>
    <row r="439" spans="1:45" s="438" customFormat="1" ht="24.95" customHeight="1">
      <c r="A439" s="1134"/>
      <c r="B439" s="1134"/>
      <c r="C439" s="1139" t="s">
        <v>735</v>
      </c>
      <c r="D439" s="1134"/>
      <c r="E439" s="1134" t="s">
        <v>737</v>
      </c>
      <c r="F439" s="1134">
        <v>3</v>
      </c>
      <c r="G439" s="1112">
        <v>3519</v>
      </c>
      <c r="H439" s="1112"/>
      <c r="I439" s="1112"/>
      <c r="J439" s="1112"/>
      <c r="K439" s="1112"/>
      <c r="L439" s="1112"/>
      <c r="M439" s="1112"/>
      <c r="N439" s="1112">
        <f>G439+H440</f>
        <v>3519</v>
      </c>
      <c r="O439" s="1112">
        <v>1</v>
      </c>
      <c r="P439" s="1112"/>
      <c r="Q439" s="1112"/>
      <c r="R439" s="1138">
        <v>0.1</v>
      </c>
      <c r="S439" s="1112">
        <f>N439*R439</f>
        <v>351.90000000000003</v>
      </c>
      <c r="T439" s="1134"/>
      <c r="U439" s="1138"/>
      <c r="V439" s="1112"/>
      <c r="W439" s="1112">
        <f>AD439</f>
        <v>3181</v>
      </c>
      <c r="X439" s="1112">
        <f>(N439+V439+Q440+S439)*O439+W439</f>
        <v>7051.9</v>
      </c>
      <c r="Y439" s="1112"/>
      <c r="Z439" s="1112">
        <f>X439+Y439</f>
        <v>7051.9</v>
      </c>
      <c r="AA439" s="1109">
        <f>Z439</f>
        <v>7051.9</v>
      </c>
      <c r="AB439" s="1109">
        <f>AA439-X439</f>
        <v>0</v>
      </c>
      <c r="AC439" s="1112">
        <f>6700*O439</f>
        <v>6700</v>
      </c>
      <c r="AD439" s="1112">
        <f>AC439-(N439*O439)</f>
        <v>3181</v>
      </c>
      <c r="AE439" s="436">
        <f t="shared" si="176"/>
        <v>3519</v>
      </c>
      <c r="AF439" s="436">
        <f t="shared" si="177"/>
        <v>0</v>
      </c>
      <c r="AG439" s="436">
        <f t="shared" si="178"/>
        <v>3519</v>
      </c>
      <c r="AH439" s="436">
        <f t="shared" si="179"/>
        <v>0</v>
      </c>
      <c r="AI439" s="436">
        <f t="shared" si="160"/>
        <v>0</v>
      </c>
      <c r="AJ439" s="436">
        <f t="shared" si="160"/>
        <v>0</v>
      </c>
      <c r="AK439" s="437">
        <f t="shared" si="180"/>
        <v>0</v>
      </c>
      <c r="AL439" s="437">
        <f t="shared" si="181"/>
        <v>0</v>
      </c>
      <c r="AM439" s="437">
        <f t="shared" si="182"/>
        <v>3181</v>
      </c>
      <c r="AN439" s="437">
        <f t="shared" si="162"/>
        <v>351.90000000000003</v>
      </c>
      <c r="AO439" s="437">
        <f t="shared" si="163"/>
        <v>0</v>
      </c>
      <c r="AP439" s="437">
        <f t="shared" si="159"/>
        <v>3519</v>
      </c>
      <c r="AQ439" s="437">
        <f t="shared" si="159"/>
        <v>0</v>
      </c>
      <c r="AR439" s="436"/>
      <c r="AS439" s="437">
        <f t="shared" si="165"/>
        <v>3519</v>
      </c>
    </row>
    <row r="440" spans="1:45" s="438" customFormat="1" ht="24.95" customHeight="1">
      <c r="A440" s="1134"/>
      <c r="B440" s="1134"/>
      <c r="C440" s="1139"/>
      <c r="D440" s="1134"/>
      <c r="E440" s="1134"/>
      <c r="F440" s="1134"/>
      <c r="G440" s="1112"/>
      <c r="H440" s="1112"/>
      <c r="I440" s="1112"/>
      <c r="J440" s="1112"/>
      <c r="K440" s="1112"/>
      <c r="L440" s="1112"/>
      <c r="M440" s="1112"/>
      <c r="N440" s="1112"/>
      <c r="O440" s="1112"/>
      <c r="P440" s="1112"/>
      <c r="Q440" s="1112"/>
      <c r="R440" s="1138"/>
      <c r="S440" s="1112"/>
      <c r="T440" s="1134"/>
      <c r="U440" s="1138"/>
      <c r="V440" s="1112"/>
      <c r="W440" s="1112"/>
      <c r="X440" s="1112"/>
      <c r="Y440" s="1112"/>
      <c r="Z440" s="1112"/>
      <c r="AA440" s="1109"/>
      <c r="AB440" s="1109"/>
      <c r="AC440" s="1112"/>
      <c r="AD440" s="1112"/>
      <c r="AE440" s="436">
        <f t="shared" si="176"/>
        <v>0</v>
      </c>
      <c r="AF440" s="436">
        <f t="shared" si="177"/>
        <v>0</v>
      </c>
      <c r="AG440" s="436">
        <f t="shared" si="178"/>
        <v>0</v>
      </c>
      <c r="AH440" s="436">
        <f t="shared" si="179"/>
        <v>0</v>
      </c>
      <c r="AI440" s="436">
        <f t="shared" si="160"/>
        <v>0</v>
      </c>
      <c r="AJ440" s="436">
        <f t="shared" si="160"/>
        <v>0</v>
      </c>
      <c r="AK440" s="437">
        <f t="shared" si="180"/>
        <v>0</v>
      </c>
      <c r="AL440" s="437">
        <f t="shared" si="181"/>
        <v>0</v>
      </c>
      <c r="AM440" s="437">
        <f t="shared" si="182"/>
        <v>0</v>
      </c>
      <c r="AN440" s="437">
        <f t="shared" si="162"/>
        <v>0</v>
      </c>
      <c r="AO440" s="437">
        <f t="shared" si="163"/>
        <v>0</v>
      </c>
      <c r="AP440" s="437">
        <f t="shared" si="159"/>
        <v>0</v>
      </c>
      <c r="AQ440" s="437">
        <f t="shared" si="159"/>
        <v>0</v>
      </c>
      <c r="AR440" s="436"/>
      <c r="AS440" s="437">
        <f t="shared" si="165"/>
        <v>0</v>
      </c>
    </row>
    <row r="441" spans="1:45" s="438" customFormat="1" ht="24.95" customHeight="1">
      <c r="A441" s="1134"/>
      <c r="B441" s="1134"/>
      <c r="C441" s="1139" t="s">
        <v>735</v>
      </c>
      <c r="D441" s="1134"/>
      <c r="E441" s="1134" t="s">
        <v>738</v>
      </c>
      <c r="F441" s="1134">
        <v>3</v>
      </c>
      <c r="G441" s="1112">
        <v>3519</v>
      </c>
      <c r="H441" s="1112"/>
      <c r="I441" s="1112"/>
      <c r="J441" s="1112"/>
      <c r="K441" s="1112"/>
      <c r="L441" s="1112"/>
      <c r="M441" s="1112"/>
      <c r="N441" s="1112">
        <f>G441+H442</f>
        <v>3519</v>
      </c>
      <c r="O441" s="1112">
        <v>1</v>
      </c>
      <c r="P441" s="1112"/>
      <c r="Q441" s="1112"/>
      <c r="R441" s="1138">
        <v>0.1</v>
      </c>
      <c r="S441" s="1112">
        <f>N441*R441</f>
        <v>351.90000000000003</v>
      </c>
      <c r="T441" s="1134"/>
      <c r="U441" s="1138"/>
      <c r="V441" s="1112"/>
      <c r="W441" s="1112">
        <f>AD441</f>
        <v>3181</v>
      </c>
      <c r="X441" s="1112">
        <f>(N441+V441+Q442+S441)*O441+W441</f>
        <v>7051.9</v>
      </c>
      <c r="Y441" s="1112"/>
      <c r="Z441" s="1112">
        <f>X441+Y441</f>
        <v>7051.9</v>
      </c>
      <c r="AA441" s="1109">
        <f>Z441</f>
        <v>7051.9</v>
      </c>
      <c r="AB441" s="1109">
        <f>AA441-X441</f>
        <v>0</v>
      </c>
      <c r="AC441" s="1112">
        <f>6700*O441</f>
        <v>6700</v>
      </c>
      <c r="AD441" s="1112">
        <f>AC441-(N441*O441)</f>
        <v>3181</v>
      </c>
      <c r="AE441" s="436">
        <f t="shared" si="176"/>
        <v>3519</v>
      </c>
      <c r="AF441" s="436">
        <f t="shared" si="177"/>
        <v>0</v>
      </c>
      <c r="AG441" s="436">
        <f t="shared" si="178"/>
        <v>3519</v>
      </c>
      <c r="AH441" s="436">
        <f t="shared" si="179"/>
        <v>0</v>
      </c>
      <c r="AI441" s="436">
        <f t="shared" si="160"/>
        <v>0</v>
      </c>
      <c r="AJ441" s="436">
        <f t="shared" si="160"/>
        <v>0</v>
      </c>
      <c r="AK441" s="437">
        <f t="shared" si="180"/>
        <v>0</v>
      </c>
      <c r="AL441" s="437">
        <f t="shared" si="181"/>
        <v>0</v>
      </c>
      <c r="AM441" s="437">
        <f t="shared" si="182"/>
        <v>3181</v>
      </c>
      <c r="AN441" s="437">
        <f t="shared" si="162"/>
        <v>351.90000000000003</v>
      </c>
      <c r="AO441" s="437">
        <f t="shared" si="163"/>
        <v>0</v>
      </c>
      <c r="AP441" s="437">
        <f t="shared" si="159"/>
        <v>3519</v>
      </c>
      <c r="AQ441" s="437">
        <f t="shared" si="159"/>
        <v>0</v>
      </c>
      <c r="AR441" s="436"/>
      <c r="AS441" s="437">
        <f t="shared" si="165"/>
        <v>3519</v>
      </c>
    </row>
    <row r="442" spans="1:45" s="438" customFormat="1" ht="24.95" customHeight="1">
      <c r="A442" s="1134"/>
      <c r="B442" s="1134"/>
      <c r="C442" s="1139"/>
      <c r="D442" s="1134"/>
      <c r="E442" s="1134"/>
      <c r="F442" s="1134"/>
      <c r="G442" s="1112"/>
      <c r="H442" s="1112"/>
      <c r="I442" s="1112"/>
      <c r="J442" s="1112"/>
      <c r="K442" s="1112"/>
      <c r="L442" s="1112"/>
      <c r="M442" s="1112"/>
      <c r="N442" s="1112"/>
      <c r="O442" s="1112"/>
      <c r="P442" s="1112"/>
      <c r="Q442" s="1112"/>
      <c r="R442" s="1138"/>
      <c r="S442" s="1112"/>
      <c r="T442" s="1134"/>
      <c r="U442" s="1138"/>
      <c r="V442" s="1112"/>
      <c r="W442" s="1112"/>
      <c r="X442" s="1112"/>
      <c r="Y442" s="1112"/>
      <c r="Z442" s="1112"/>
      <c r="AA442" s="1109"/>
      <c r="AB442" s="1109"/>
      <c r="AC442" s="1112"/>
      <c r="AD442" s="1112"/>
      <c r="AE442" s="436">
        <f t="shared" si="176"/>
        <v>0</v>
      </c>
      <c r="AF442" s="436">
        <f t="shared" si="177"/>
        <v>0</v>
      </c>
      <c r="AG442" s="436">
        <f t="shared" si="178"/>
        <v>0</v>
      </c>
      <c r="AH442" s="436">
        <f t="shared" si="179"/>
        <v>0</v>
      </c>
      <c r="AI442" s="436">
        <f t="shared" si="160"/>
        <v>0</v>
      </c>
      <c r="AJ442" s="436">
        <f t="shared" si="160"/>
        <v>0</v>
      </c>
      <c r="AK442" s="437">
        <f t="shared" si="180"/>
        <v>0</v>
      </c>
      <c r="AL442" s="437">
        <f t="shared" si="181"/>
        <v>0</v>
      </c>
      <c r="AM442" s="437">
        <f t="shared" si="182"/>
        <v>0</v>
      </c>
      <c r="AN442" s="437">
        <f t="shared" si="162"/>
        <v>0</v>
      </c>
      <c r="AO442" s="437">
        <f t="shared" si="163"/>
        <v>0</v>
      </c>
      <c r="AP442" s="437">
        <f t="shared" si="159"/>
        <v>0</v>
      </c>
      <c r="AQ442" s="437">
        <f t="shared" si="159"/>
        <v>0</v>
      </c>
      <c r="AR442" s="436"/>
      <c r="AS442" s="437">
        <f t="shared" si="165"/>
        <v>0</v>
      </c>
    </row>
    <row r="443" spans="1:45" s="438" customFormat="1" ht="24.95" customHeight="1">
      <c r="A443" s="1134"/>
      <c r="B443" s="1134"/>
      <c r="C443" s="1139" t="s">
        <v>735</v>
      </c>
      <c r="D443" s="1134"/>
      <c r="E443" s="1134" t="s">
        <v>739</v>
      </c>
      <c r="F443" s="1134">
        <v>3</v>
      </c>
      <c r="G443" s="1112">
        <v>3519</v>
      </c>
      <c r="H443" s="1112"/>
      <c r="I443" s="1112"/>
      <c r="J443" s="1112"/>
      <c r="K443" s="1112"/>
      <c r="L443" s="1140"/>
      <c r="M443" s="1140"/>
      <c r="N443" s="1112">
        <f>G443+I444</f>
        <v>3519</v>
      </c>
      <c r="O443" s="1112">
        <v>1</v>
      </c>
      <c r="P443" s="1112"/>
      <c r="Q443" s="1112"/>
      <c r="R443" s="1138">
        <v>0.1</v>
      </c>
      <c r="S443" s="1112">
        <f>N443*R443</f>
        <v>351.90000000000003</v>
      </c>
      <c r="T443" s="1134"/>
      <c r="U443" s="1138"/>
      <c r="V443" s="1112"/>
      <c r="W443" s="1112">
        <f>AD443</f>
        <v>3181</v>
      </c>
      <c r="X443" s="1112">
        <f>(N443+V443+Q444+S443)*O443+W443</f>
        <v>7051.9</v>
      </c>
      <c r="Y443" s="1112"/>
      <c r="Z443" s="1112">
        <f>X443+Y443</f>
        <v>7051.9</v>
      </c>
      <c r="AA443" s="1109">
        <f>Z443</f>
        <v>7051.9</v>
      </c>
      <c r="AB443" s="1109">
        <f>AA443-X443</f>
        <v>0</v>
      </c>
      <c r="AC443" s="1112">
        <f>6700*O443</f>
        <v>6700</v>
      </c>
      <c r="AD443" s="1112">
        <f>AC443-(N443*O443)</f>
        <v>3181</v>
      </c>
      <c r="AE443" s="436">
        <f t="shared" si="176"/>
        <v>3519</v>
      </c>
      <c r="AF443" s="436">
        <f t="shared" si="177"/>
        <v>0</v>
      </c>
      <c r="AG443" s="436">
        <f t="shared" si="178"/>
        <v>3519</v>
      </c>
      <c r="AH443" s="436">
        <f t="shared" si="179"/>
        <v>0</v>
      </c>
      <c r="AI443" s="436">
        <f t="shared" si="160"/>
        <v>0</v>
      </c>
      <c r="AJ443" s="436">
        <f t="shared" si="160"/>
        <v>0</v>
      </c>
      <c r="AK443" s="437">
        <f t="shared" si="180"/>
        <v>0</v>
      </c>
      <c r="AL443" s="437">
        <f t="shared" si="181"/>
        <v>0</v>
      </c>
      <c r="AM443" s="437">
        <f t="shared" si="182"/>
        <v>3181</v>
      </c>
      <c r="AN443" s="437">
        <f t="shared" si="162"/>
        <v>351.90000000000003</v>
      </c>
      <c r="AO443" s="437">
        <f t="shared" si="163"/>
        <v>0</v>
      </c>
      <c r="AP443" s="437">
        <f t="shared" si="159"/>
        <v>3519</v>
      </c>
      <c r="AQ443" s="437">
        <f t="shared" si="159"/>
        <v>0</v>
      </c>
      <c r="AR443" s="436"/>
      <c r="AS443" s="437">
        <f t="shared" si="165"/>
        <v>3519</v>
      </c>
    </row>
    <row r="444" spans="1:45" s="438" customFormat="1" ht="24.95" customHeight="1">
      <c r="A444" s="1134"/>
      <c r="B444" s="1134"/>
      <c r="C444" s="1139"/>
      <c r="D444" s="1134"/>
      <c r="E444" s="1134"/>
      <c r="F444" s="1134"/>
      <c r="G444" s="1112"/>
      <c r="H444" s="1112"/>
      <c r="I444" s="1112"/>
      <c r="J444" s="1112"/>
      <c r="K444" s="1112"/>
      <c r="L444" s="1140"/>
      <c r="M444" s="1140"/>
      <c r="N444" s="1112"/>
      <c r="O444" s="1112"/>
      <c r="P444" s="1112"/>
      <c r="Q444" s="1112"/>
      <c r="R444" s="1138"/>
      <c r="S444" s="1112"/>
      <c r="T444" s="1134"/>
      <c r="U444" s="1138"/>
      <c r="V444" s="1112"/>
      <c r="W444" s="1112"/>
      <c r="X444" s="1112"/>
      <c r="Y444" s="1112"/>
      <c r="Z444" s="1112"/>
      <c r="AA444" s="1109"/>
      <c r="AB444" s="1109"/>
      <c r="AC444" s="1112"/>
      <c r="AD444" s="1112"/>
      <c r="AE444" s="436">
        <f t="shared" si="176"/>
        <v>0</v>
      </c>
      <c r="AF444" s="436">
        <f t="shared" si="177"/>
        <v>0</v>
      </c>
      <c r="AG444" s="436">
        <f t="shared" si="178"/>
        <v>0</v>
      </c>
      <c r="AH444" s="436">
        <f t="shared" si="179"/>
        <v>0</v>
      </c>
      <c r="AI444" s="436">
        <f t="shared" si="160"/>
        <v>0</v>
      </c>
      <c r="AJ444" s="436">
        <f t="shared" si="160"/>
        <v>0</v>
      </c>
      <c r="AK444" s="437">
        <f t="shared" si="180"/>
        <v>0</v>
      </c>
      <c r="AL444" s="437">
        <f t="shared" si="181"/>
        <v>0</v>
      </c>
      <c r="AM444" s="437">
        <f t="shared" si="182"/>
        <v>0</v>
      </c>
      <c r="AN444" s="437">
        <f t="shared" si="162"/>
        <v>0</v>
      </c>
      <c r="AO444" s="437">
        <f t="shared" si="163"/>
        <v>0</v>
      </c>
      <c r="AP444" s="437">
        <f t="shared" si="159"/>
        <v>0</v>
      </c>
      <c r="AQ444" s="437">
        <f t="shared" si="159"/>
        <v>0</v>
      </c>
      <c r="AR444" s="436"/>
      <c r="AS444" s="437">
        <f t="shared" si="165"/>
        <v>0</v>
      </c>
    </row>
    <row r="445" spans="1:45" s="446" customFormat="1" ht="24.95" customHeight="1">
      <c r="A445" s="441"/>
      <c r="B445" s="441"/>
      <c r="C445" s="442" t="s">
        <v>318</v>
      </c>
      <c r="D445" s="443"/>
      <c r="E445" s="441"/>
      <c r="F445" s="441"/>
      <c r="G445" s="444">
        <f>SUM(G437:G444)</f>
        <v>14076</v>
      </c>
      <c r="H445" s="441"/>
      <c r="I445" s="441"/>
      <c r="J445" s="441"/>
      <c r="K445" s="441"/>
      <c r="L445" s="441"/>
      <c r="M445" s="441"/>
      <c r="N445" s="444">
        <f>SUM(N437:N444)</f>
        <v>14076</v>
      </c>
      <c r="O445" s="444">
        <f>SUM(O437:O444)</f>
        <v>4</v>
      </c>
      <c r="P445" s="444">
        <f>SUM(P437:P444)</f>
        <v>0</v>
      </c>
      <c r="Q445" s="451"/>
      <c r="R445" s="444"/>
      <c r="S445" s="451">
        <f>SUM(S437:S444)</f>
        <v>1407.6000000000001</v>
      </c>
      <c r="T445" s="444"/>
      <c r="U445" s="444"/>
      <c r="V445" s="444"/>
      <c r="W445" s="444">
        <f t="shared" ref="W445:AD445" si="183">SUM(W437:W444)</f>
        <v>12724</v>
      </c>
      <c r="X445" s="444">
        <f t="shared" si="183"/>
        <v>28207.599999999999</v>
      </c>
      <c r="Y445" s="444">
        <f t="shared" si="183"/>
        <v>0</v>
      </c>
      <c r="Z445" s="444">
        <f t="shared" si="183"/>
        <v>28207.599999999999</v>
      </c>
      <c r="AA445" s="499">
        <f t="shared" si="183"/>
        <v>28207.599999999999</v>
      </c>
      <c r="AB445" s="499">
        <f t="shared" si="183"/>
        <v>0</v>
      </c>
      <c r="AC445" s="444">
        <f t="shared" si="183"/>
        <v>26800</v>
      </c>
      <c r="AD445" s="444">
        <f t="shared" si="183"/>
        <v>12724</v>
      </c>
      <c r="AE445" s="436"/>
      <c r="AF445" s="436"/>
      <c r="AG445" s="436"/>
      <c r="AH445" s="436"/>
      <c r="AI445" s="436"/>
      <c r="AJ445" s="436"/>
      <c r="AK445" s="437"/>
      <c r="AL445" s="437"/>
      <c r="AM445" s="437"/>
      <c r="AN445" s="437"/>
      <c r="AO445" s="437"/>
      <c r="AP445" s="437">
        <f t="shared" si="159"/>
        <v>0</v>
      </c>
      <c r="AQ445" s="437">
        <f t="shared" si="159"/>
        <v>0</v>
      </c>
      <c r="AR445" s="436"/>
      <c r="AS445" s="437">
        <f t="shared" si="165"/>
        <v>0</v>
      </c>
    </row>
    <row r="446" spans="1:45" s="456" customFormat="1" ht="24.95" customHeight="1">
      <c r="A446" s="455"/>
      <c r="B446" s="455"/>
      <c r="C446" s="1136" t="s">
        <v>1018</v>
      </c>
      <c r="D446" s="1136"/>
      <c r="E446" s="455"/>
      <c r="F446" s="455"/>
      <c r="G446" s="455"/>
      <c r="H446" s="455"/>
      <c r="I446" s="455"/>
      <c r="J446" s="455"/>
      <c r="K446" s="455"/>
      <c r="L446" s="455"/>
      <c r="M446" s="455"/>
      <c r="N446" s="455"/>
      <c r="O446" s="455"/>
      <c r="P446" s="455"/>
      <c r="Q446" s="455"/>
      <c r="R446" s="455"/>
      <c r="S446" s="455"/>
      <c r="T446" s="455"/>
      <c r="U446" s="455"/>
      <c r="V446" s="455"/>
      <c r="W446" s="455"/>
      <c r="X446" s="455"/>
      <c r="Y446" s="455"/>
      <c r="Z446" s="455"/>
      <c r="AA446" s="504"/>
      <c r="AB446" s="504"/>
      <c r="AC446" s="455"/>
      <c r="AD446" s="455"/>
      <c r="AE446" s="436">
        <f t="shared" ref="AE446:AE522" si="184">G446*O446</f>
        <v>0</v>
      </c>
      <c r="AF446" s="436">
        <f t="shared" ref="AF446:AF522" si="185">G446*P446</f>
        <v>0</v>
      </c>
      <c r="AG446" s="436">
        <f t="shared" ref="AG446:AG522" si="186">N446*O446</f>
        <v>0</v>
      </c>
      <c r="AH446" s="436">
        <f t="shared" ref="AH446:AH522" si="187">N446*P446</f>
        <v>0</v>
      </c>
      <c r="AI446" s="436">
        <f t="shared" ref="AI446:AJ522" si="188">AG446-AE446</f>
        <v>0</v>
      </c>
      <c r="AJ446" s="436">
        <f t="shared" si="188"/>
        <v>0</v>
      </c>
      <c r="AK446" s="437">
        <f t="shared" ref="AK446:AK522" si="189">V446*O446</f>
        <v>0</v>
      </c>
      <c r="AL446" s="437">
        <f t="shared" ref="AL446:AL522" si="190">V446*P446</f>
        <v>0</v>
      </c>
      <c r="AM446" s="437">
        <f t="shared" ref="AM446:AM522" si="191">W446</f>
        <v>0</v>
      </c>
      <c r="AN446" s="437">
        <f t="shared" si="162"/>
        <v>0</v>
      </c>
      <c r="AO446" s="437">
        <f t="shared" si="163"/>
        <v>0</v>
      </c>
      <c r="AP446" s="437">
        <f t="shared" si="159"/>
        <v>0</v>
      </c>
      <c r="AQ446" s="437">
        <f t="shared" si="159"/>
        <v>0</v>
      </c>
      <c r="AR446" s="436"/>
      <c r="AS446" s="437">
        <f t="shared" si="165"/>
        <v>0</v>
      </c>
    </row>
    <row r="447" spans="1:45" s="438" customFormat="1" ht="24.95" customHeight="1">
      <c r="A447" s="1134"/>
      <c r="B447" s="1134"/>
      <c r="C447" s="1139" t="s">
        <v>735</v>
      </c>
      <c r="D447" s="1134"/>
      <c r="E447" s="1134" t="s">
        <v>741</v>
      </c>
      <c r="F447" s="1134">
        <v>3</v>
      </c>
      <c r="G447" s="1112">
        <v>3519</v>
      </c>
      <c r="H447" s="1112"/>
      <c r="I447" s="1112"/>
      <c r="J447" s="1112"/>
      <c r="K447" s="1112"/>
      <c r="L447" s="435">
        <v>0.15</v>
      </c>
      <c r="M447" s="1140"/>
      <c r="N447" s="1112">
        <f>G447+H448+L448</f>
        <v>4046.85</v>
      </c>
      <c r="O447" s="1112">
        <v>1</v>
      </c>
      <c r="P447" s="1112"/>
      <c r="Q447" s="1112"/>
      <c r="R447" s="1138">
        <v>0.1</v>
      </c>
      <c r="S447" s="1112">
        <f>N447*R447</f>
        <v>404.685</v>
      </c>
      <c r="T447" s="1134"/>
      <c r="U447" s="1138"/>
      <c r="V447" s="1112"/>
      <c r="W447" s="1112">
        <f>AD447</f>
        <v>2653.15</v>
      </c>
      <c r="X447" s="1112">
        <f>(N447+V447+Q448+S447)*O447+W447</f>
        <v>7104.6849999999995</v>
      </c>
      <c r="Y447" s="1112"/>
      <c r="Z447" s="1112">
        <f>X447+Y447</f>
        <v>7104.6849999999995</v>
      </c>
      <c r="AA447" s="1109">
        <f t="shared" ref="AA447:AA467" si="192">Z447</f>
        <v>7104.6849999999995</v>
      </c>
      <c r="AB447" s="1109">
        <f>AA447-X447</f>
        <v>0</v>
      </c>
      <c r="AC447" s="1112">
        <f>6700*O447</f>
        <v>6700</v>
      </c>
      <c r="AD447" s="1112">
        <f>AC447-(N447*O447)</f>
        <v>2653.15</v>
      </c>
      <c r="AE447" s="436">
        <f t="shared" si="184"/>
        <v>3519</v>
      </c>
      <c r="AF447" s="436">
        <f t="shared" si="185"/>
        <v>0</v>
      </c>
      <c r="AG447" s="436">
        <f t="shared" si="186"/>
        <v>4046.85</v>
      </c>
      <c r="AH447" s="436">
        <f t="shared" si="187"/>
        <v>0</v>
      </c>
      <c r="AI447" s="436">
        <f t="shared" si="188"/>
        <v>527.84999999999991</v>
      </c>
      <c r="AJ447" s="436">
        <f t="shared" si="188"/>
        <v>0</v>
      </c>
      <c r="AK447" s="437">
        <f t="shared" si="189"/>
        <v>0</v>
      </c>
      <c r="AL447" s="437">
        <f t="shared" si="190"/>
        <v>0</v>
      </c>
      <c r="AM447" s="437">
        <f t="shared" si="191"/>
        <v>2653.15</v>
      </c>
      <c r="AN447" s="437">
        <f t="shared" si="162"/>
        <v>404.685</v>
      </c>
      <c r="AO447" s="437">
        <f t="shared" si="163"/>
        <v>0</v>
      </c>
      <c r="AP447" s="437">
        <f t="shared" si="159"/>
        <v>4046.85</v>
      </c>
      <c r="AQ447" s="437">
        <f t="shared" si="159"/>
        <v>0</v>
      </c>
      <c r="AR447" s="436"/>
      <c r="AS447" s="437">
        <f t="shared" si="165"/>
        <v>4046.85</v>
      </c>
    </row>
    <row r="448" spans="1:45" s="438" customFormat="1" ht="24.95" customHeight="1">
      <c r="A448" s="1134"/>
      <c r="B448" s="1134"/>
      <c r="C448" s="1139"/>
      <c r="D448" s="1134"/>
      <c r="E448" s="1134"/>
      <c r="F448" s="1134"/>
      <c r="G448" s="1112"/>
      <c r="H448" s="1112"/>
      <c r="I448" s="1112"/>
      <c r="J448" s="1112"/>
      <c r="K448" s="1112"/>
      <c r="L448" s="449">
        <f>(G447+H448)*L447</f>
        <v>527.85</v>
      </c>
      <c r="M448" s="1140"/>
      <c r="N448" s="1112"/>
      <c r="O448" s="1112"/>
      <c r="P448" s="1112"/>
      <c r="Q448" s="1112"/>
      <c r="R448" s="1138"/>
      <c r="S448" s="1112"/>
      <c r="T448" s="1134"/>
      <c r="U448" s="1138"/>
      <c r="V448" s="1112"/>
      <c r="W448" s="1112"/>
      <c r="X448" s="1112"/>
      <c r="Y448" s="1112"/>
      <c r="Z448" s="1112"/>
      <c r="AA448" s="1109"/>
      <c r="AB448" s="1109"/>
      <c r="AC448" s="1112"/>
      <c r="AD448" s="1112"/>
      <c r="AE448" s="436">
        <f t="shared" si="184"/>
        <v>0</v>
      </c>
      <c r="AF448" s="436">
        <f t="shared" si="185"/>
        <v>0</v>
      </c>
      <c r="AG448" s="436">
        <f t="shared" si="186"/>
        <v>0</v>
      </c>
      <c r="AH448" s="436">
        <f t="shared" si="187"/>
        <v>0</v>
      </c>
      <c r="AI448" s="436">
        <f t="shared" si="188"/>
        <v>0</v>
      </c>
      <c r="AJ448" s="436">
        <f t="shared" si="188"/>
        <v>0</v>
      </c>
      <c r="AK448" s="437">
        <f t="shared" si="189"/>
        <v>0</v>
      </c>
      <c r="AL448" s="437">
        <f t="shared" si="190"/>
        <v>0</v>
      </c>
      <c r="AM448" s="437">
        <f t="shared" si="191"/>
        <v>0</v>
      </c>
      <c r="AN448" s="437">
        <f t="shared" si="162"/>
        <v>0</v>
      </c>
      <c r="AO448" s="437">
        <f t="shared" si="163"/>
        <v>0</v>
      </c>
      <c r="AP448" s="437">
        <f t="shared" si="159"/>
        <v>0</v>
      </c>
      <c r="AQ448" s="437">
        <f t="shared" si="159"/>
        <v>0</v>
      </c>
      <c r="AR448" s="436"/>
      <c r="AS448" s="437">
        <f t="shared" si="165"/>
        <v>0</v>
      </c>
    </row>
    <row r="449" spans="1:45" s="438" customFormat="1" ht="24.95" customHeight="1">
      <c r="A449" s="1134"/>
      <c r="B449" s="1134"/>
      <c r="C449" s="1139" t="s">
        <v>735</v>
      </c>
      <c r="D449" s="1134"/>
      <c r="E449" s="1134" t="s">
        <v>742</v>
      </c>
      <c r="F449" s="1134">
        <v>3</v>
      </c>
      <c r="G449" s="1112">
        <v>3519</v>
      </c>
      <c r="H449" s="1112"/>
      <c r="I449" s="1138"/>
      <c r="J449" s="1138"/>
      <c r="K449" s="1112"/>
      <c r="L449" s="435">
        <v>0.15</v>
      </c>
      <c r="M449" s="1140"/>
      <c r="N449" s="1112">
        <f>G449+H450+L450</f>
        <v>4046.85</v>
      </c>
      <c r="O449" s="1112">
        <v>1</v>
      </c>
      <c r="P449" s="1112"/>
      <c r="Q449" s="1112"/>
      <c r="R449" s="1138">
        <v>0.1</v>
      </c>
      <c r="S449" s="1112">
        <f>N449*R449</f>
        <v>404.685</v>
      </c>
      <c r="T449" s="1134"/>
      <c r="U449" s="1138"/>
      <c r="V449" s="1112"/>
      <c r="W449" s="1112">
        <f>AD449</f>
        <v>2653.15</v>
      </c>
      <c r="X449" s="1112">
        <f>(N449+V449+Q450+S449)*O449+W449</f>
        <v>7104.6849999999995</v>
      </c>
      <c r="Y449" s="1112"/>
      <c r="Z449" s="1112">
        <f>X449+Y449</f>
        <v>7104.6849999999995</v>
      </c>
      <c r="AA449" s="1109">
        <f t="shared" si="192"/>
        <v>7104.6849999999995</v>
      </c>
      <c r="AB449" s="1109">
        <f>AA449-X449</f>
        <v>0</v>
      </c>
      <c r="AC449" s="1112">
        <f>6700*O449</f>
        <v>6700</v>
      </c>
      <c r="AD449" s="1112">
        <f>AC449-(N449*O449)</f>
        <v>2653.15</v>
      </c>
      <c r="AE449" s="436">
        <f t="shared" si="184"/>
        <v>3519</v>
      </c>
      <c r="AF449" s="436">
        <f t="shared" si="185"/>
        <v>0</v>
      </c>
      <c r="AG449" s="436">
        <f t="shared" si="186"/>
        <v>4046.85</v>
      </c>
      <c r="AH449" s="436">
        <f t="shared" si="187"/>
        <v>0</v>
      </c>
      <c r="AI449" s="436">
        <f t="shared" si="188"/>
        <v>527.84999999999991</v>
      </c>
      <c r="AJ449" s="436">
        <f t="shared" si="188"/>
        <v>0</v>
      </c>
      <c r="AK449" s="437">
        <f t="shared" si="189"/>
        <v>0</v>
      </c>
      <c r="AL449" s="437">
        <f t="shared" si="190"/>
        <v>0</v>
      </c>
      <c r="AM449" s="437">
        <f t="shared" si="191"/>
        <v>2653.15</v>
      </c>
      <c r="AN449" s="437">
        <f t="shared" si="162"/>
        <v>404.685</v>
      </c>
      <c r="AO449" s="437">
        <f t="shared" si="163"/>
        <v>0</v>
      </c>
      <c r="AP449" s="437">
        <f t="shared" si="159"/>
        <v>4046.85</v>
      </c>
      <c r="AQ449" s="437">
        <f t="shared" si="159"/>
        <v>0</v>
      </c>
      <c r="AR449" s="436"/>
      <c r="AS449" s="437">
        <f t="shared" si="165"/>
        <v>4046.85</v>
      </c>
    </row>
    <row r="450" spans="1:45" s="438" customFormat="1" ht="24.95" customHeight="1">
      <c r="A450" s="1134"/>
      <c r="B450" s="1134"/>
      <c r="C450" s="1139"/>
      <c r="D450" s="1134"/>
      <c r="E450" s="1134"/>
      <c r="F450" s="1134"/>
      <c r="G450" s="1112"/>
      <c r="H450" s="1112"/>
      <c r="I450" s="1134"/>
      <c r="J450" s="1134"/>
      <c r="K450" s="1112"/>
      <c r="L450" s="449">
        <f>(G449+H450)*L449</f>
        <v>527.85</v>
      </c>
      <c r="M450" s="1140"/>
      <c r="N450" s="1112"/>
      <c r="O450" s="1112"/>
      <c r="P450" s="1112"/>
      <c r="Q450" s="1112"/>
      <c r="R450" s="1138"/>
      <c r="S450" s="1112"/>
      <c r="T450" s="1134"/>
      <c r="U450" s="1138"/>
      <c r="V450" s="1112"/>
      <c r="W450" s="1112"/>
      <c r="X450" s="1112"/>
      <c r="Y450" s="1112"/>
      <c r="Z450" s="1112"/>
      <c r="AA450" s="1109"/>
      <c r="AB450" s="1109"/>
      <c r="AC450" s="1112"/>
      <c r="AD450" s="1112"/>
      <c r="AE450" s="436">
        <f t="shared" si="184"/>
        <v>0</v>
      </c>
      <c r="AF450" s="436">
        <f t="shared" si="185"/>
        <v>0</v>
      </c>
      <c r="AG450" s="436">
        <f t="shared" si="186"/>
        <v>0</v>
      </c>
      <c r="AH450" s="436">
        <f t="shared" si="187"/>
        <v>0</v>
      </c>
      <c r="AI450" s="436">
        <f t="shared" si="188"/>
        <v>0</v>
      </c>
      <c r="AJ450" s="436">
        <f t="shared" si="188"/>
        <v>0</v>
      </c>
      <c r="AK450" s="437">
        <f t="shared" si="189"/>
        <v>0</v>
      </c>
      <c r="AL450" s="437">
        <f t="shared" si="190"/>
        <v>0</v>
      </c>
      <c r="AM450" s="437">
        <f t="shared" si="191"/>
        <v>0</v>
      </c>
      <c r="AN450" s="437">
        <f t="shared" si="162"/>
        <v>0</v>
      </c>
      <c r="AO450" s="437">
        <f t="shared" si="163"/>
        <v>0</v>
      </c>
      <c r="AP450" s="437">
        <f t="shared" si="159"/>
        <v>0</v>
      </c>
      <c r="AQ450" s="437">
        <f t="shared" si="159"/>
        <v>0</v>
      </c>
      <c r="AR450" s="436"/>
      <c r="AS450" s="437">
        <f t="shared" si="165"/>
        <v>0</v>
      </c>
    </row>
    <row r="451" spans="1:45" s="438" customFormat="1" ht="24.95" customHeight="1">
      <c r="A451" s="1134"/>
      <c r="B451" s="1134"/>
      <c r="C451" s="1139" t="s">
        <v>735</v>
      </c>
      <c r="D451" s="1134"/>
      <c r="E451" s="1171" t="s">
        <v>743</v>
      </c>
      <c r="F451" s="1134">
        <v>3</v>
      </c>
      <c r="G451" s="1112">
        <v>3519</v>
      </c>
      <c r="H451" s="1112"/>
      <c r="I451" s="1138"/>
      <c r="J451" s="1138"/>
      <c r="K451" s="1112"/>
      <c r="L451" s="435">
        <v>0.15</v>
      </c>
      <c r="M451" s="1140"/>
      <c r="N451" s="1112">
        <f>G451+H452+L452</f>
        <v>4046.85</v>
      </c>
      <c r="O451" s="1112">
        <v>1</v>
      </c>
      <c r="P451" s="1112"/>
      <c r="Q451" s="1112"/>
      <c r="R451" s="1138">
        <v>0.1</v>
      </c>
      <c r="S451" s="1112">
        <f>N451*R451</f>
        <v>404.685</v>
      </c>
      <c r="T451" s="1134"/>
      <c r="U451" s="1138"/>
      <c r="V451" s="1112"/>
      <c r="W451" s="1112">
        <f>AD451</f>
        <v>2653.15</v>
      </c>
      <c r="X451" s="1112">
        <f>(N451+V451+Q452+S451)*O451+W451</f>
        <v>7104.6849999999995</v>
      </c>
      <c r="Y451" s="1112"/>
      <c r="Z451" s="1112">
        <f>X451+Y451</f>
        <v>7104.6849999999995</v>
      </c>
      <c r="AA451" s="1109">
        <f t="shared" si="192"/>
        <v>7104.6849999999995</v>
      </c>
      <c r="AB451" s="1109">
        <f>AA451-X451</f>
        <v>0</v>
      </c>
      <c r="AC451" s="1112">
        <f>6700*O451</f>
        <v>6700</v>
      </c>
      <c r="AD451" s="1112">
        <f>AC451-(N451*O451)</f>
        <v>2653.15</v>
      </c>
      <c r="AE451" s="436">
        <f t="shared" si="184"/>
        <v>3519</v>
      </c>
      <c r="AF451" s="436">
        <f t="shared" si="185"/>
        <v>0</v>
      </c>
      <c r="AG451" s="436">
        <f t="shared" si="186"/>
        <v>4046.85</v>
      </c>
      <c r="AH451" s="436">
        <f t="shared" si="187"/>
        <v>0</v>
      </c>
      <c r="AI451" s="436">
        <f t="shared" si="188"/>
        <v>527.84999999999991</v>
      </c>
      <c r="AJ451" s="436">
        <f t="shared" si="188"/>
        <v>0</v>
      </c>
      <c r="AK451" s="437">
        <f t="shared" si="189"/>
        <v>0</v>
      </c>
      <c r="AL451" s="437">
        <f t="shared" si="190"/>
        <v>0</v>
      </c>
      <c r="AM451" s="437">
        <f t="shared" si="191"/>
        <v>2653.15</v>
      </c>
      <c r="AN451" s="437">
        <f t="shared" si="162"/>
        <v>404.685</v>
      </c>
      <c r="AO451" s="437">
        <f t="shared" si="163"/>
        <v>0</v>
      </c>
      <c r="AP451" s="437">
        <f t="shared" si="159"/>
        <v>4046.85</v>
      </c>
      <c r="AQ451" s="437">
        <f t="shared" si="159"/>
        <v>0</v>
      </c>
      <c r="AR451" s="436"/>
      <c r="AS451" s="437">
        <f t="shared" si="165"/>
        <v>4046.85</v>
      </c>
    </row>
    <row r="452" spans="1:45" s="438" customFormat="1" ht="24.95" customHeight="1">
      <c r="A452" s="1134"/>
      <c r="B452" s="1134"/>
      <c r="C452" s="1139"/>
      <c r="D452" s="1134"/>
      <c r="E452" s="1172"/>
      <c r="F452" s="1134"/>
      <c r="G452" s="1112"/>
      <c r="H452" s="1112"/>
      <c r="I452" s="1134"/>
      <c r="J452" s="1134"/>
      <c r="K452" s="1112"/>
      <c r="L452" s="449">
        <f>(G451+H452)*L451</f>
        <v>527.85</v>
      </c>
      <c r="M452" s="1140"/>
      <c r="N452" s="1112"/>
      <c r="O452" s="1112"/>
      <c r="P452" s="1112"/>
      <c r="Q452" s="1112"/>
      <c r="R452" s="1138"/>
      <c r="S452" s="1112"/>
      <c r="T452" s="1134"/>
      <c r="U452" s="1138"/>
      <c r="V452" s="1112"/>
      <c r="W452" s="1112"/>
      <c r="X452" s="1112"/>
      <c r="Y452" s="1112"/>
      <c r="Z452" s="1112"/>
      <c r="AA452" s="1109"/>
      <c r="AB452" s="1109"/>
      <c r="AC452" s="1112"/>
      <c r="AD452" s="1112"/>
      <c r="AE452" s="436">
        <f t="shared" si="184"/>
        <v>0</v>
      </c>
      <c r="AF452" s="436">
        <f t="shared" si="185"/>
        <v>0</v>
      </c>
      <c r="AG452" s="436">
        <f t="shared" si="186"/>
        <v>0</v>
      </c>
      <c r="AH452" s="436">
        <f t="shared" si="187"/>
        <v>0</v>
      </c>
      <c r="AI452" s="436">
        <f t="shared" si="188"/>
        <v>0</v>
      </c>
      <c r="AJ452" s="436">
        <f t="shared" si="188"/>
        <v>0</v>
      </c>
      <c r="AK452" s="437">
        <f t="shared" si="189"/>
        <v>0</v>
      </c>
      <c r="AL452" s="437">
        <f t="shared" si="190"/>
        <v>0</v>
      </c>
      <c r="AM452" s="437">
        <f t="shared" si="191"/>
        <v>0</v>
      </c>
      <c r="AN452" s="437">
        <f t="shared" si="162"/>
        <v>0</v>
      </c>
      <c r="AO452" s="437">
        <f t="shared" si="163"/>
        <v>0</v>
      </c>
      <c r="AP452" s="437">
        <f t="shared" si="159"/>
        <v>0</v>
      </c>
      <c r="AQ452" s="437">
        <f t="shared" si="159"/>
        <v>0</v>
      </c>
      <c r="AR452" s="436"/>
      <c r="AS452" s="437">
        <f t="shared" si="165"/>
        <v>0</v>
      </c>
    </row>
    <row r="453" spans="1:45" s="438" customFormat="1" ht="24.95" customHeight="1">
      <c r="A453" s="1134"/>
      <c r="B453" s="1134"/>
      <c r="C453" s="1139" t="s">
        <v>735</v>
      </c>
      <c r="D453" s="1134"/>
      <c r="E453" s="1134" t="s">
        <v>747</v>
      </c>
      <c r="F453" s="1134">
        <v>3</v>
      </c>
      <c r="G453" s="1112">
        <v>3519</v>
      </c>
      <c r="H453" s="1112"/>
      <c r="I453" s="1138"/>
      <c r="J453" s="1138"/>
      <c r="K453" s="1112"/>
      <c r="L453" s="435">
        <v>0.15</v>
      </c>
      <c r="M453" s="1140"/>
      <c r="N453" s="1112">
        <f>G453+H454+L454</f>
        <v>4046.85</v>
      </c>
      <c r="O453" s="1112">
        <v>1</v>
      </c>
      <c r="P453" s="1112"/>
      <c r="Q453" s="1112"/>
      <c r="R453" s="1138">
        <v>0.1</v>
      </c>
      <c r="S453" s="1112">
        <f>N453*R453</f>
        <v>404.685</v>
      </c>
      <c r="T453" s="1134"/>
      <c r="U453" s="1138"/>
      <c r="V453" s="1112"/>
      <c r="W453" s="1112">
        <f>AD453</f>
        <v>2653.15</v>
      </c>
      <c r="X453" s="1112">
        <f>(N453+V453+Q454+S453)*O453+W453</f>
        <v>7104.6849999999995</v>
      </c>
      <c r="Y453" s="1112"/>
      <c r="Z453" s="1112">
        <f>X453+Y453</f>
        <v>7104.6849999999995</v>
      </c>
      <c r="AA453" s="1109">
        <f t="shared" si="192"/>
        <v>7104.6849999999995</v>
      </c>
      <c r="AB453" s="1109">
        <f>AA453-X453</f>
        <v>0</v>
      </c>
      <c r="AC453" s="1112">
        <f>6700*O453</f>
        <v>6700</v>
      </c>
      <c r="AD453" s="1112">
        <f>AC453-(N453*O453)</f>
        <v>2653.15</v>
      </c>
      <c r="AE453" s="436">
        <f>G453*O453</f>
        <v>3519</v>
      </c>
      <c r="AF453" s="436">
        <f>G453*P453</f>
        <v>0</v>
      </c>
      <c r="AG453" s="436">
        <f>N453*O453</f>
        <v>4046.85</v>
      </c>
      <c r="AH453" s="436">
        <f>N453*P453</f>
        <v>0</v>
      </c>
      <c r="AI453" s="436">
        <f>AG453-AE453</f>
        <v>527.84999999999991</v>
      </c>
      <c r="AJ453" s="436">
        <f>AH453-AF453</f>
        <v>0</v>
      </c>
      <c r="AK453" s="437">
        <f>V453*O453</f>
        <v>0</v>
      </c>
      <c r="AL453" s="437">
        <f>V453*P453</f>
        <v>0</v>
      </c>
      <c r="AM453" s="437">
        <f>W453</f>
        <v>2653.15</v>
      </c>
      <c r="AN453" s="437">
        <f>S453*O453</f>
        <v>404.685</v>
      </c>
      <c r="AO453" s="437">
        <f>S453*P453</f>
        <v>0</v>
      </c>
      <c r="AP453" s="437">
        <f>AG453</f>
        <v>4046.85</v>
      </c>
      <c r="AQ453" s="437">
        <f>AH453</f>
        <v>0</v>
      </c>
      <c r="AR453" s="436"/>
      <c r="AS453" s="437">
        <f t="shared" si="165"/>
        <v>4046.85</v>
      </c>
    </row>
    <row r="454" spans="1:45" s="438" customFormat="1" ht="24.95" customHeight="1">
      <c r="A454" s="1134"/>
      <c r="B454" s="1134"/>
      <c r="C454" s="1139"/>
      <c r="D454" s="1134"/>
      <c r="E454" s="1134"/>
      <c r="F454" s="1134"/>
      <c r="G454" s="1112"/>
      <c r="H454" s="1112"/>
      <c r="I454" s="1134"/>
      <c r="J454" s="1134"/>
      <c r="K454" s="1112"/>
      <c r="L454" s="449">
        <f>(G453+H454)*L453</f>
        <v>527.85</v>
      </c>
      <c r="M454" s="1140"/>
      <c r="N454" s="1112"/>
      <c r="O454" s="1112"/>
      <c r="P454" s="1112"/>
      <c r="Q454" s="1112"/>
      <c r="R454" s="1138"/>
      <c r="S454" s="1112"/>
      <c r="T454" s="1134"/>
      <c r="U454" s="1138"/>
      <c r="V454" s="1112"/>
      <c r="W454" s="1112"/>
      <c r="X454" s="1112"/>
      <c r="Y454" s="1112"/>
      <c r="Z454" s="1112"/>
      <c r="AA454" s="1109"/>
      <c r="AB454" s="1109"/>
      <c r="AC454" s="1112"/>
      <c r="AD454" s="1112"/>
      <c r="AE454" s="436">
        <f>G454*O454</f>
        <v>0</v>
      </c>
      <c r="AF454" s="436">
        <f>G454*P454</f>
        <v>0</v>
      </c>
      <c r="AG454" s="436">
        <f>N454*O454</f>
        <v>0</v>
      </c>
      <c r="AH454" s="436">
        <f>N454*P454</f>
        <v>0</v>
      </c>
      <c r="AI454" s="436">
        <f>AG454-AE454</f>
        <v>0</v>
      </c>
      <c r="AJ454" s="436">
        <f>AH454-AF454</f>
        <v>0</v>
      </c>
      <c r="AK454" s="437">
        <f>V454*O454</f>
        <v>0</v>
      </c>
      <c r="AL454" s="437">
        <f>V454*P454</f>
        <v>0</v>
      </c>
      <c r="AM454" s="437">
        <f>W454</f>
        <v>0</v>
      </c>
      <c r="AN454" s="437">
        <f>S454*O454</f>
        <v>0</v>
      </c>
      <c r="AO454" s="437">
        <f>S454*P454</f>
        <v>0</v>
      </c>
      <c r="AP454" s="437">
        <f>AG454</f>
        <v>0</v>
      </c>
      <c r="AQ454" s="437">
        <f>AH454</f>
        <v>0</v>
      </c>
      <c r="AR454" s="436"/>
      <c r="AS454" s="437">
        <f t="shared" si="165"/>
        <v>0</v>
      </c>
    </row>
    <row r="455" spans="1:45" s="438" customFormat="1" ht="24.95" customHeight="1">
      <c r="A455" s="1134"/>
      <c r="B455" s="1134"/>
      <c r="C455" s="1139" t="s">
        <v>735</v>
      </c>
      <c r="D455" s="1134"/>
      <c r="E455" s="1171" t="s">
        <v>748</v>
      </c>
      <c r="F455" s="1134">
        <v>3</v>
      </c>
      <c r="G455" s="1112">
        <v>3519</v>
      </c>
      <c r="H455" s="1112"/>
      <c r="I455" s="1138"/>
      <c r="J455" s="1138"/>
      <c r="K455" s="1112"/>
      <c r="L455" s="435">
        <v>0.15</v>
      </c>
      <c r="M455" s="1140"/>
      <c r="N455" s="1112">
        <f>G455+H456+L456</f>
        <v>4046.85</v>
      </c>
      <c r="O455" s="1112">
        <v>1</v>
      </c>
      <c r="P455" s="1112"/>
      <c r="Q455" s="1112"/>
      <c r="R455" s="1138">
        <v>0.1</v>
      </c>
      <c r="S455" s="1112">
        <f>N455*R455</f>
        <v>404.685</v>
      </c>
      <c r="T455" s="1134"/>
      <c r="U455" s="1138"/>
      <c r="V455" s="1112"/>
      <c r="W455" s="1112">
        <f>AD455</f>
        <v>2653.15</v>
      </c>
      <c r="X455" s="1112">
        <f>(N455+V455+Q456+S455)*O455+W455</f>
        <v>7104.6849999999995</v>
      </c>
      <c r="Y455" s="1112"/>
      <c r="Z455" s="1112">
        <f>X455+Y455</f>
        <v>7104.6849999999995</v>
      </c>
      <c r="AA455" s="1109">
        <f t="shared" si="192"/>
        <v>7104.6849999999995</v>
      </c>
      <c r="AB455" s="1109">
        <f>AA455-X455</f>
        <v>0</v>
      </c>
      <c r="AC455" s="1112">
        <f>6700*O455</f>
        <v>6700</v>
      </c>
      <c r="AD455" s="1112">
        <f>AC455-(N455*O455)</f>
        <v>2653.15</v>
      </c>
      <c r="AE455" s="436">
        <f t="shared" si="184"/>
        <v>3519</v>
      </c>
      <c r="AF455" s="436">
        <f t="shared" si="185"/>
        <v>0</v>
      </c>
      <c r="AG455" s="436">
        <f t="shared" si="186"/>
        <v>4046.85</v>
      </c>
      <c r="AH455" s="436">
        <f t="shared" si="187"/>
        <v>0</v>
      </c>
      <c r="AI455" s="436">
        <f t="shared" si="188"/>
        <v>527.84999999999991</v>
      </c>
      <c r="AJ455" s="436">
        <f t="shared" si="188"/>
        <v>0</v>
      </c>
      <c r="AK455" s="437">
        <f t="shared" si="189"/>
        <v>0</v>
      </c>
      <c r="AL455" s="437">
        <f t="shared" si="190"/>
        <v>0</v>
      </c>
      <c r="AM455" s="437">
        <f t="shared" si="191"/>
        <v>2653.15</v>
      </c>
      <c r="AN455" s="437">
        <f t="shared" si="162"/>
        <v>404.685</v>
      </c>
      <c r="AO455" s="437">
        <f t="shared" si="163"/>
        <v>0</v>
      </c>
      <c r="AP455" s="437">
        <f t="shared" si="159"/>
        <v>4046.85</v>
      </c>
      <c r="AQ455" s="437">
        <f t="shared" si="159"/>
        <v>0</v>
      </c>
      <c r="AR455" s="436"/>
      <c r="AS455" s="437">
        <f t="shared" si="165"/>
        <v>4046.85</v>
      </c>
    </row>
    <row r="456" spans="1:45" s="438" customFormat="1" ht="24.95" customHeight="1">
      <c r="A456" s="1134"/>
      <c r="B456" s="1134"/>
      <c r="C456" s="1139"/>
      <c r="D456" s="1134"/>
      <c r="E456" s="1172"/>
      <c r="F456" s="1134"/>
      <c r="G456" s="1112"/>
      <c r="H456" s="1112"/>
      <c r="I456" s="1134"/>
      <c r="J456" s="1134"/>
      <c r="K456" s="1112"/>
      <c r="L456" s="449">
        <f>(G455+H456)*L455</f>
        <v>527.85</v>
      </c>
      <c r="M456" s="1140"/>
      <c r="N456" s="1112"/>
      <c r="O456" s="1112"/>
      <c r="P456" s="1112"/>
      <c r="Q456" s="1112"/>
      <c r="R456" s="1138"/>
      <c r="S456" s="1112"/>
      <c r="T456" s="1134"/>
      <c r="U456" s="1138"/>
      <c r="V456" s="1112"/>
      <c r="W456" s="1112"/>
      <c r="X456" s="1112"/>
      <c r="Y456" s="1112"/>
      <c r="Z456" s="1112"/>
      <c r="AA456" s="1109"/>
      <c r="AB456" s="1109"/>
      <c r="AC456" s="1112"/>
      <c r="AD456" s="1112"/>
      <c r="AE456" s="436">
        <f t="shared" si="184"/>
        <v>0</v>
      </c>
      <c r="AF456" s="436">
        <f t="shared" si="185"/>
        <v>0</v>
      </c>
      <c r="AG456" s="436">
        <f t="shared" si="186"/>
        <v>0</v>
      </c>
      <c r="AH456" s="436">
        <f t="shared" si="187"/>
        <v>0</v>
      </c>
      <c r="AI456" s="436">
        <f t="shared" si="188"/>
        <v>0</v>
      </c>
      <c r="AJ456" s="436">
        <f t="shared" si="188"/>
        <v>0</v>
      </c>
      <c r="AK456" s="437">
        <f t="shared" si="189"/>
        <v>0</v>
      </c>
      <c r="AL456" s="437">
        <f t="shared" si="190"/>
        <v>0</v>
      </c>
      <c r="AM456" s="437">
        <f t="shared" si="191"/>
        <v>0</v>
      </c>
      <c r="AN456" s="437">
        <f t="shared" si="162"/>
        <v>0</v>
      </c>
      <c r="AO456" s="437">
        <f t="shared" si="163"/>
        <v>0</v>
      </c>
      <c r="AP456" s="437">
        <f t="shared" si="159"/>
        <v>0</v>
      </c>
      <c r="AQ456" s="437">
        <f t="shared" si="159"/>
        <v>0</v>
      </c>
      <c r="AR456" s="436"/>
      <c r="AS456" s="437">
        <f t="shared" si="165"/>
        <v>0</v>
      </c>
    </row>
    <row r="457" spans="1:45" s="438" customFormat="1" ht="24.95" customHeight="1">
      <c r="A457" s="1134"/>
      <c r="B457" s="1134"/>
      <c r="C457" s="1139" t="s">
        <v>735</v>
      </c>
      <c r="D457" s="1134"/>
      <c r="E457" s="1134" t="s">
        <v>763</v>
      </c>
      <c r="F457" s="1134">
        <v>3</v>
      </c>
      <c r="G457" s="1112">
        <v>3519</v>
      </c>
      <c r="H457" s="1112"/>
      <c r="I457" s="1112"/>
      <c r="J457" s="1112"/>
      <c r="K457" s="1112"/>
      <c r="L457" s="435">
        <v>0.15</v>
      </c>
      <c r="M457" s="1112"/>
      <c r="N457" s="1112">
        <f>G457+H458+K458+L458</f>
        <v>4046.85</v>
      </c>
      <c r="O457" s="1112">
        <v>1</v>
      </c>
      <c r="P457" s="1140"/>
      <c r="Q457" s="1140"/>
      <c r="R457" s="1138">
        <v>0.1</v>
      </c>
      <c r="S457" s="1112">
        <f>N457*R457</f>
        <v>404.685</v>
      </c>
      <c r="T457" s="1134"/>
      <c r="U457" s="1138"/>
      <c r="V457" s="1112"/>
      <c r="W457" s="1112">
        <f>AD457</f>
        <v>2653.15</v>
      </c>
      <c r="X457" s="1112">
        <f>(N457+V457+Q458+S457)*O457+W457</f>
        <v>7104.6849999999995</v>
      </c>
      <c r="Y457" s="1112"/>
      <c r="Z457" s="1112">
        <f>X457+Y457</f>
        <v>7104.6849999999995</v>
      </c>
      <c r="AA457" s="1109">
        <f t="shared" si="192"/>
        <v>7104.6849999999995</v>
      </c>
      <c r="AB457" s="1109">
        <f>AA457-X457</f>
        <v>0</v>
      </c>
      <c r="AC457" s="1112">
        <f>6700*O457</f>
        <v>6700</v>
      </c>
      <c r="AD457" s="1112">
        <f>AC457-(N457*O457)</f>
        <v>2653.15</v>
      </c>
      <c r="AE457" s="436">
        <f t="shared" si="184"/>
        <v>3519</v>
      </c>
      <c r="AF457" s="436">
        <f t="shared" si="185"/>
        <v>0</v>
      </c>
      <c r="AG457" s="436">
        <f t="shared" si="186"/>
        <v>4046.85</v>
      </c>
      <c r="AH457" s="436">
        <f t="shared" si="187"/>
        <v>0</v>
      </c>
      <c r="AI457" s="436">
        <f t="shared" si="188"/>
        <v>527.84999999999991</v>
      </c>
      <c r="AJ457" s="436">
        <f t="shared" si="188"/>
        <v>0</v>
      </c>
      <c r="AK457" s="437">
        <f t="shared" si="189"/>
        <v>0</v>
      </c>
      <c r="AL457" s="437">
        <f t="shared" si="190"/>
        <v>0</v>
      </c>
      <c r="AM457" s="437">
        <f t="shared" si="191"/>
        <v>2653.15</v>
      </c>
      <c r="AN457" s="437">
        <f t="shared" si="162"/>
        <v>404.685</v>
      </c>
      <c r="AO457" s="437">
        <f t="shared" si="163"/>
        <v>0</v>
      </c>
      <c r="AP457" s="437">
        <f t="shared" si="159"/>
        <v>4046.85</v>
      </c>
      <c r="AQ457" s="437">
        <f t="shared" si="159"/>
        <v>0</v>
      </c>
      <c r="AR457" s="436"/>
      <c r="AS457" s="437">
        <f t="shared" si="165"/>
        <v>4046.85</v>
      </c>
    </row>
    <row r="458" spans="1:45" s="438" customFormat="1" ht="24.95" customHeight="1">
      <c r="A458" s="1134"/>
      <c r="B458" s="1134"/>
      <c r="C458" s="1139"/>
      <c r="D458" s="1134"/>
      <c r="E458" s="1134"/>
      <c r="F458" s="1134"/>
      <c r="G458" s="1112"/>
      <c r="H458" s="1112"/>
      <c r="I458" s="1112"/>
      <c r="J458" s="1112"/>
      <c r="K458" s="1112"/>
      <c r="L458" s="439">
        <f>G457*L457</f>
        <v>527.85</v>
      </c>
      <c r="M458" s="1112"/>
      <c r="N458" s="1112"/>
      <c r="O458" s="1112"/>
      <c r="P458" s="1140"/>
      <c r="Q458" s="1140"/>
      <c r="R458" s="1138"/>
      <c r="S458" s="1112"/>
      <c r="T458" s="1134"/>
      <c r="U458" s="1138"/>
      <c r="V458" s="1112"/>
      <c r="W458" s="1112"/>
      <c r="X458" s="1112"/>
      <c r="Y458" s="1112"/>
      <c r="Z458" s="1112"/>
      <c r="AA458" s="1109"/>
      <c r="AB458" s="1109"/>
      <c r="AC458" s="1112"/>
      <c r="AD458" s="1112"/>
      <c r="AE458" s="436">
        <f t="shared" si="184"/>
        <v>0</v>
      </c>
      <c r="AF458" s="436">
        <f t="shared" si="185"/>
        <v>0</v>
      </c>
      <c r="AG458" s="436">
        <f t="shared" si="186"/>
        <v>0</v>
      </c>
      <c r="AH458" s="436">
        <f t="shared" si="187"/>
        <v>0</v>
      </c>
      <c r="AI458" s="436">
        <f t="shared" si="188"/>
        <v>0</v>
      </c>
      <c r="AJ458" s="436">
        <f t="shared" si="188"/>
        <v>0</v>
      </c>
      <c r="AK458" s="437">
        <f t="shared" si="189"/>
        <v>0</v>
      </c>
      <c r="AL458" s="437">
        <f t="shared" si="190"/>
        <v>0</v>
      </c>
      <c r="AM458" s="437">
        <f t="shared" si="191"/>
        <v>0</v>
      </c>
      <c r="AN458" s="437">
        <f t="shared" si="162"/>
        <v>0</v>
      </c>
      <c r="AO458" s="437">
        <f t="shared" si="163"/>
        <v>0</v>
      </c>
      <c r="AP458" s="437">
        <f t="shared" si="159"/>
        <v>0</v>
      </c>
      <c r="AQ458" s="437">
        <f t="shared" si="159"/>
        <v>0</v>
      </c>
      <c r="AR458" s="436"/>
      <c r="AS458" s="437">
        <f t="shared" si="165"/>
        <v>0</v>
      </c>
    </row>
    <row r="459" spans="1:45" s="438" customFormat="1" ht="24.95" customHeight="1">
      <c r="A459" s="1134"/>
      <c r="B459" s="1134"/>
      <c r="C459" s="1139" t="s">
        <v>735</v>
      </c>
      <c r="D459" s="1134"/>
      <c r="E459" s="1134" t="s">
        <v>764</v>
      </c>
      <c r="F459" s="1134">
        <v>3</v>
      </c>
      <c r="G459" s="1112">
        <v>3519</v>
      </c>
      <c r="H459" s="1112"/>
      <c r="I459" s="1112"/>
      <c r="J459" s="1112"/>
      <c r="K459" s="1112"/>
      <c r="L459" s="435">
        <v>0.15</v>
      </c>
      <c r="M459" s="1112"/>
      <c r="N459" s="1112">
        <f>G459+H460+K460+L460</f>
        <v>4046.85</v>
      </c>
      <c r="O459" s="1112">
        <v>1</v>
      </c>
      <c r="P459" s="1112"/>
      <c r="Q459" s="1112"/>
      <c r="R459" s="1138">
        <v>0.1</v>
      </c>
      <c r="S459" s="1112">
        <f>N459*R459</f>
        <v>404.685</v>
      </c>
      <c r="T459" s="1134"/>
      <c r="U459" s="1138"/>
      <c r="V459" s="1112"/>
      <c r="W459" s="1112">
        <f>AD459</f>
        <v>2653.15</v>
      </c>
      <c r="X459" s="1112">
        <f>(N459+V459+Q460+S459)*O459+W459</f>
        <v>7104.6849999999995</v>
      </c>
      <c r="Y459" s="1112"/>
      <c r="Z459" s="1112">
        <f>X459+Y459</f>
        <v>7104.6849999999995</v>
      </c>
      <c r="AA459" s="1109">
        <f t="shared" si="192"/>
        <v>7104.6849999999995</v>
      </c>
      <c r="AB459" s="1109">
        <f>AA459-X459</f>
        <v>0</v>
      </c>
      <c r="AC459" s="1112">
        <f>6700*O459</f>
        <v>6700</v>
      </c>
      <c r="AD459" s="1112">
        <f>AC459-(N459*O459)</f>
        <v>2653.15</v>
      </c>
      <c r="AE459" s="436">
        <f t="shared" si="184"/>
        <v>3519</v>
      </c>
      <c r="AF459" s="436">
        <f t="shared" si="185"/>
        <v>0</v>
      </c>
      <c r="AG459" s="436">
        <f t="shared" si="186"/>
        <v>4046.85</v>
      </c>
      <c r="AH459" s="436">
        <f t="shared" si="187"/>
        <v>0</v>
      </c>
      <c r="AI459" s="436">
        <f t="shared" si="188"/>
        <v>527.84999999999991</v>
      </c>
      <c r="AJ459" s="436">
        <f t="shared" si="188"/>
        <v>0</v>
      </c>
      <c r="AK459" s="437">
        <f t="shared" si="189"/>
        <v>0</v>
      </c>
      <c r="AL459" s="437">
        <f t="shared" si="190"/>
        <v>0</v>
      </c>
      <c r="AM459" s="437">
        <f t="shared" si="191"/>
        <v>2653.15</v>
      </c>
      <c r="AN459" s="437">
        <f t="shared" si="162"/>
        <v>404.685</v>
      </c>
      <c r="AO459" s="437">
        <f t="shared" si="163"/>
        <v>0</v>
      </c>
      <c r="AP459" s="437">
        <f t="shared" si="159"/>
        <v>4046.85</v>
      </c>
      <c r="AQ459" s="437">
        <f t="shared" si="159"/>
        <v>0</v>
      </c>
      <c r="AR459" s="436"/>
      <c r="AS459" s="437">
        <f t="shared" si="165"/>
        <v>4046.85</v>
      </c>
    </row>
    <row r="460" spans="1:45" s="438" customFormat="1" ht="24.95" customHeight="1">
      <c r="A460" s="1134"/>
      <c r="B460" s="1134"/>
      <c r="C460" s="1139"/>
      <c r="D460" s="1134"/>
      <c r="E460" s="1134"/>
      <c r="F460" s="1134"/>
      <c r="G460" s="1112"/>
      <c r="H460" s="1112"/>
      <c r="I460" s="1112"/>
      <c r="J460" s="1112"/>
      <c r="K460" s="1112"/>
      <c r="L460" s="439">
        <f>G459*L459</f>
        <v>527.85</v>
      </c>
      <c r="M460" s="1112"/>
      <c r="N460" s="1112"/>
      <c r="O460" s="1112"/>
      <c r="P460" s="1112"/>
      <c r="Q460" s="1112"/>
      <c r="R460" s="1138"/>
      <c r="S460" s="1112"/>
      <c r="T460" s="1134"/>
      <c r="U460" s="1138"/>
      <c r="V460" s="1112"/>
      <c r="W460" s="1112"/>
      <c r="X460" s="1112"/>
      <c r="Y460" s="1112"/>
      <c r="Z460" s="1112"/>
      <c r="AA460" s="1109"/>
      <c r="AB460" s="1109"/>
      <c r="AC460" s="1112"/>
      <c r="AD460" s="1112"/>
      <c r="AE460" s="436">
        <f t="shared" si="184"/>
        <v>0</v>
      </c>
      <c r="AF460" s="436">
        <f t="shared" si="185"/>
        <v>0</v>
      </c>
      <c r="AG460" s="436">
        <f t="shared" si="186"/>
        <v>0</v>
      </c>
      <c r="AH460" s="436">
        <f t="shared" si="187"/>
        <v>0</v>
      </c>
      <c r="AI460" s="436">
        <f t="shared" si="188"/>
        <v>0</v>
      </c>
      <c r="AJ460" s="436">
        <f t="shared" si="188"/>
        <v>0</v>
      </c>
      <c r="AK460" s="437">
        <f t="shared" si="189"/>
        <v>0</v>
      </c>
      <c r="AL460" s="437">
        <f t="shared" si="190"/>
        <v>0</v>
      </c>
      <c r="AM460" s="437">
        <f t="shared" si="191"/>
        <v>0</v>
      </c>
      <c r="AN460" s="437">
        <f t="shared" si="162"/>
        <v>0</v>
      </c>
      <c r="AO460" s="437">
        <f t="shared" si="163"/>
        <v>0</v>
      </c>
      <c r="AP460" s="437">
        <f t="shared" si="159"/>
        <v>0</v>
      </c>
      <c r="AQ460" s="437">
        <f t="shared" si="159"/>
        <v>0</v>
      </c>
      <c r="AR460" s="436"/>
      <c r="AS460" s="437">
        <f t="shared" si="165"/>
        <v>0</v>
      </c>
    </row>
    <row r="461" spans="1:45" s="438" customFormat="1" ht="24.95" customHeight="1">
      <c r="A461" s="1134"/>
      <c r="B461" s="1134"/>
      <c r="C461" s="1139" t="s">
        <v>735</v>
      </c>
      <c r="D461" s="1134"/>
      <c r="E461" s="1134" t="s">
        <v>765</v>
      </c>
      <c r="F461" s="1134">
        <v>3</v>
      </c>
      <c r="G461" s="1112">
        <v>3519</v>
      </c>
      <c r="H461" s="1112"/>
      <c r="I461" s="1112"/>
      <c r="J461" s="1112"/>
      <c r="K461" s="1112"/>
      <c r="L461" s="435">
        <v>0.15</v>
      </c>
      <c r="M461" s="1112"/>
      <c r="N461" s="1112">
        <f>G461+H462+K462+L462</f>
        <v>4046.85</v>
      </c>
      <c r="O461" s="1112">
        <v>1</v>
      </c>
      <c r="P461" s="1112"/>
      <c r="Q461" s="1112"/>
      <c r="R461" s="1138">
        <v>0.1</v>
      </c>
      <c r="S461" s="1112">
        <f>N461*R461</f>
        <v>404.685</v>
      </c>
      <c r="T461" s="1134"/>
      <c r="U461" s="1138"/>
      <c r="V461" s="1112"/>
      <c r="W461" s="1112">
        <f>AD461</f>
        <v>2653.15</v>
      </c>
      <c r="X461" s="1112">
        <f>(N461+V461+Q462+S461)*O461+W461</f>
        <v>7104.6849999999995</v>
      </c>
      <c r="Y461" s="1112"/>
      <c r="Z461" s="1112">
        <f>X461+Y461</f>
        <v>7104.6849999999995</v>
      </c>
      <c r="AA461" s="1109">
        <f t="shared" si="192"/>
        <v>7104.6849999999995</v>
      </c>
      <c r="AB461" s="1109">
        <f>AA461-X461</f>
        <v>0</v>
      </c>
      <c r="AC461" s="1112">
        <f>6700*O461</f>
        <v>6700</v>
      </c>
      <c r="AD461" s="1112">
        <f>AC461-(N461*O461)</f>
        <v>2653.15</v>
      </c>
      <c r="AE461" s="436">
        <f t="shared" si="184"/>
        <v>3519</v>
      </c>
      <c r="AF461" s="436">
        <f t="shared" si="185"/>
        <v>0</v>
      </c>
      <c r="AG461" s="436">
        <f t="shared" si="186"/>
        <v>4046.85</v>
      </c>
      <c r="AH461" s="436">
        <f t="shared" si="187"/>
        <v>0</v>
      </c>
      <c r="AI461" s="436">
        <f t="shared" si="188"/>
        <v>527.84999999999991</v>
      </c>
      <c r="AJ461" s="436">
        <f t="shared" si="188"/>
        <v>0</v>
      </c>
      <c r="AK461" s="437">
        <f t="shared" si="189"/>
        <v>0</v>
      </c>
      <c r="AL461" s="437">
        <f t="shared" si="190"/>
        <v>0</v>
      </c>
      <c r="AM461" s="437">
        <f t="shared" si="191"/>
        <v>2653.15</v>
      </c>
      <c r="AN461" s="437">
        <f t="shared" si="162"/>
        <v>404.685</v>
      </c>
      <c r="AO461" s="437">
        <f t="shared" si="163"/>
        <v>0</v>
      </c>
      <c r="AP461" s="437">
        <f t="shared" si="159"/>
        <v>4046.85</v>
      </c>
      <c r="AQ461" s="437">
        <f t="shared" si="159"/>
        <v>0</v>
      </c>
      <c r="AR461" s="436"/>
      <c r="AS461" s="437">
        <f t="shared" si="165"/>
        <v>4046.85</v>
      </c>
    </row>
    <row r="462" spans="1:45" s="438" customFormat="1" ht="24.95" customHeight="1">
      <c r="A462" s="1134"/>
      <c r="B462" s="1134"/>
      <c r="C462" s="1139"/>
      <c r="D462" s="1134"/>
      <c r="E462" s="1134"/>
      <c r="F462" s="1134"/>
      <c r="G462" s="1112"/>
      <c r="H462" s="1112"/>
      <c r="I462" s="1112"/>
      <c r="J462" s="1112"/>
      <c r="K462" s="1112"/>
      <c r="L462" s="439">
        <f>G461*L461</f>
        <v>527.85</v>
      </c>
      <c r="M462" s="1112"/>
      <c r="N462" s="1112"/>
      <c r="O462" s="1112"/>
      <c r="P462" s="1112"/>
      <c r="Q462" s="1112"/>
      <c r="R462" s="1138"/>
      <c r="S462" s="1112"/>
      <c r="T462" s="1134"/>
      <c r="U462" s="1138"/>
      <c r="V462" s="1112"/>
      <c r="W462" s="1112"/>
      <c r="X462" s="1112"/>
      <c r="Y462" s="1112"/>
      <c r="Z462" s="1112"/>
      <c r="AA462" s="1109"/>
      <c r="AB462" s="1109"/>
      <c r="AC462" s="1112"/>
      <c r="AD462" s="1112"/>
      <c r="AE462" s="436">
        <f t="shared" si="184"/>
        <v>0</v>
      </c>
      <c r="AF462" s="436">
        <f t="shared" si="185"/>
        <v>0</v>
      </c>
      <c r="AG462" s="436">
        <f t="shared" si="186"/>
        <v>0</v>
      </c>
      <c r="AH462" s="436">
        <f t="shared" si="187"/>
        <v>0</v>
      </c>
      <c r="AI462" s="436">
        <f t="shared" si="188"/>
        <v>0</v>
      </c>
      <c r="AJ462" s="436">
        <f t="shared" si="188"/>
        <v>0</v>
      </c>
      <c r="AK462" s="437">
        <f t="shared" si="189"/>
        <v>0</v>
      </c>
      <c r="AL462" s="437">
        <f t="shared" si="190"/>
        <v>0</v>
      </c>
      <c r="AM462" s="437">
        <f t="shared" si="191"/>
        <v>0</v>
      </c>
      <c r="AN462" s="437">
        <f t="shared" si="162"/>
        <v>0</v>
      </c>
      <c r="AO462" s="437">
        <f t="shared" si="163"/>
        <v>0</v>
      </c>
      <c r="AP462" s="437">
        <f t="shared" si="159"/>
        <v>0</v>
      </c>
      <c r="AQ462" s="437">
        <f t="shared" si="159"/>
        <v>0</v>
      </c>
      <c r="AR462" s="436"/>
      <c r="AS462" s="437">
        <f t="shared" si="165"/>
        <v>0</v>
      </c>
    </row>
    <row r="463" spans="1:45" s="438" customFormat="1" ht="24.95" customHeight="1">
      <c r="A463" s="1134"/>
      <c r="B463" s="1134"/>
      <c r="C463" s="1139" t="s">
        <v>735</v>
      </c>
      <c r="D463" s="1134"/>
      <c r="E463" s="1134" t="s">
        <v>766</v>
      </c>
      <c r="F463" s="1134">
        <v>3</v>
      </c>
      <c r="G463" s="1112">
        <v>3519</v>
      </c>
      <c r="H463" s="1112"/>
      <c r="I463" s="1112"/>
      <c r="J463" s="1112"/>
      <c r="K463" s="1112"/>
      <c r="L463" s="435">
        <v>0.15</v>
      </c>
      <c r="M463" s="1112"/>
      <c r="N463" s="1112">
        <f>G463+H464+K464+L464</f>
        <v>4046.85</v>
      </c>
      <c r="O463" s="1112">
        <v>1</v>
      </c>
      <c r="P463" s="1112"/>
      <c r="Q463" s="1112"/>
      <c r="R463" s="1138">
        <v>0.1</v>
      </c>
      <c r="S463" s="1112">
        <f>N463*R463</f>
        <v>404.685</v>
      </c>
      <c r="T463" s="1134"/>
      <c r="U463" s="1138"/>
      <c r="V463" s="1112"/>
      <c r="W463" s="1112">
        <f>AD463</f>
        <v>2653.15</v>
      </c>
      <c r="X463" s="1112">
        <f>(N463+V463+Q464+S463)*O463+W463</f>
        <v>7104.6849999999995</v>
      </c>
      <c r="Y463" s="1112"/>
      <c r="Z463" s="1112">
        <f>X463+Y463</f>
        <v>7104.6849999999995</v>
      </c>
      <c r="AA463" s="1109">
        <f t="shared" si="192"/>
        <v>7104.6849999999995</v>
      </c>
      <c r="AB463" s="1109">
        <f>AA463-X463</f>
        <v>0</v>
      </c>
      <c r="AC463" s="1112">
        <f>6700*O463</f>
        <v>6700</v>
      </c>
      <c r="AD463" s="1112">
        <f>AC463-(N463*O463)</f>
        <v>2653.15</v>
      </c>
      <c r="AE463" s="436">
        <f t="shared" si="184"/>
        <v>3519</v>
      </c>
      <c r="AF463" s="436">
        <f t="shared" si="185"/>
        <v>0</v>
      </c>
      <c r="AG463" s="436">
        <f t="shared" si="186"/>
        <v>4046.85</v>
      </c>
      <c r="AH463" s="436">
        <f t="shared" si="187"/>
        <v>0</v>
      </c>
      <c r="AI463" s="436">
        <f t="shared" si="188"/>
        <v>527.84999999999991</v>
      </c>
      <c r="AJ463" s="436">
        <f t="shared" si="188"/>
        <v>0</v>
      </c>
      <c r="AK463" s="437">
        <f t="shared" si="189"/>
        <v>0</v>
      </c>
      <c r="AL463" s="437">
        <f t="shared" si="190"/>
        <v>0</v>
      </c>
      <c r="AM463" s="437">
        <f t="shared" si="191"/>
        <v>2653.15</v>
      </c>
      <c r="AN463" s="437">
        <f t="shared" si="162"/>
        <v>404.685</v>
      </c>
      <c r="AO463" s="437">
        <f t="shared" si="163"/>
        <v>0</v>
      </c>
      <c r="AP463" s="437">
        <f t="shared" si="159"/>
        <v>4046.85</v>
      </c>
      <c r="AQ463" s="437">
        <f t="shared" si="159"/>
        <v>0</v>
      </c>
      <c r="AR463" s="436"/>
      <c r="AS463" s="437">
        <f t="shared" si="165"/>
        <v>4046.85</v>
      </c>
    </row>
    <row r="464" spans="1:45" s="438" customFormat="1" ht="24.95" customHeight="1">
      <c r="A464" s="1134"/>
      <c r="B464" s="1134"/>
      <c r="C464" s="1139"/>
      <c r="D464" s="1134"/>
      <c r="E464" s="1134"/>
      <c r="F464" s="1134"/>
      <c r="G464" s="1112"/>
      <c r="H464" s="1112"/>
      <c r="I464" s="1112"/>
      <c r="J464" s="1112"/>
      <c r="K464" s="1112"/>
      <c r="L464" s="439">
        <f>G463*L463</f>
        <v>527.85</v>
      </c>
      <c r="M464" s="1112"/>
      <c r="N464" s="1112"/>
      <c r="O464" s="1112"/>
      <c r="P464" s="1112"/>
      <c r="Q464" s="1112"/>
      <c r="R464" s="1138"/>
      <c r="S464" s="1112"/>
      <c r="T464" s="1134"/>
      <c r="U464" s="1138"/>
      <c r="V464" s="1112"/>
      <c r="W464" s="1112"/>
      <c r="X464" s="1112"/>
      <c r="Y464" s="1112"/>
      <c r="Z464" s="1112"/>
      <c r="AA464" s="1109"/>
      <c r="AB464" s="1109"/>
      <c r="AC464" s="1112"/>
      <c r="AD464" s="1112"/>
      <c r="AE464" s="436">
        <f t="shared" si="184"/>
        <v>0</v>
      </c>
      <c r="AF464" s="436">
        <f t="shared" si="185"/>
        <v>0</v>
      </c>
      <c r="AG464" s="436">
        <f t="shared" si="186"/>
        <v>0</v>
      </c>
      <c r="AH464" s="436">
        <f t="shared" si="187"/>
        <v>0</v>
      </c>
      <c r="AI464" s="436">
        <f t="shared" si="188"/>
        <v>0</v>
      </c>
      <c r="AJ464" s="436">
        <f t="shared" si="188"/>
        <v>0</v>
      </c>
      <c r="AK464" s="437">
        <f t="shared" si="189"/>
        <v>0</v>
      </c>
      <c r="AL464" s="437">
        <f t="shared" si="190"/>
        <v>0</v>
      </c>
      <c r="AM464" s="437">
        <f t="shared" si="191"/>
        <v>0</v>
      </c>
      <c r="AN464" s="437">
        <f t="shared" si="162"/>
        <v>0</v>
      </c>
      <c r="AO464" s="437">
        <f t="shared" si="163"/>
        <v>0</v>
      </c>
      <c r="AP464" s="437">
        <f t="shared" si="159"/>
        <v>0</v>
      </c>
      <c r="AQ464" s="437">
        <f t="shared" si="159"/>
        <v>0</v>
      </c>
      <c r="AR464" s="436"/>
      <c r="AS464" s="437">
        <f t="shared" si="165"/>
        <v>0</v>
      </c>
    </row>
    <row r="465" spans="1:46" s="438" customFormat="1" ht="24.95" customHeight="1">
      <c r="A465" s="1134"/>
      <c r="B465" s="1134"/>
      <c r="C465" s="1139" t="s">
        <v>735</v>
      </c>
      <c r="D465" s="1134"/>
      <c r="E465" s="1134" t="s">
        <v>762</v>
      </c>
      <c r="F465" s="1134">
        <v>3</v>
      </c>
      <c r="G465" s="1112">
        <v>3519</v>
      </c>
      <c r="H465" s="1112"/>
      <c r="I465" s="1140"/>
      <c r="J465" s="1140"/>
      <c r="K465" s="1140"/>
      <c r="L465" s="435">
        <v>0.15</v>
      </c>
      <c r="M465" s="1140"/>
      <c r="N465" s="1112">
        <f>G465+H466+K466+L466</f>
        <v>4046.85</v>
      </c>
      <c r="O465" s="1112">
        <v>1</v>
      </c>
      <c r="P465" s="1140"/>
      <c r="Q465" s="1140"/>
      <c r="R465" s="1138">
        <v>0.1</v>
      </c>
      <c r="S465" s="1112">
        <f>N465*R465</f>
        <v>404.685</v>
      </c>
      <c r="T465" s="1134"/>
      <c r="U465" s="1138"/>
      <c r="V465" s="1112"/>
      <c r="W465" s="1112">
        <f>AD465</f>
        <v>2653.15</v>
      </c>
      <c r="X465" s="1112">
        <f>(N465+V465+Q466+S465)*O465+W465</f>
        <v>7104.6849999999995</v>
      </c>
      <c r="Y465" s="1112"/>
      <c r="Z465" s="1112">
        <f>X465+Y465</f>
        <v>7104.6849999999995</v>
      </c>
      <c r="AA465" s="1109">
        <f t="shared" si="192"/>
        <v>7104.6849999999995</v>
      </c>
      <c r="AB465" s="1109">
        <f>AA465-X465</f>
        <v>0</v>
      </c>
      <c r="AC465" s="1112">
        <f>6700*O465</f>
        <v>6700</v>
      </c>
      <c r="AD465" s="1112">
        <f>AC465-(N465*O465)</f>
        <v>2653.15</v>
      </c>
      <c r="AE465" s="436">
        <f t="shared" si="184"/>
        <v>3519</v>
      </c>
      <c r="AF465" s="436">
        <f t="shared" si="185"/>
        <v>0</v>
      </c>
      <c r="AG465" s="436">
        <f t="shared" si="186"/>
        <v>4046.85</v>
      </c>
      <c r="AH465" s="436">
        <f t="shared" si="187"/>
        <v>0</v>
      </c>
      <c r="AI465" s="436">
        <f t="shared" si="188"/>
        <v>527.84999999999991</v>
      </c>
      <c r="AJ465" s="436">
        <f t="shared" si="188"/>
        <v>0</v>
      </c>
      <c r="AK465" s="437">
        <f t="shared" si="189"/>
        <v>0</v>
      </c>
      <c r="AL465" s="437">
        <f t="shared" si="190"/>
        <v>0</v>
      </c>
      <c r="AM465" s="437">
        <f t="shared" si="191"/>
        <v>2653.15</v>
      </c>
      <c r="AN465" s="437">
        <f>S465*O465</f>
        <v>404.685</v>
      </c>
      <c r="AO465" s="437">
        <f>S465*P465</f>
        <v>0</v>
      </c>
      <c r="AP465" s="437">
        <f>AG465</f>
        <v>4046.85</v>
      </c>
      <c r="AQ465" s="437">
        <f>AH465</f>
        <v>0</v>
      </c>
      <c r="AR465" s="436"/>
      <c r="AS465" s="437">
        <f t="shared" si="165"/>
        <v>4046.85</v>
      </c>
    </row>
    <row r="466" spans="1:46" s="438" customFormat="1" ht="24.95" customHeight="1">
      <c r="A466" s="1134"/>
      <c r="B466" s="1134"/>
      <c r="C466" s="1139"/>
      <c r="D466" s="1134"/>
      <c r="E466" s="1134"/>
      <c r="F466" s="1134"/>
      <c r="G466" s="1112"/>
      <c r="H466" s="1112"/>
      <c r="I466" s="1140"/>
      <c r="J466" s="1140"/>
      <c r="K466" s="1140"/>
      <c r="L466" s="439">
        <f>(G465+H466)*L465</f>
        <v>527.85</v>
      </c>
      <c r="M466" s="1140"/>
      <c r="N466" s="1112"/>
      <c r="O466" s="1112"/>
      <c r="P466" s="1140"/>
      <c r="Q466" s="1140"/>
      <c r="R466" s="1138"/>
      <c r="S466" s="1112"/>
      <c r="T466" s="1134"/>
      <c r="U466" s="1138"/>
      <c r="V466" s="1112"/>
      <c r="W466" s="1112"/>
      <c r="X466" s="1112"/>
      <c r="Y466" s="1112"/>
      <c r="Z466" s="1112"/>
      <c r="AA466" s="1109"/>
      <c r="AB466" s="1109"/>
      <c r="AC466" s="1112"/>
      <c r="AD466" s="1112"/>
      <c r="AE466" s="436">
        <f t="shared" si="184"/>
        <v>0</v>
      </c>
      <c r="AF466" s="436">
        <f t="shared" si="185"/>
        <v>0</v>
      </c>
      <c r="AG466" s="436">
        <f t="shared" si="186"/>
        <v>0</v>
      </c>
      <c r="AH466" s="436">
        <f t="shared" si="187"/>
        <v>0</v>
      </c>
      <c r="AI466" s="436">
        <f t="shared" si="188"/>
        <v>0</v>
      </c>
      <c r="AJ466" s="436">
        <f t="shared" si="188"/>
        <v>0</v>
      </c>
      <c r="AK466" s="437">
        <f t="shared" si="189"/>
        <v>0</v>
      </c>
      <c r="AL466" s="437">
        <f t="shared" si="190"/>
        <v>0</v>
      </c>
      <c r="AM466" s="437">
        <f t="shared" si="191"/>
        <v>0</v>
      </c>
      <c r="AN466" s="437">
        <f>S466*O466</f>
        <v>0</v>
      </c>
      <c r="AO466" s="437">
        <f>S466*P466</f>
        <v>0</v>
      </c>
      <c r="AP466" s="437">
        <f>AG466</f>
        <v>0</v>
      </c>
      <c r="AQ466" s="437">
        <f>AH466</f>
        <v>0</v>
      </c>
      <c r="AR466" s="436"/>
      <c r="AS466" s="437">
        <f t="shared" si="165"/>
        <v>0</v>
      </c>
    </row>
    <row r="467" spans="1:46" s="438" customFormat="1" ht="24.95" customHeight="1">
      <c r="A467" s="1134"/>
      <c r="B467" s="1134"/>
      <c r="C467" s="1139" t="s">
        <v>735</v>
      </c>
      <c r="D467" s="1134"/>
      <c r="E467" s="1134" t="s">
        <v>759</v>
      </c>
      <c r="F467" s="1134">
        <v>3</v>
      </c>
      <c r="G467" s="1112">
        <v>3519</v>
      </c>
      <c r="H467" s="1112"/>
      <c r="I467" s="1140"/>
      <c r="J467" s="1140"/>
      <c r="K467" s="1140"/>
      <c r="L467" s="435">
        <v>0.15</v>
      </c>
      <c r="M467" s="1140"/>
      <c r="N467" s="1112">
        <f>G467+H468+K468+L468</f>
        <v>4046.85</v>
      </c>
      <c r="O467" s="1112">
        <v>1</v>
      </c>
      <c r="P467" s="1140"/>
      <c r="Q467" s="1140"/>
      <c r="R467" s="1138">
        <v>0.1</v>
      </c>
      <c r="S467" s="1112">
        <f>N467*R467</f>
        <v>404.685</v>
      </c>
      <c r="T467" s="1134"/>
      <c r="U467" s="1138"/>
      <c r="V467" s="1112"/>
      <c r="W467" s="1112">
        <f>AD467</f>
        <v>2653.15</v>
      </c>
      <c r="X467" s="1112">
        <f>(N467+V467+Q468+S467)*O467+W467</f>
        <v>7104.6849999999995</v>
      </c>
      <c r="Y467" s="1112"/>
      <c r="Z467" s="1112">
        <f>X467+Y467</f>
        <v>7104.6849999999995</v>
      </c>
      <c r="AA467" s="1109">
        <f t="shared" si="192"/>
        <v>7104.6849999999995</v>
      </c>
      <c r="AB467" s="1109">
        <f>AA467-X467</f>
        <v>0</v>
      </c>
      <c r="AC467" s="1112">
        <f>6700*O467</f>
        <v>6700</v>
      </c>
      <c r="AD467" s="1112">
        <f>AC467-(N467*O467)</f>
        <v>2653.15</v>
      </c>
      <c r="AE467" s="436">
        <f>G467*O467</f>
        <v>3519</v>
      </c>
      <c r="AF467" s="436">
        <f>G467*P467</f>
        <v>0</v>
      </c>
      <c r="AG467" s="436">
        <f>N467*O467</f>
        <v>4046.85</v>
      </c>
      <c r="AH467" s="436">
        <f>N467*P467</f>
        <v>0</v>
      </c>
      <c r="AI467" s="436">
        <f>AG467-AE467</f>
        <v>527.84999999999991</v>
      </c>
      <c r="AJ467" s="436">
        <f>AH467-AF467</f>
        <v>0</v>
      </c>
      <c r="AK467" s="437">
        <f>V467*O467</f>
        <v>0</v>
      </c>
      <c r="AL467" s="437">
        <f>V467*P467</f>
        <v>0</v>
      </c>
      <c r="AM467" s="437">
        <f>W467</f>
        <v>2653.15</v>
      </c>
      <c r="AN467" s="437">
        <f t="shared" si="162"/>
        <v>404.685</v>
      </c>
      <c r="AO467" s="437">
        <f t="shared" si="163"/>
        <v>0</v>
      </c>
      <c r="AP467" s="437">
        <f t="shared" si="159"/>
        <v>4046.85</v>
      </c>
      <c r="AQ467" s="437">
        <f t="shared" si="159"/>
        <v>0</v>
      </c>
      <c r="AR467" s="436"/>
      <c r="AS467" s="437">
        <f t="shared" si="165"/>
        <v>4046.85</v>
      </c>
    </row>
    <row r="468" spans="1:46" s="438" customFormat="1" ht="24.95" customHeight="1">
      <c r="A468" s="1134"/>
      <c r="B468" s="1134"/>
      <c r="C468" s="1139"/>
      <c r="D468" s="1134"/>
      <c r="E468" s="1134"/>
      <c r="F468" s="1134"/>
      <c r="G468" s="1112"/>
      <c r="H468" s="1112"/>
      <c r="I468" s="1140"/>
      <c r="J468" s="1140"/>
      <c r="K468" s="1140"/>
      <c r="L468" s="439">
        <f>(G467+H468)*L467</f>
        <v>527.85</v>
      </c>
      <c r="M468" s="1140"/>
      <c r="N468" s="1112"/>
      <c r="O468" s="1112"/>
      <c r="P468" s="1140"/>
      <c r="Q468" s="1140"/>
      <c r="R468" s="1138"/>
      <c r="S468" s="1112"/>
      <c r="T468" s="1134"/>
      <c r="U468" s="1138"/>
      <c r="V468" s="1112"/>
      <c r="W468" s="1112"/>
      <c r="X468" s="1112"/>
      <c r="Y468" s="1112"/>
      <c r="Z468" s="1112"/>
      <c r="AA468" s="1109"/>
      <c r="AB468" s="1109"/>
      <c r="AC468" s="1112"/>
      <c r="AD468" s="1112"/>
      <c r="AE468" s="436">
        <f>G468*O468</f>
        <v>0</v>
      </c>
      <c r="AF468" s="436">
        <f>G468*P468</f>
        <v>0</v>
      </c>
      <c r="AG468" s="436">
        <f>N468*O468</f>
        <v>0</v>
      </c>
      <c r="AH468" s="436">
        <f>N468*P468</f>
        <v>0</v>
      </c>
      <c r="AI468" s="436">
        <f>AG468-AE468</f>
        <v>0</v>
      </c>
      <c r="AJ468" s="436">
        <f>AH468-AF468</f>
        <v>0</v>
      </c>
      <c r="AK468" s="437">
        <f>V468*O468</f>
        <v>0</v>
      </c>
      <c r="AL468" s="437">
        <f>V468*P468</f>
        <v>0</v>
      </c>
      <c r="AM468" s="437">
        <f>W468</f>
        <v>0</v>
      </c>
      <c r="AN468" s="437">
        <f t="shared" si="162"/>
        <v>0</v>
      </c>
      <c r="AO468" s="437">
        <f t="shared" si="163"/>
        <v>0</v>
      </c>
      <c r="AP468" s="437">
        <f t="shared" si="159"/>
        <v>0</v>
      </c>
      <c r="AQ468" s="437">
        <f t="shared" si="159"/>
        <v>0</v>
      </c>
      <c r="AR468" s="436"/>
      <c r="AS468" s="437">
        <f t="shared" si="165"/>
        <v>0</v>
      </c>
    </row>
    <row r="469" spans="1:46" s="446" customFormat="1" ht="24.95" customHeight="1">
      <c r="A469" s="441"/>
      <c r="B469" s="441"/>
      <c r="C469" s="442" t="s">
        <v>318</v>
      </c>
      <c r="D469" s="443"/>
      <c r="E469" s="441"/>
      <c r="F469" s="441"/>
      <c r="G469" s="444">
        <f>SUM(G447:G468)</f>
        <v>38709</v>
      </c>
      <c r="H469" s="441"/>
      <c r="I469" s="441"/>
      <c r="J469" s="441"/>
      <c r="K469" s="441"/>
      <c r="L469" s="444">
        <f>L448+L450+L452+L454+L456+L458+L460+L462+L464+L466+L468</f>
        <v>5806.3500000000013</v>
      </c>
      <c r="M469" s="441"/>
      <c r="N469" s="444">
        <f>SUM(N447:N468)</f>
        <v>44515.349999999991</v>
      </c>
      <c r="O469" s="444">
        <f t="shared" ref="O469:AN469" si="193">SUM(O447:O468)</f>
        <v>11</v>
      </c>
      <c r="P469" s="444">
        <f t="shared" si="193"/>
        <v>0</v>
      </c>
      <c r="Q469" s="444">
        <f t="shared" si="193"/>
        <v>0</v>
      </c>
      <c r="R469" s="444">
        <f t="shared" si="193"/>
        <v>1.0999999999999999</v>
      </c>
      <c r="S469" s="444">
        <f t="shared" si="193"/>
        <v>4451.5349999999999</v>
      </c>
      <c r="T469" s="444"/>
      <c r="U469" s="444"/>
      <c r="V469" s="444">
        <f t="shared" si="193"/>
        <v>0</v>
      </c>
      <c r="W469" s="444">
        <f t="shared" si="193"/>
        <v>29184.650000000005</v>
      </c>
      <c r="X469" s="444">
        <f t="shared" si="193"/>
        <v>78151.534999999989</v>
      </c>
      <c r="Y469" s="444">
        <f>SUM(Y447:Y468)</f>
        <v>0</v>
      </c>
      <c r="Z469" s="444">
        <f>SUM(Z447:Z468)</f>
        <v>78151.534999999989</v>
      </c>
      <c r="AA469" s="499">
        <f>SUM(AA447:AA468)</f>
        <v>78151.534999999989</v>
      </c>
      <c r="AB469" s="499">
        <f>SUM(AB447:AB468)</f>
        <v>0</v>
      </c>
      <c r="AC469" s="444">
        <f t="shared" si="193"/>
        <v>73700</v>
      </c>
      <c r="AD469" s="444">
        <f t="shared" si="193"/>
        <v>29184.650000000005</v>
      </c>
      <c r="AE469" s="444">
        <f t="shared" si="193"/>
        <v>38709</v>
      </c>
      <c r="AF469" s="444">
        <f t="shared" si="193"/>
        <v>0</v>
      </c>
      <c r="AG469" s="444">
        <f t="shared" si="193"/>
        <v>44515.349999999991</v>
      </c>
      <c r="AH469" s="444">
        <f t="shared" si="193"/>
        <v>0</v>
      </c>
      <c r="AI469" s="444">
        <f t="shared" si="193"/>
        <v>5806.35</v>
      </c>
      <c r="AJ469" s="444">
        <f t="shared" si="193"/>
        <v>0</v>
      </c>
      <c r="AK469" s="444">
        <f t="shared" si="193"/>
        <v>0</v>
      </c>
      <c r="AL469" s="444">
        <f t="shared" si="193"/>
        <v>0</v>
      </c>
      <c r="AM469" s="444">
        <f t="shared" si="193"/>
        <v>29184.650000000005</v>
      </c>
      <c r="AN469" s="444">
        <f t="shared" si="193"/>
        <v>4451.5349999999999</v>
      </c>
      <c r="AO469" s="444"/>
      <c r="AP469" s="444"/>
      <c r="AQ469" s="444"/>
      <c r="AR469" s="444"/>
      <c r="AS469" s="444"/>
      <c r="AT469" s="463"/>
    </row>
    <row r="470" spans="1:46" s="456" customFormat="1" ht="24.95" customHeight="1">
      <c r="A470" s="455"/>
      <c r="B470" s="455"/>
      <c r="C470" s="1136" t="s">
        <v>1028</v>
      </c>
      <c r="D470" s="1136"/>
      <c r="E470" s="455"/>
      <c r="F470" s="455"/>
      <c r="G470" s="455"/>
      <c r="H470" s="455"/>
      <c r="I470" s="455"/>
      <c r="J470" s="455"/>
      <c r="K470" s="455"/>
      <c r="L470" s="455"/>
      <c r="M470" s="455"/>
      <c r="N470" s="455"/>
      <c r="O470" s="455"/>
      <c r="P470" s="455"/>
      <c r="Q470" s="455"/>
      <c r="R470" s="455"/>
      <c r="S470" s="455"/>
      <c r="T470" s="455"/>
      <c r="U470" s="455"/>
      <c r="V470" s="455"/>
      <c r="W470" s="455"/>
      <c r="X470" s="455"/>
      <c r="Y470" s="455"/>
      <c r="Z470" s="455"/>
      <c r="AA470" s="504"/>
      <c r="AB470" s="504"/>
      <c r="AC470" s="455"/>
      <c r="AD470" s="455"/>
      <c r="AE470" s="436">
        <f t="shared" si="184"/>
        <v>0</v>
      </c>
      <c r="AF470" s="436">
        <f t="shared" si="185"/>
        <v>0</v>
      </c>
      <c r="AG470" s="436">
        <f t="shared" si="186"/>
        <v>0</v>
      </c>
      <c r="AH470" s="436">
        <f t="shared" si="187"/>
        <v>0</v>
      </c>
      <c r="AI470" s="436">
        <f t="shared" si="188"/>
        <v>0</v>
      </c>
      <c r="AJ470" s="436">
        <f t="shared" si="188"/>
        <v>0</v>
      </c>
      <c r="AK470" s="437">
        <f t="shared" si="189"/>
        <v>0</v>
      </c>
      <c r="AL470" s="437">
        <f t="shared" si="190"/>
        <v>0</v>
      </c>
      <c r="AM470" s="437">
        <f t="shared" si="191"/>
        <v>0</v>
      </c>
      <c r="AN470" s="437">
        <f t="shared" si="162"/>
        <v>0</v>
      </c>
      <c r="AO470" s="437">
        <f t="shared" si="163"/>
        <v>0</v>
      </c>
      <c r="AP470" s="437">
        <f t="shared" ref="AP470:AQ526" si="194">AG470</f>
        <v>0</v>
      </c>
      <c r="AQ470" s="437">
        <f t="shared" si="194"/>
        <v>0</v>
      </c>
      <c r="AR470" s="436"/>
      <c r="AS470" s="437">
        <f t="shared" ref="AS470:AS533" si="195">AP470+AQ470-AR470</f>
        <v>0</v>
      </c>
      <c r="AT470" s="463"/>
    </row>
    <row r="471" spans="1:46" s="438" customFormat="1" ht="24.95" customHeight="1">
      <c r="A471" s="1134"/>
      <c r="B471" s="1134"/>
      <c r="C471" s="1139" t="s">
        <v>735</v>
      </c>
      <c r="D471" s="1134"/>
      <c r="E471" s="1134"/>
      <c r="F471" s="1134"/>
      <c r="G471" s="1112"/>
      <c r="H471" s="1112"/>
      <c r="I471" s="1140"/>
      <c r="J471" s="1140"/>
      <c r="K471" s="1140"/>
      <c r="L471" s="1140"/>
      <c r="M471" s="1140"/>
      <c r="N471" s="1112"/>
      <c r="O471" s="1112"/>
      <c r="P471" s="1140"/>
      <c r="Q471" s="1140"/>
      <c r="R471" s="1138"/>
      <c r="S471" s="1112"/>
      <c r="T471" s="1134"/>
      <c r="U471" s="1138"/>
      <c r="V471" s="1112"/>
      <c r="W471" s="1112">
        <f>AD471</f>
        <v>0</v>
      </c>
      <c r="X471" s="1112">
        <f>(N471+V471+Q472+S471)*O471+W471</f>
        <v>0</v>
      </c>
      <c r="Y471" s="1112"/>
      <c r="Z471" s="1112">
        <f>X471+Y471</f>
        <v>0</v>
      </c>
      <c r="AA471" s="1109">
        <f t="shared" ref="AA471:AA479" si="196">Z471</f>
        <v>0</v>
      </c>
      <c r="AB471" s="1109">
        <f>AA471-X471</f>
        <v>0</v>
      </c>
      <c r="AC471" s="1112">
        <f>6700*O471</f>
        <v>0</v>
      </c>
      <c r="AD471" s="1112">
        <f>AC471-(N471*O471)</f>
        <v>0</v>
      </c>
      <c r="AE471" s="436">
        <f t="shared" si="184"/>
        <v>0</v>
      </c>
      <c r="AF471" s="436">
        <f t="shared" si="185"/>
        <v>0</v>
      </c>
      <c r="AG471" s="436">
        <f t="shared" si="186"/>
        <v>0</v>
      </c>
      <c r="AH471" s="436">
        <f t="shared" si="187"/>
        <v>0</v>
      </c>
      <c r="AI471" s="436">
        <f t="shared" si="188"/>
        <v>0</v>
      </c>
      <c r="AJ471" s="436">
        <f t="shared" si="188"/>
        <v>0</v>
      </c>
      <c r="AK471" s="437">
        <f t="shared" si="189"/>
        <v>0</v>
      </c>
      <c r="AL471" s="437">
        <f t="shared" si="190"/>
        <v>0</v>
      </c>
      <c r="AM471" s="437">
        <f t="shared" si="191"/>
        <v>0</v>
      </c>
      <c r="AN471" s="437">
        <f t="shared" si="162"/>
        <v>0</v>
      </c>
      <c r="AO471" s="437">
        <f t="shared" si="163"/>
        <v>0</v>
      </c>
      <c r="AP471" s="437">
        <f t="shared" si="194"/>
        <v>0</v>
      </c>
      <c r="AQ471" s="437">
        <f t="shared" si="194"/>
        <v>0</v>
      </c>
      <c r="AR471" s="436"/>
      <c r="AS471" s="437">
        <f t="shared" si="195"/>
        <v>0</v>
      </c>
    </row>
    <row r="472" spans="1:46" s="438" customFormat="1" ht="24.95" customHeight="1">
      <c r="A472" s="1134"/>
      <c r="B472" s="1134"/>
      <c r="C472" s="1139"/>
      <c r="D472" s="1134"/>
      <c r="E472" s="1134"/>
      <c r="F472" s="1134"/>
      <c r="G472" s="1112"/>
      <c r="H472" s="1112"/>
      <c r="I472" s="1140"/>
      <c r="J472" s="1140"/>
      <c r="K472" s="1140"/>
      <c r="L472" s="1140"/>
      <c r="M472" s="1140"/>
      <c r="N472" s="1112"/>
      <c r="O472" s="1112"/>
      <c r="P472" s="1140"/>
      <c r="Q472" s="1140"/>
      <c r="R472" s="1138"/>
      <c r="S472" s="1112"/>
      <c r="T472" s="1134"/>
      <c r="U472" s="1138"/>
      <c r="V472" s="1112"/>
      <c r="W472" s="1112"/>
      <c r="X472" s="1112"/>
      <c r="Y472" s="1112"/>
      <c r="Z472" s="1112"/>
      <c r="AA472" s="1109"/>
      <c r="AB472" s="1109"/>
      <c r="AC472" s="1112"/>
      <c r="AD472" s="1112"/>
      <c r="AE472" s="436">
        <f t="shared" si="184"/>
        <v>0</v>
      </c>
      <c r="AF472" s="436">
        <f t="shared" si="185"/>
        <v>0</v>
      </c>
      <c r="AG472" s="436">
        <f t="shared" si="186"/>
        <v>0</v>
      </c>
      <c r="AH472" s="436">
        <f t="shared" si="187"/>
        <v>0</v>
      </c>
      <c r="AI472" s="436">
        <f t="shared" si="188"/>
        <v>0</v>
      </c>
      <c r="AJ472" s="436">
        <f t="shared" si="188"/>
        <v>0</v>
      </c>
      <c r="AK472" s="437">
        <f t="shared" si="189"/>
        <v>0</v>
      </c>
      <c r="AL472" s="437">
        <f t="shared" si="190"/>
        <v>0</v>
      </c>
      <c r="AM472" s="437">
        <f t="shared" si="191"/>
        <v>0</v>
      </c>
      <c r="AN472" s="437">
        <f t="shared" si="162"/>
        <v>0</v>
      </c>
      <c r="AO472" s="437">
        <f t="shared" si="163"/>
        <v>0</v>
      </c>
      <c r="AP472" s="437">
        <f t="shared" si="194"/>
        <v>0</v>
      </c>
      <c r="AQ472" s="437">
        <f t="shared" si="194"/>
        <v>0</v>
      </c>
      <c r="AR472" s="436"/>
      <c r="AS472" s="437">
        <f t="shared" si="195"/>
        <v>0</v>
      </c>
    </row>
    <row r="473" spans="1:46" s="438" customFormat="1" ht="24.95" customHeight="1">
      <c r="A473" s="1134"/>
      <c r="B473" s="1134"/>
      <c r="C473" s="1139" t="s">
        <v>735</v>
      </c>
      <c r="D473" s="1134"/>
      <c r="E473" s="1134" t="s">
        <v>750</v>
      </c>
      <c r="F473" s="1134">
        <v>3</v>
      </c>
      <c r="G473" s="1112">
        <v>3519</v>
      </c>
      <c r="H473" s="1112"/>
      <c r="I473" s="1112"/>
      <c r="J473" s="1112"/>
      <c r="K473" s="1112"/>
      <c r="L473" s="1112"/>
      <c r="M473" s="1112"/>
      <c r="N473" s="1112">
        <f>G473+H474</f>
        <v>3519</v>
      </c>
      <c r="O473" s="1112">
        <v>1</v>
      </c>
      <c r="P473" s="1140"/>
      <c r="Q473" s="1140"/>
      <c r="R473" s="1138">
        <v>0.1</v>
      </c>
      <c r="S473" s="1112">
        <f>N473*R473</f>
        <v>351.90000000000003</v>
      </c>
      <c r="T473" s="1134"/>
      <c r="U473" s="1138"/>
      <c r="V473" s="1112"/>
      <c r="W473" s="1112">
        <f>AD473</f>
        <v>3181</v>
      </c>
      <c r="X473" s="1112">
        <f>(N473+V473+Q474+S473)*O473+W473</f>
        <v>7051.9</v>
      </c>
      <c r="Y473" s="1112"/>
      <c r="Z473" s="1112">
        <f>X473+Y473</f>
        <v>7051.9</v>
      </c>
      <c r="AA473" s="1109">
        <f t="shared" si="196"/>
        <v>7051.9</v>
      </c>
      <c r="AB473" s="1109">
        <f>AA473-X473</f>
        <v>0</v>
      </c>
      <c r="AC473" s="1112">
        <f>6700*O473</f>
        <v>6700</v>
      </c>
      <c r="AD473" s="1112">
        <f>AC473-(N473*O473)</f>
        <v>3181</v>
      </c>
      <c r="AE473" s="436">
        <f t="shared" si="184"/>
        <v>3519</v>
      </c>
      <c r="AF473" s="436">
        <f t="shared" si="185"/>
        <v>0</v>
      </c>
      <c r="AG473" s="436">
        <f t="shared" si="186"/>
        <v>3519</v>
      </c>
      <c r="AH473" s="436">
        <f t="shared" si="187"/>
        <v>0</v>
      </c>
      <c r="AI473" s="436">
        <f t="shared" si="188"/>
        <v>0</v>
      </c>
      <c r="AJ473" s="436">
        <f t="shared" si="188"/>
        <v>0</v>
      </c>
      <c r="AK473" s="437">
        <f t="shared" si="189"/>
        <v>0</v>
      </c>
      <c r="AL473" s="437">
        <f t="shared" si="190"/>
        <v>0</v>
      </c>
      <c r="AM473" s="437">
        <f t="shared" si="191"/>
        <v>3181</v>
      </c>
      <c r="AN473" s="437">
        <f t="shared" si="162"/>
        <v>351.90000000000003</v>
      </c>
      <c r="AO473" s="437">
        <f t="shared" si="163"/>
        <v>0</v>
      </c>
      <c r="AP473" s="437">
        <f t="shared" si="194"/>
        <v>3519</v>
      </c>
      <c r="AQ473" s="437">
        <f t="shared" si="194"/>
        <v>0</v>
      </c>
      <c r="AR473" s="436"/>
      <c r="AS473" s="437">
        <f t="shared" si="195"/>
        <v>3519</v>
      </c>
    </row>
    <row r="474" spans="1:46" s="438" customFormat="1" ht="24.95" customHeight="1">
      <c r="A474" s="1134"/>
      <c r="B474" s="1134"/>
      <c r="C474" s="1139"/>
      <c r="D474" s="1134"/>
      <c r="E474" s="1134"/>
      <c r="F474" s="1134"/>
      <c r="G474" s="1112"/>
      <c r="H474" s="1112"/>
      <c r="I474" s="1112"/>
      <c r="J474" s="1112"/>
      <c r="K474" s="1112"/>
      <c r="L474" s="1112"/>
      <c r="M474" s="1112"/>
      <c r="N474" s="1112"/>
      <c r="O474" s="1112"/>
      <c r="P474" s="1140"/>
      <c r="Q474" s="1140"/>
      <c r="R474" s="1138"/>
      <c r="S474" s="1112"/>
      <c r="T474" s="1134"/>
      <c r="U474" s="1138"/>
      <c r="V474" s="1112"/>
      <c r="W474" s="1112"/>
      <c r="X474" s="1112"/>
      <c r="Y474" s="1112"/>
      <c r="Z474" s="1112"/>
      <c r="AA474" s="1109"/>
      <c r="AB474" s="1109"/>
      <c r="AC474" s="1112"/>
      <c r="AD474" s="1112"/>
      <c r="AE474" s="436">
        <f t="shared" si="184"/>
        <v>0</v>
      </c>
      <c r="AF474" s="436">
        <f t="shared" si="185"/>
        <v>0</v>
      </c>
      <c r="AG474" s="436">
        <f t="shared" si="186"/>
        <v>0</v>
      </c>
      <c r="AH474" s="436">
        <f t="shared" si="187"/>
        <v>0</v>
      </c>
      <c r="AI474" s="436">
        <f t="shared" si="188"/>
        <v>0</v>
      </c>
      <c r="AJ474" s="436">
        <f t="shared" si="188"/>
        <v>0</v>
      </c>
      <c r="AK474" s="437">
        <f t="shared" si="189"/>
        <v>0</v>
      </c>
      <c r="AL474" s="437">
        <f t="shared" si="190"/>
        <v>0</v>
      </c>
      <c r="AM474" s="437">
        <f t="shared" si="191"/>
        <v>0</v>
      </c>
      <c r="AN474" s="437">
        <f t="shared" si="162"/>
        <v>0</v>
      </c>
      <c r="AO474" s="437">
        <f t="shared" si="163"/>
        <v>0</v>
      </c>
      <c r="AP474" s="437">
        <f t="shared" si="194"/>
        <v>0</v>
      </c>
      <c r="AQ474" s="437">
        <f t="shared" si="194"/>
        <v>0</v>
      </c>
      <c r="AR474" s="436"/>
      <c r="AS474" s="437">
        <f t="shared" si="195"/>
        <v>0</v>
      </c>
    </row>
    <row r="475" spans="1:46" s="438" customFormat="1" ht="24.95" customHeight="1">
      <c r="A475" s="1134"/>
      <c r="B475" s="1134"/>
      <c r="C475" s="1139" t="s">
        <v>735</v>
      </c>
      <c r="D475" s="1134"/>
      <c r="E475" s="1134" t="s">
        <v>751</v>
      </c>
      <c r="F475" s="1134">
        <v>3</v>
      </c>
      <c r="G475" s="1112">
        <v>3519</v>
      </c>
      <c r="H475" s="1112"/>
      <c r="I475" s="1112"/>
      <c r="J475" s="1112"/>
      <c r="K475" s="1112"/>
      <c r="L475" s="1112"/>
      <c r="M475" s="1112"/>
      <c r="N475" s="1112">
        <f>G475+H476</f>
        <v>3519</v>
      </c>
      <c r="O475" s="1112">
        <v>1</v>
      </c>
      <c r="P475" s="1112"/>
      <c r="Q475" s="1112"/>
      <c r="R475" s="1138">
        <v>0.1</v>
      </c>
      <c r="S475" s="1112">
        <f>N475*R475</f>
        <v>351.90000000000003</v>
      </c>
      <c r="T475" s="1134"/>
      <c r="U475" s="1138"/>
      <c r="V475" s="1112"/>
      <c r="W475" s="1112">
        <f>AD475</f>
        <v>3181</v>
      </c>
      <c r="X475" s="1112">
        <f>(N475+V475+Q476+S475)*O475+W475</f>
        <v>7051.9</v>
      </c>
      <c r="Y475" s="1112"/>
      <c r="Z475" s="1112">
        <f>X475+Y475</f>
        <v>7051.9</v>
      </c>
      <c r="AA475" s="1109">
        <f t="shared" si="196"/>
        <v>7051.9</v>
      </c>
      <c r="AB475" s="1109">
        <f>AA475-X475</f>
        <v>0</v>
      </c>
      <c r="AC475" s="1112">
        <f>6700*O475</f>
        <v>6700</v>
      </c>
      <c r="AD475" s="1112">
        <f>AC475-(N475*O475)</f>
        <v>3181</v>
      </c>
      <c r="AE475" s="436">
        <f t="shared" si="184"/>
        <v>3519</v>
      </c>
      <c r="AF475" s="436">
        <f t="shared" si="185"/>
        <v>0</v>
      </c>
      <c r="AG475" s="436">
        <f t="shared" si="186"/>
        <v>3519</v>
      </c>
      <c r="AH475" s="436">
        <f t="shared" si="187"/>
        <v>0</v>
      </c>
      <c r="AI475" s="436">
        <f t="shared" si="188"/>
        <v>0</v>
      </c>
      <c r="AJ475" s="436">
        <f t="shared" si="188"/>
        <v>0</v>
      </c>
      <c r="AK475" s="437">
        <f t="shared" si="189"/>
        <v>0</v>
      </c>
      <c r="AL475" s="437">
        <f t="shared" si="190"/>
        <v>0</v>
      </c>
      <c r="AM475" s="437">
        <f t="shared" si="191"/>
        <v>3181</v>
      </c>
      <c r="AN475" s="437">
        <f t="shared" si="162"/>
        <v>351.90000000000003</v>
      </c>
      <c r="AO475" s="437">
        <f t="shared" si="163"/>
        <v>0</v>
      </c>
      <c r="AP475" s="437">
        <f t="shared" si="194"/>
        <v>3519</v>
      </c>
      <c r="AQ475" s="437">
        <f t="shared" si="194"/>
        <v>0</v>
      </c>
      <c r="AR475" s="436"/>
      <c r="AS475" s="437">
        <f t="shared" si="195"/>
        <v>3519</v>
      </c>
    </row>
    <row r="476" spans="1:46" s="438" customFormat="1" ht="24.95" customHeight="1">
      <c r="A476" s="1134"/>
      <c r="B476" s="1134"/>
      <c r="C476" s="1139"/>
      <c r="D476" s="1134"/>
      <c r="E476" s="1134"/>
      <c r="F476" s="1134"/>
      <c r="G476" s="1112"/>
      <c r="H476" s="1112"/>
      <c r="I476" s="1112"/>
      <c r="J476" s="1112"/>
      <c r="K476" s="1112"/>
      <c r="L476" s="1112"/>
      <c r="M476" s="1112"/>
      <c r="N476" s="1112"/>
      <c r="O476" s="1112"/>
      <c r="P476" s="1112"/>
      <c r="Q476" s="1112"/>
      <c r="R476" s="1138"/>
      <c r="S476" s="1112"/>
      <c r="T476" s="1134"/>
      <c r="U476" s="1138"/>
      <c r="V476" s="1112"/>
      <c r="W476" s="1112"/>
      <c r="X476" s="1112"/>
      <c r="Y476" s="1112"/>
      <c r="Z476" s="1112"/>
      <c r="AA476" s="1109"/>
      <c r="AB476" s="1109"/>
      <c r="AC476" s="1112"/>
      <c r="AD476" s="1112"/>
      <c r="AE476" s="436">
        <f t="shared" si="184"/>
        <v>0</v>
      </c>
      <c r="AF476" s="436">
        <f t="shared" si="185"/>
        <v>0</v>
      </c>
      <c r="AG476" s="436">
        <f t="shared" si="186"/>
        <v>0</v>
      </c>
      <c r="AH476" s="436">
        <f t="shared" si="187"/>
        <v>0</v>
      </c>
      <c r="AI476" s="436">
        <f t="shared" si="188"/>
        <v>0</v>
      </c>
      <c r="AJ476" s="436">
        <f t="shared" si="188"/>
        <v>0</v>
      </c>
      <c r="AK476" s="437">
        <f t="shared" si="189"/>
        <v>0</v>
      </c>
      <c r="AL476" s="437">
        <f t="shared" si="190"/>
        <v>0</v>
      </c>
      <c r="AM476" s="437">
        <f t="shared" si="191"/>
        <v>0</v>
      </c>
      <c r="AN476" s="437">
        <f t="shared" si="162"/>
        <v>0</v>
      </c>
      <c r="AO476" s="437">
        <f t="shared" si="163"/>
        <v>0</v>
      </c>
      <c r="AP476" s="437">
        <f t="shared" si="194"/>
        <v>0</v>
      </c>
      <c r="AQ476" s="437">
        <f t="shared" si="194"/>
        <v>0</v>
      </c>
      <c r="AR476" s="436"/>
      <c r="AS476" s="437">
        <f t="shared" si="195"/>
        <v>0</v>
      </c>
    </row>
    <row r="477" spans="1:46" s="438" customFormat="1" ht="24.95" customHeight="1">
      <c r="A477" s="1134"/>
      <c r="B477" s="1134"/>
      <c r="C477" s="1139" t="s">
        <v>735</v>
      </c>
      <c r="D477" s="1134"/>
      <c r="E477" s="1134" t="s">
        <v>760</v>
      </c>
      <c r="F477" s="1134">
        <v>3</v>
      </c>
      <c r="G477" s="1112">
        <v>3519</v>
      </c>
      <c r="H477" s="1112"/>
      <c r="I477" s="1112"/>
      <c r="J477" s="1112"/>
      <c r="K477" s="1112"/>
      <c r="L477" s="1112"/>
      <c r="M477" s="1112"/>
      <c r="N477" s="1112">
        <f>G477+H478</f>
        <v>3519</v>
      </c>
      <c r="O477" s="1112">
        <v>1</v>
      </c>
      <c r="P477" s="1112"/>
      <c r="Q477" s="1112"/>
      <c r="R477" s="1138">
        <v>0.1</v>
      </c>
      <c r="S477" s="1112">
        <f>N477*R477</f>
        <v>351.90000000000003</v>
      </c>
      <c r="T477" s="1134"/>
      <c r="U477" s="1138"/>
      <c r="V477" s="1112"/>
      <c r="W477" s="1112">
        <f>AD477</f>
        <v>3181</v>
      </c>
      <c r="X477" s="1112">
        <f>(N477+V477+Q478+S477)*O477+W477</f>
        <v>7051.9</v>
      </c>
      <c r="Y477" s="1112"/>
      <c r="Z477" s="1112">
        <f>X477+Y477</f>
        <v>7051.9</v>
      </c>
      <c r="AA477" s="1109">
        <f t="shared" si="196"/>
        <v>7051.9</v>
      </c>
      <c r="AB477" s="1109">
        <f>AA477-X477</f>
        <v>0</v>
      </c>
      <c r="AC477" s="1112">
        <f>6700*O477</f>
        <v>6700</v>
      </c>
      <c r="AD477" s="1112">
        <f>AC477-(N477*O477)</f>
        <v>3181</v>
      </c>
      <c r="AE477" s="436">
        <f>G477*O477</f>
        <v>3519</v>
      </c>
      <c r="AF477" s="436">
        <f>G477*P477</f>
        <v>0</v>
      </c>
      <c r="AG477" s="436">
        <f>N477*O477</f>
        <v>3519</v>
      </c>
      <c r="AH477" s="436">
        <f>N477*P477</f>
        <v>0</v>
      </c>
      <c r="AI477" s="436">
        <f>AG477-AE477</f>
        <v>0</v>
      </c>
      <c r="AJ477" s="436">
        <f>AH477-AF477</f>
        <v>0</v>
      </c>
      <c r="AK477" s="437">
        <f>V477*O477</f>
        <v>0</v>
      </c>
      <c r="AL477" s="437">
        <f>V477*P477</f>
        <v>0</v>
      </c>
      <c r="AM477" s="437">
        <f>W477</f>
        <v>3181</v>
      </c>
      <c r="AN477" s="437">
        <f>S477*O477</f>
        <v>351.90000000000003</v>
      </c>
      <c r="AO477" s="437">
        <f>S477*P477</f>
        <v>0</v>
      </c>
      <c r="AP477" s="437">
        <f>AG477</f>
        <v>3519</v>
      </c>
      <c r="AQ477" s="437">
        <f>AH477</f>
        <v>0</v>
      </c>
      <c r="AR477" s="436"/>
      <c r="AS477" s="437">
        <f>AP477+AQ477-AR477</f>
        <v>3519</v>
      </c>
    </row>
    <row r="478" spans="1:46" s="438" customFormat="1" ht="24.95" customHeight="1">
      <c r="A478" s="1134"/>
      <c r="B478" s="1134"/>
      <c r="C478" s="1139"/>
      <c r="D478" s="1134"/>
      <c r="E478" s="1134"/>
      <c r="F478" s="1134"/>
      <c r="G478" s="1112"/>
      <c r="H478" s="1112"/>
      <c r="I478" s="1112"/>
      <c r="J478" s="1112"/>
      <c r="K478" s="1112"/>
      <c r="L478" s="1112"/>
      <c r="M478" s="1112"/>
      <c r="N478" s="1112"/>
      <c r="O478" s="1112"/>
      <c r="P478" s="1112"/>
      <c r="Q478" s="1112"/>
      <c r="R478" s="1138"/>
      <c r="S478" s="1112"/>
      <c r="T478" s="1134"/>
      <c r="U478" s="1138"/>
      <c r="V478" s="1112"/>
      <c r="W478" s="1112"/>
      <c r="X478" s="1112"/>
      <c r="Y478" s="1112"/>
      <c r="Z478" s="1112"/>
      <c r="AA478" s="1109"/>
      <c r="AB478" s="1109"/>
      <c r="AC478" s="1112"/>
      <c r="AD478" s="1112"/>
      <c r="AE478" s="436">
        <f>G478*O478</f>
        <v>0</v>
      </c>
      <c r="AF478" s="436">
        <f>G478*P478</f>
        <v>0</v>
      </c>
      <c r="AG478" s="436">
        <f>N478*O478</f>
        <v>0</v>
      </c>
      <c r="AH478" s="436">
        <f>N478*P478</f>
        <v>0</v>
      </c>
      <c r="AI478" s="436">
        <f>AG478-AE478</f>
        <v>0</v>
      </c>
      <c r="AJ478" s="436">
        <f>AH478-AF478</f>
        <v>0</v>
      </c>
      <c r="AK478" s="437">
        <f>V478*O478</f>
        <v>0</v>
      </c>
      <c r="AL478" s="437">
        <f>V478*P478</f>
        <v>0</v>
      </c>
      <c r="AM478" s="437">
        <f>W478</f>
        <v>0</v>
      </c>
      <c r="AN478" s="437">
        <f>S478*O478</f>
        <v>0</v>
      </c>
      <c r="AO478" s="437">
        <f>S478*P478</f>
        <v>0</v>
      </c>
      <c r="AP478" s="437">
        <f>AG478</f>
        <v>0</v>
      </c>
      <c r="AQ478" s="437">
        <f>AH478</f>
        <v>0</v>
      </c>
      <c r="AR478" s="436"/>
      <c r="AS478" s="437">
        <f>AP478+AQ478-AR478</f>
        <v>0</v>
      </c>
    </row>
    <row r="479" spans="1:46" s="438" customFormat="1" ht="24.95" customHeight="1">
      <c r="A479" s="1134"/>
      <c r="B479" s="1134"/>
      <c r="C479" s="1139" t="s">
        <v>735</v>
      </c>
      <c r="D479" s="1134"/>
      <c r="E479" s="1134" t="s">
        <v>752</v>
      </c>
      <c r="F479" s="1134">
        <v>3</v>
      </c>
      <c r="G479" s="1112">
        <v>3519</v>
      </c>
      <c r="H479" s="1112"/>
      <c r="I479" s="1112"/>
      <c r="J479" s="1112"/>
      <c r="K479" s="1112"/>
      <c r="L479" s="1112"/>
      <c r="M479" s="1112"/>
      <c r="N479" s="1112">
        <f>G479+H480</f>
        <v>3519</v>
      </c>
      <c r="O479" s="1112">
        <v>1</v>
      </c>
      <c r="P479" s="1112"/>
      <c r="Q479" s="1112"/>
      <c r="R479" s="1138">
        <v>0.1</v>
      </c>
      <c r="S479" s="1112">
        <f>N479*R479</f>
        <v>351.90000000000003</v>
      </c>
      <c r="T479" s="1134"/>
      <c r="U479" s="1138"/>
      <c r="V479" s="1112"/>
      <c r="W479" s="1112">
        <f>AD479</f>
        <v>3181</v>
      </c>
      <c r="X479" s="1112">
        <f>(N479+V479+Q480+S479)*O479+W479</f>
        <v>7051.9</v>
      </c>
      <c r="Y479" s="1112"/>
      <c r="Z479" s="1112">
        <f>X479+Y479</f>
        <v>7051.9</v>
      </c>
      <c r="AA479" s="1109">
        <f t="shared" si="196"/>
        <v>7051.9</v>
      </c>
      <c r="AB479" s="1109">
        <f>AA479-X479</f>
        <v>0</v>
      </c>
      <c r="AC479" s="1112">
        <f>6700*O479</f>
        <v>6700</v>
      </c>
      <c r="AD479" s="1112">
        <f>AC479-(N479*O479)</f>
        <v>3181</v>
      </c>
      <c r="AE479" s="436">
        <f t="shared" si="184"/>
        <v>3519</v>
      </c>
      <c r="AF479" s="436">
        <f t="shared" si="185"/>
        <v>0</v>
      </c>
      <c r="AG479" s="436">
        <f t="shared" si="186"/>
        <v>3519</v>
      </c>
      <c r="AH479" s="436">
        <f t="shared" si="187"/>
        <v>0</v>
      </c>
      <c r="AI479" s="436">
        <f t="shared" si="188"/>
        <v>0</v>
      </c>
      <c r="AJ479" s="436">
        <f t="shared" si="188"/>
        <v>0</v>
      </c>
      <c r="AK479" s="437">
        <f t="shared" si="189"/>
        <v>0</v>
      </c>
      <c r="AL479" s="437">
        <f t="shared" si="190"/>
        <v>0</v>
      </c>
      <c r="AM479" s="437">
        <f t="shared" si="191"/>
        <v>3181</v>
      </c>
      <c r="AN479" s="437">
        <f t="shared" si="162"/>
        <v>351.90000000000003</v>
      </c>
      <c r="AO479" s="437">
        <f t="shared" si="163"/>
        <v>0</v>
      </c>
      <c r="AP479" s="437">
        <f t="shared" si="194"/>
        <v>3519</v>
      </c>
      <c r="AQ479" s="437">
        <f t="shared" si="194"/>
        <v>0</v>
      </c>
      <c r="AR479" s="436"/>
      <c r="AS479" s="437">
        <f t="shared" si="195"/>
        <v>3519</v>
      </c>
    </row>
    <row r="480" spans="1:46" s="438" customFormat="1" ht="24.95" customHeight="1">
      <c r="A480" s="1134"/>
      <c r="B480" s="1134"/>
      <c r="C480" s="1139"/>
      <c r="D480" s="1134"/>
      <c r="E480" s="1134"/>
      <c r="F480" s="1134"/>
      <c r="G480" s="1112"/>
      <c r="H480" s="1112"/>
      <c r="I480" s="1112"/>
      <c r="J480" s="1112"/>
      <c r="K480" s="1112"/>
      <c r="L480" s="1112"/>
      <c r="M480" s="1112"/>
      <c r="N480" s="1112"/>
      <c r="O480" s="1112"/>
      <c r="P480" s="1112"/>
      <c r="Q480" s="1112"/>
      <c r="R480" s="1138"/>
      <c r="S480" s="1112"/>
      <c r="T480" s="1134"/>
      <c r="U480" s="1138"/>
      <c r="V480" s="1112"/>
      <c r="W480" s="1112"/>
      <c r="X480" s="1112"/>
      <c r="Y480" s="1112"/>
      <c r="Z480" s="1112"/>
      <c r="AA480" s="1109"/>
      <c r="AB480" s="1109"/>
      <c r="AC480" s="1112"/>
      <c r="AD480" s="1112"/>
      <c r="AE480" s="436">
        <f t="shared" si="184"/>
        <v>0</v>
      </c>
      <c r="AF480" s="436">
        <f t="shared" si="185"/>
        <v>0</v>
      </c>
      <c r="AG480" s="436">
        <f t="shared" si="186"/>
        <v>0</v>
      </c>
      <c r="AH480" s="436">
        <f t="shared" si="187"/>
        <v>0</v>
      </c>
      <c r="AI480" s="436">
        <f t="shared" si="188"/>
        <v>0</v>
      </c>
      <c r="AJ480" s="436">
        <f t="shared" si="188"/>
        <v>0</v>
      </c>
      <c r="AK480" s="437">
        <f t="shared" si="189"/>
        <v>0</v>
      </c>
      <c r="AL480" s="437">
        <f t="shared" si="190"/>
        <v>0</v>
      </c>
      <c r="AM480" s="437">
        <f t="shared" si="191"/>
        <v>0</v>
      </c>
      <c r="AN480" s="437">
        <f t="shared" si="162"/>
        <v>0</v>
      </c>
      <c r="AO480" s="437">
        <f t="shared" si="163"/>
        <v>0</v>
      </c>
      <c r="AP480" s="437">
        <f t="shared" si="194"/>
        <v>0</v>
      </c>
      <c r="AQ480" s="437">
        <f t="shared" si="194"/>
        <v>0</v>
      </c>
      <c r="AR480" s="436"/>
      <c r="AS480" s="437">
        <f t="shared" si="195"/>
        <v>0</v>
      </c>
    </row>
    <row r="481" spans="1:46" s="438" customFormat="1" ht="24.95" customHeight="1">
      <c r="A481" s="441"/>
      <c r="B481" s="441"/>
      <c r="C481" s="442" t="s">
        <v>318</v>
      </c>
      <c r="D481" s="441"/>
      <c r="E481" s="441"/>
      <c r="F481" s="441"/>
      <c r="G481" s="444">
        <f>SUM(G471:G480)</f>
        <v>14076</v>
      </c>
      <c r="H481" s="441"/>
      <c r="I481" s="441"/>
      <c r="J481" s="441"/>
      <c r="K481" s="441"/>
      <c r="L481" s="441"/>
      <c r="M481" s="441"/>
      <c r="N481" s="444">
        <f>SUM(N471:N480)</f>
        <v>14076</v>
      </c>
      <c r="O481" s="444">
        <f>SUM(O471:O480)</f>
        <v>4</v>
      </c>
      <c r="P481" s="444">
        <f>SUM(P471:P480)</f>
        <v>0</v>
      </c>
      <c r="Q481" s="444"/>
      <c r="R481" s="444"/>
      <c r="S481" s="444">
        <f>SUM(S471:S480)</f>
        <v>1407.6000000000001</v>
      </c>
      <c r="T481" s="444"/>
      <c r="U481" s="444"/>
      <c r="V481" s="444"/>
      <c r="W481" s="444">
        <f t="shared" ref="W481:AD481" si="197">SUM(W471:W480)</f>
        <v>12724</v>
      </c>
      <c r="X481" s="444">
        <f t="shared" si="197"/>
        <v>28207.599999999999</v>
      </c>
      <c r="Y481" s="444">
        <f t="shared" si="197"/>
        <v>0</v>
      </c>
      <c r="Z481" s="444">
        <f t="shared" si="197"/>
        <v>28207.599999999999</v>
      </c>
      <c r="AA481" s="499">
        <f t="shared" si="197"/>
        <v>28207.599999999999</v>
      </c>
      <c r="AB481" s="499">
        <f t="shared" si="197"/>
        <v>0</v>
      </c>
      <c r="AC481" s="444">
        <f t="shared" si="197"/>
        <v>26800</v>
      </c>
      <c r="AD481" s="444">
        <f t="shared" si="197"/>
        <v>12724</v>
      </c>
      <c r="AE481" s="453"/>
      <c r="AF481" s="453"/>
      <c r="AG481" s="453"/>
      <c r="AH481" s="453"/>
      <c r="AI481" s="453"/>
      <c r="AJ481" s="453"/>
      <c r="AK481" s="454"/>
      <c r="AL481" s="454"/>
      <c r="AM481" s="454"/>
      <c r="AN481" s="454"/>
      <c r="AO481" s="454"/>
      <c r="AP481" s="454"/>
      <c r="AQ481" s="454"/>
      <c r="AR481" s="453"/>
      <c r="AS481" s="454"/>
      <c r="AT481" s="446"/>
    </row>
    <row r="482" spans="1:46" s="456" customFormat="1" ht="24.95" customHeight="1">
      <c r="A482" s="455"/>
      <c r="B482" s="455"/>
      <c r="C482" s="1136" t="s">
        <v>1029</v>
      </c>
      <c r="D482" s="1136"/>
      <c r="E482" s="455"/>
      <c r="F482" s="455"/>
      <c r="G482" s="455"/>
      <c r="H482" s="455"/>
      <c r="I482" s="455"/>
      <c r="J482" s="455"/>
      <c r="K482" s="455"/>
      <c r="L482" s="455"/>
      <c r="M482" s="455"/>
      <c r="N482" s="455"/>
      <c r="O482" s="455"/>
      <c r="P482" s="455"/>
      <c r="Q482" s="455"/>
      <c r="R482" s="455"/>
      <c r="S482" s="455"/>
      <c r="T482" s="455"/>
      <c r="U482" s="455"/>
      <c r="V482" s="455"/>
      <c r="W482" s="455"/>
      <c r="X482" s="455"/>
      <c r="Y482" s="455"/>
      <c r="Z482" s="455"/>
      <c r="AA482" s="504"/>
      <c r="AB482" s="504"/>
      <c r="AC482" s="455"/>
      <c r="AD482" s="455"/>
      <c r="AE482" s="436">
        <f t="shared" si="184"/>
        <v>0</v>
      </c>
      <c r="AF482" s="436">
        <f t="shared" si="185"/>
        <v>0</v>
      </c>
      <c r="AG482" s="436">
        <f t="shared" si="186"/>
        <v>0</v>
      </c>
      <c r="AH482" s="436">
        <f t="shared" si="187"/>
        <v>0</v>
      </c>
      <c r="AI482" s="436">
        <f t="shared" si="188"/>
        <v>0</v>
      </c>
      <c r="AJ482" s="436">
        <f t="shared" si="188"/>
        <v>0</v>
      </c>
      <c r="AK482" s="437">
        <f t="shared" si="189"/>
        <v>0</v>
      </c>
      <c r="AL482" s="437">
        <f t="shared" si="190"/>
        <v>0</v>
      </c>
      <c r="AM482" s="437">
        <f t="shared" si="191"/>
        <v>0</v>
      </c>
      <c r="AN482" s="437">
        <f t="shared" si="162"/>
        <v>0</v>
      </c>
      <c r="AO482" s="437">
        <f t="shared" si="163"/>
        <v>0</v>
      </c>
      <c r="AP482" s="437">
        <f t="shared" si="194"/>
        <v>0</v>
      </c>
      <c r="AQ482" s="437">
        <f t="shared" si="194"/>
        <v>0</v>
      </c>
      <c r="AR482" s="436"/>
      <c r="AS482" s="437">
        <f t="shared" si="195"/>
        <v>0</v>
      </c>
    </row>
    <row r="483" spans="1:46" s="438" customFormat="1" ht="24.95" customHeight="1">
      <c r="A483" s="1134"/>
      <c r="B483" s="1134"/>
      <c r="C483" s="1139" t="s">
        <v>735</v>
      </c>
      <c r="D483" s="1134"/>
      <c r="E483" s="1134"/>
      <c r="F483" s="1134"/>
      <c r="G483" s="1112"/>
      <c r="H483" s="1112"/>
      <c r="I483" s="1140"/>
      <c r="J483" s="1140"/>
      <c r="K483" s="1140"/>
      <c r="L483" s="1140"/>
      <c r="M483" s="1140"/>
      <c r="N483" s="1112">
        <f>G483+H484+K484</f>
        <v>0</v>
      </c>
      <c r="O483" s="1112"/>
      <c r="P483" s="1140"/>
      <c r="Q483" s="1140"/>
      <c r="R483" s="1138">
        <v>0.1</v>
      </c>
      <c r="S483" s="1112">
        <f>N483*R483</f>
        <v>0</v>
      </c>
      <c r="T483" s="1134"/>
      <c r="U483" s="1138"/>
      <c r="V483" s="1112"/>
      <c r="W483" s="1112">
        <f>AD483</f>
        <v>0</v>
      </c>
      <c r="X483" s="1112">
        <f>(N483+V483+Q484+S483)*O483+W483</f>
        <v>0</v>
      </c>
      <c r="Y483" s="1112"/>
      <c r="Z483" s="1112">
        <f>X483+Y483</f>
        <v>0</v>
      </c>
      <c r="AA483" s="1109">
        <f t="shared" ref="AA483:AA493" si="198">Z483</f>
        <v>0</v>
      </c>
      <c r="AB483" s="1109">
        <f>AA483-X483</f>
        <v>0</v>
      </c>
      <c r="AC483" s="1112">
        <f>6700*O483</f>
        <v>0</v>
      </c>
      <c r="AD483" s="1112">
        <f>AC483-(N483*O483)</f>
        <v>0</v>
      </c>
      <c r="AE483" s="436">
        <f t="shared" si="184"/>
        <v>0</v>
      </c>
      <c r="AF483" s="436">
        <f t="shared" si="185"/>
        <v>0</v>
      </c>
      <c r="AG483" s="436">
        <f t="shared" si="186"/>
        <v>0</v>
      </c>
      <c r="AH483" s="436">
        <f t="shared" si="187"/>
        <v>0</v>
      </c>
      <c r="AI483" s="436">
        <f t="shared" si="188"/>
        <v>0</v>
      </c>
      <c r="AJ483" s="436">
        <f t="shared" si="188"/>
        <v>0</v>
      </c>
      <c r="AK483" s="437">
        <f t="shared" si="189"/>
        <v>0</v>
      </c>
      <c r="AL483" s="437">
        <f t="shared" si="190"/>
        <v>0</v>
      </c>
      <c r="AM483" s="437">
        <f t="shared" si="191"/>
        <v>0</v>
      </c>
      <c r="AN483" s="437">
        <f t="shared" si="162"/>
        <v>0</v>
      </c>
      <c r="AO483" s="437">
        <f t="shared" si="163"/>
        <v>0</v>
      </c>
      <c r="AP483" s="437">
        <f t="shared" si="194"/>
        <v>0</v>
      </c>
      <c r="AQ483" s="437">
        <f t="shared" si="194"/>
        <v>0</v>
      </c>
      <c r="AR483" s="436"/>
      <c r="AS483" s="437">
        <f t="shared" si="195"/>
        <v>0</v>
      </c>
    </row>
    <row r="484" spans="1:46" s="438" customFormat="1" ht="24.95" customHeight="1">
      <c r="A484" s="1134"/>
      <c r="B484" s="1134"/>
      <c r="C484" s="1139"/>
      <c r="D484" s="1134"/>
      <c r="E484" s="1134"/>
      <c r="F484" s="1134"/>
      <c r="G484" s="1112"/>
      <c r="H484" s="1112"/>
      <c r="I484" s="1140"/>
      <c r="J484" s="1140"/>
      <c r="K484" s="1140"/>
      <c r="L484" s="1140"/>
      <c r="M484" s="1140"/>
      <c r="N484" s="1112"/>
      <c r="O484" s="1112"/>
      <c r="P484" s="1140"/>
      <c r="Q484" s="1140"/>
      <c r="R484" s="1138"/>
      <c r="S484" s="1112"/>
      <c r="T484" s="1134"/>
      <c r="U484" s="1138"/>
      <c r="V484" s="1112"/>
      <c r="W484" s="1112"/>
      <c r="X484" s="1112"/>
      <c r="Y484" s="1112"/>
      <c r="Z484" s="1112"/>
      <c r="AA484" s="1109"/>
      <c r="AB484" s="1109"/>
      <c r="AC484" s="1112"/>
      <c r="AD484" s="1112"/>
      <c r="AE484" s="436">
        <f t="shared" si="184"/>
        <v>0</v>
      </c>
      <c r="AF484" s="436">
        <f t="shared" si="185"/>
        <v>0</v>
      </c>
      <c r="AG484" s="436">
        <f t="shared" si="186"/>
        <v>0</v>
      </c>
      <c r="AH484" s="436">
        <f t="shared" si="187"/>
        <v>0</v>
      </c>
      <c r="AI484" s="436">
        <f t="shared" si="188"/>
        <v>0</v>
      </c>
      <c r="AJ484" s="436">
        <f t="shared" si="188"/>
        <v>0</v>
      </c>
      <c r="AK484" s="437">
        <f t="shared" si="189"/>
        <v>0</v>
      </c>
      <c r="AL484" s="437">
        <f t="shared" si="190"/>
        <v>0</v>
      </c>
      <c r="AM484" s="437">
        <f t="shared" si="191"/>
        <v>0</v>
      </c>
      <c r="AN484" s="437">
        <f t="shared" ref="AN484:AN547" si="199">S484*O484</f>
        <v>0</v>
      </c>
      <c r="AO484" s="437">
        <f t="shared" ref="AO484:AO547" si="200">S484*P484</f>
        <v>0</v>
      </c>
      <c r="AP484" s="437">
        <f t="shared" si="194"/>
        <v>0</v>
      </c>
      <c r="AQ484" s="437">
        <f t="shared" si="194"/>
        <v>0</v>
      </c>
      <c r="AR484" s="436"/>
      <c r="AS484" s="437">
        <f t="shared" si="195"/>
        <v>0</v>
      </c>
    </row>
    <row r="485" spans="1:46" s="438" customFormat="1" ht="24.95" customHeight="1">
      <c r="A485" s="1134"/>
      <c r="B485" s="1134"/>
      <c r="C485" s="1139" t="s">
        <v>735</v>
      </c>
      <c r="D485" s="1134"/>
      <c r="E485" s="1140" t="s">
        <v>753</v>
      </c>
      <c r="F485" s="1134">
        <v>3</v>
      </c>
      <c r="G485" s="1112">
        <v>3519</v>
      </c>
      <c r="H485" s="1112"/>
      <c r="I485" s="1112"/>
      <c r="J485" s="1112"/>
      <c r="K485" s="1112"/>
      <c r="L485" s="1112"/>
      <c r="M485" s="1112"/>
      <c r="N485" s="1112">
        <f>G485+H486</f>
        <v>3519</v>
      </c>
      <c r="O485" s="1112">
        <v>1</v>
      </c>
      <c r="P485" s="1140"/>
      <c r="Q485" s="1140"/>
      <c r="R485" s="1138">
        <v>0.1</v>
      </c>
      <c r="S485" s="1112">
        <f>N485*R485</f>
        <v>351.90000000000003</v>
      </c>
      <c r="T485" s="1134"/>
      <c r="U485" s="1138"/>
      <c r="V485" s="1112"/>
      <c r="W485" s="1112">
        <f>AD485</f>
        <v>3181</v>
      </c>
      <c r="X485" s="1112">
        <f>(N485+V485+Q486+S485)*O485+W485</f>
        <v>7051.9</v>
      </c>
      <c r="Y485" s="1112"/>
      <c r="Z485" s="1112">
        <f>X485+Y485</f>
        <v>7051.9</v>
      </c>
      <c r="AA485" s="1109">
        <f t="shared" si="198"/>
        <v>7051.9</v>
      </c>
      <c r="AB485" s="1109">
        <f>AA485-X485</f>
        <v>0</v>
      </c>
      <c r="AC485" s="1112">
        <f>6700*O485</f>
        <v>6700</v>
      </c>
      <c r="AD485" s="1112">
        <f>AC485-(N485*O485)</f>
        <v>3181</v>
      </c>
      <c r="AE485" s="436">
        <f t="shared" si="184"/>
        <v>3519</v>
      </c>
      <c r="AF485" s="436">
        <f t="shared" si="185"/>
        <v>0</v>
      </c>
      <c r="AG485" s="436">
        <f t="shared" si="186"/>
        <v>3519</v>
      </c>
      <c r="AH485" s="436">
        <f t="shared" si="187"/>
        <v>0</v>
      </c>
      <c r="AI485" s="436">
        <f t="shared" si="188"/>
        <v>0</v>
      </c>
      <c r="AJ485" s="436">
        <f t="shared" si="188"/>
        <v>0</v>
      </c>
      <c r="AK485" s="437">
        <f t="shared" si="189"/>
        <v>0</v>
      </c>
      <c r="AL485" s="437">
        <f t="shared" si="190"/>
        <v>0</v>
      </c>
      <c r="AM485" s="437">
        <f t="shared" si="191"/>
        <v>3181</v>
      </c>
      <c r="AN485" s="437">
        <f t="shared" si="199"/>
        <v>351.90000000000003</v>
      </c>
      <c r="AO485" s="437">
        <f t="shared" si="200"/>
        <v>0</v>
      </c>
      <c r="AP485" s="437">
        <f t="shared" si="194"/>
        <v>3519</v>
      </c>
      <c r="AQ485" s="437">
        <f t="shared" si="194"/>
        <v>0</v>
      </c>
      <c r="AR485" s="436"/>
      <c r="AS485" s="437">
        <f t="shared" si="195"/>
        <v>3519</v>
      </c>
    </row>
    <row r="486" spans="1:46" s="438" customFormat="1" ht="24.95" customHeight="1">
      <c r="A486" s="1134"/>
      <c r="B486" s="1134"/>
      <c r="C486" s="1139"/>
      <c r="D486" s="1134"/>
      <c r="E486" s="1140"/>
      <c r="F486" s="1134"/>
      <c r="G486" s="1112"/>
      <c r="H486" s="1112"/>
      <c r="I486" s="1112"/>
      <c r="J486" s="1112"/>
      <c r="K486" s="1112"/>
      <c r="L486" s="1112"/>
      <c r="M486" s="1112"/>
      <c r="N486" s="1112"/>
      <c r="O486" s="1112"/>
      <c r="P486" s="1140"/>
      <c r="Q486" s="1140"/>
      <c r="R486" s="1138"/>
      <c r="S486" s="1112"/>
      <c r="T486" s="1134"/>
      <c r="U486" s="1138"/>
      <c r="V486" s="1112"/>
      <c r="W486" s="1112"/>
      <c r="X486" s="1112"/>
      <c r="Y486" s="1112"/>
      <c r="Z486" s="1112"/>
      <c r="AA486" s="1109"/>
      <c r="AB486" s="1109"/>
      <c r="AC486" s="1112"/>
      <c r="AD486" s="1112"/>
      <c r="AE486" s="436">
        <f t="shared" si="184"/>
        <v>0</v>
      </c>
      <c r="AF486" s="436">
        <f t="shared" si="185"/>
        <v>0</v>
      </c>
      <c r="AG486" s="436">
        <f t="shared" si="186"/>
        <v>0</v>
      </c>
      <c r="AH486" s="436">
        <f t="shared" si="187"/>
        <v>0</v>
      </c>
      <c r="AI486" s="436">
        <f t="shared" si="188"/>
        <v>0</v>
      </c>
      <c r="AJ486" s="436">
        <f t="shared" si="188"/>
        <v>0</v>
      </c>
      <c r="AK486" s="437">
        <f t="shared" si="189"/>
        <v>0</v>
      </c>
      <c r="AL486" s="437">
        <f t="shared" si="190"/>
        <v>0</v>
      </c>
      <c r="AM486" s="437">
        <f t="shared" si="191"/>
        <v>0</v>
      </c>
      <c r="AN486" s="437">
        <f t="shared" si="199"/>
        <v>0</v>
      </c>
      <c r="AO486" s="437">
        <f t="shared" si="200"/>
        <v>0</v>
      </c>
      <c r="AP486" s="437">
        <f t="shared" si="194"/>
        <v>0</v>
      </c>
      <c r="AQ486" s="437">
        <f t="shared" si="194"/>
        <v>0</v>
      </c>
      <c r="AR486" s="436"/>
      <c r="AS486" s="437">
        <f t="shared" si="195"/>
        <v>0</v>
      </c>
    </row>
    <row r="487" spans="1:46" s="438" customFormat="1" ht="24.95" customHeight="1">
      <c r="A487" s="1134"/>
      <c r="B487" s="1134"/>
      <c r="C487" s="1139" t="s">
        <v>735</v>
      </c>
      <c r="D487" s="1134"/>
      <c r="E487" s="1140" t="s">
        <v>754</v>
      </c>
      <c r="F487" s="1134">
        <v>3</v>
      </c>
      <c r="G487" s="1112">
        <v>3519</v>
      </c>
      <c r="H487" s="1112"/>
      <c r="I487" s="1112"/>
      <c r="J487" s="1112"/>
      <c r="K487" s="1112"/>
      <c r="L487" s="1112"/>
      <c r="M487" s="1112"/>
      <c r="N487" s="1112">
        <f>G487+H488</f>
        <v>3519</v>
      </c>
      <c r="O487" s="1112">
        <v>1</v>
      </c>
      <c r="P487" s="1112"/>
      <c r="Q487" s="1112"/>
      <c r="R487" s="1138">
        <v>0.1</v>
      </c>
      <c r="S487" s="1112">
        <f>N487*R487</f>
        <v>351.90000000000003</v>
      </c>
      <c r="T487" s="1134"/>
      <c r="U487" s="1138"/>
      <c r="V487" s="1112"/>
      <c r="W487" s="1112">
        <f>AD487</f>
        <v>3181</v>
      </c>
      <c r="X487" s="1112">
        <f>(N487+V487+Q488+S487)*O487+W487</f>
        <v>7051.9</v>
      </c>
      <c r="Y487" s="1112"/>
      <c r="Z487" s="1112">
        <f>X487+Y487</f>
        <v>7051.9</v>
      </c>
      <c r="AA487" s="1109">
        <f t="shared" si="198"/>
        <v>7051.9</v>
      </c>
      <c r="AB487" s="1109">
        <f>AA487-X487</f>
        <v>0</v>
      </c>
      <c r="AC487" s="1112">
        <f>6700*O487</f>
        <v>6700</v>
      </c>
      <c r="AD487" s="1112">
        <f>AC487-(N487*O487)</f>
        <v>3181</v>
      </c>
      <c r="AE487" s="436">
        <f t="shared" si="184"/>
        <v>3519</v>
      </c>
      <c r="AF487" s="436">
        <f t="shared" si="185"/>
        <v>0</v>
      </c>
      <c r="AG487" s="436">
        <f t="shared" si="186"/>
        <v>3519</v>
      </c>
      <c r="AH487" s="436">
        <f t="shared" si="187"/>
        <v>0</v>
      </c>
      <c r="AI487" s="436">
        <f t="shared" si="188"/>
        <v>0</v>
      </c>
      <c r="AJ487" s="436">
        <f t="shared" si="188"/>
        <v>0</v>
      </c>
      <c r="AK487" s="437">
        <f t="shared" si="189"/>
        <v>0</v>
      </c>
      <c r="AL487" s="437">
        <f t="shared" si="190"/>
        <v>0</v>
      </c>
      <c r="AM487" s="437">
        <f t="shared" si="191"/>
        <v>3181</v>
      </c>
      <c r="AN487" s="437">
        <f t="shared" si="199"/>
        <v>351.90000000000003</v>
      </c>
      <c r="AO487" s="437">
        <f t="shared" si="200"/>
        <v>0</v>
      </c>
      <c r="AP487" s="437">
        <f t="shared" si="194"/>
        <v>3519</v>
      </c>
      <c r="AQ487" s="437">
        <f t="shared" si="194"/>
        <v>0</v>
      </c>
      <c r="AR487" s="436"/>
      <c r="AS487" s="437">
        <f t="shared" si="195"/>
        <v>3519</v>
      </c>
    </row>
    <row r="488" spans="1:46" s="438" customFormat="1" ht="24.95" customHeight="1">
      <c r="A488" s="1134"/>
      <c r="B488" s="1134"/>
      <c r="C488" s="1139"/>
      <c r="D488" s="1134"/>
      <c r="E488" s="1140"/>
      <c r="F488" s="1134"/>
      <c r="G488" s="1112"/>
      <c r="H488" s="1112"/>
      <c r="I488" s="1112"/>
      <c r="J488" s="1112"/>
      <c r="K488" s="1112"/>
      <c r="L488" s="1112"/>
      <c r="M488" s="1112"/>
      <c r="N488" s="1112"/>
      <c r="O488" s="1112"/>
      <c r="P488" s="1112"/>
      <c r="Q488" s="1112"/>
      <c r="R488" s="1138"/>
      <c r="S488" s="1112"/>
      <c r="T488" s="1134"/>
      <c r="U488" s="1138"/>
      <c r="V488" s="1112"/>
      <c r="W488" s="1112"/>
      <c r="X488" s="1112"/>
      <c r="Y488" s="1112"/>
      <c r="Z488" s="1112"/>
      <c r="AA488" s="1109"/>
      <c r="AB488" s="1109"/>
      <c r="AC488" s="1112"/>
      <c r="AD488" s="1112"/>
      <c r="AE488" s="436">
        <f t="shared" si="184"/>
        <v>0</v>
      </c>
      <c r="AF488" s="436">
        <f t="shared" si="185"/>
        <v>0</v>
      </c>
      <c r="AG488" s="436">
        <f t="shared" si="186"/>
        <v>0</v>
      </c>
      <c r="AH488" s="436">
        <f t="shared" si="187"/>
        <v>0</v>
      </c>
      <c r="AI488" s="436">
        <f t="shared" si="188"/>
        <v>0</v>
      </c>
      <c r="AJ488" s="436">
        <f t="shared" si="188"/>
        <v>0</v>
      </c>
      <c r="AK488" s="437">
        <f t="shared" si="189"/>
        <v>0</v>
      </c>
      <c r="AL488" s="437">
        <f t="shared" si="190"/>
        <v>0</v>
      </c>
      <c r="AM488" s="437">
        <f t="shared" si="191"/>
        <v>0</v>
      </c>
      <c r="AN488" s="437">
        <f t="shared" si="199"/>
        <v>0</v>
      </c>
      <c r="AO488" s="437">
        <f t="shared" si="200"/>
        <v>0</v>
      </c>
      <c r="AP488" s="437">
        <f t="shared" si="194"/>
        <v>0</v>
      </c>
      <c r="AQ488" s="437">
        <f t="shared" si="194"/>
        <v>0</v>
      </c>
      <c r="AR488" s="436"/>
      <c r="AS488" s="437">
        <f t="shared" si="195"/>
        <v>0</v>
      </c>
    </row>
    <row r="489" spans="1:46" s="438" customFormat="1" ht="24.95" customHeight="1">
      <c r="A489" s="1134"/>
      <c r="B489" s="1134"/>
      <c r="C489" s="1139" t="s">
        <v>735</v>
      </c>
      <c r="D489" s="1134"/>
      <c r="E489" s="1140" t="s">
        <v>755</v>
      </c>
      <c r="F489" s="1134">
        <v>3</v>
      </c>
      <c r="G489" s="1112">
        <v>3519</v>
      </c>
      <c r="H489" s="1112"/>
      <c r="I489" s="1112"/>
      <c r="J489" s="1112"/>
      <c r="K489" s="1112"/>
      <c r="L489" s="1112"/>
      <c r="M489" s="1112"/>
      <c r="N489" s="1112">
        <f>G489+H490</f>
        <v>3519</v>
      </c>
      <c r="O489" s="1112">
        <v>1</v>
      </c>
      <c r="P489" s="1112"/>
      <c r="Q489" s="1112"/>
      <c r="R489" s="1138">
        <v>0.1</v>
      </c>
      <c r="S489" s="1112">
        <f>N489*R489</f>
        <v>351.90000000000003</v>
      </c>
      <c r="T489" s="1134"/>
      <c r="U489" s="1138"/>
      <c r="V489" s="1112"/>
      <c r="W489" s="1112">
        <f>AD489</f>
        <v>3181</v>
      </c>
      <c r="X489" s="1112">
        <f>(N489+V489+Q490+S489)*O489+W489</f>
        <v>7051.9</v>
      </c>
      <c r="Y489" s="1112"/>
      <c r="Z489" s="1112">
        <f>X489+Y489</f>
        <v>7051.9</v>
      </c>
      <c r="AA489" s="1109">
        <f t="shared" si="198"/>
        <v>7051.9</v>
      </c>
      <c r="AB489" s="1109">
        <f>AA489-X489</f>
        <v>0</v>
      </c>
      <c r="AC489" s="1112">
        <f>6700*O489</f>
        <v>6700</v>
      </c>
      <c r="AD489" s="1112">
        <f>AC489-(N489*O489)</f>
        <v>3181</v>
      </c>
      <c r="AE489" s="436">
        <f t="shared" si="184"/>
        <v>3519</v>
      </c>
      <c r="AF489" s="436">
        <f t="shared" si="185"/>
        <v>0</v>
      </c>
      <c r="AG489" s="436">
        <f t="shared" si="186"/>
        <v>3519</v>
      </c>
      <c r="AH489" s="436">
        <f t="shared" si="187"/>
        <v>0</v>
      </c>
      <c r="AI489" s="436">
        <f t="shared" si="188"/>
        <v>0</v>
      </c>
      <c r="AJ489" s="436">
        <f t="shared" si="188"/>
        <v>0</v>
      </c>
      <c r="AK489" s="437">
        <f t="shared" si="189"/>
        <v>0</v>
      </c>
      <c r="AL489" s="437">
        <f t="shared" si="190"/>
        <v>0</v>
      </c>
      <c r="AM489" s="437">
        <f t="shared" si="191"/>
        <v>3181</v>
      </c>
      <c r="AN489" s="437">
        <f t="shared" si="199"/>
        <v>351.90000000000003</v>
      </c>
      <c r="AO489" s="437">
        <f t="shared" si="200"/>
        <v>0</v>
      </c>
      <c r="AP489" s="437">
        <f t="shared" si="194"/>
        <v>3519</v>
      </c>
      <c r="AQ489" s="437">
        <f t="shared" si="194"/>
        <v>0</v>
      </c>
      <c r="AR489" s="436"/>
      <c r="AS489" s="437">
        <f t="shared" si="195"/>
        <v>3519</v>
      </c>
    </row>
    <row r="490" spans="1:46" s="438" customFormat="1" ht="26.25" customHeight="1">
      <c r="A490" s="1134"/>
      <c r="B490" s="1134"/>
      <c r="C490" s="1139"/>
      <c r="D490" s="1134"/>
      <c r="E490" s="1140"/>
      <c r="F490" s="1134"/>
      <c r="G490" s="1112"/>
      <c r="H490" s="1112"/>
      <c r="I490" s="1112"/>
      <c r="J490" s="1112"/>
      <c r="K490" s="1112"/>
      <c r="L490" s="1112"/>
      <c r="M490" s="1112"/>
      <c r="N490" s="1112"/>
      <c r="O490" s="1112"/>
      <c r="P490" s="1112"/>
      <c r="Q490" s="1112"/>
      <c r="R490" s="1138"/>
      <c r="S490" s="1112"/>
      <c r="T490" s="1134"/>
      <c r="U490" s="1138"/>
      <c r="V490" s="1112"/>
      <c r="W490" s="1112"/>
      <c r="X490" s="1112"/>
      <c r="Y490" s="1112"/>
      <c r="Z490" s="1112"/>
      <c r="AA490" s="1109"/>
      <c r="AB490" s="1109"/>
      <c r="AC490" s="1112"/>
      <c r="AD490" s="1112"/>
      <c r="AE490" s="436">
        <f t="shared" si="184"/>
        <v>0</v>
      </c>
      <c r="AF490" s="436">
        <f t="shared" si="185"/>
        <v>0</v>
      </c>
      <c r="AG490" s="436">
        <f t="shared" si="186"/>
        <v>0</v>
      </c>
      <c r="AH490" s="436">
        <f t="shared" si="187"/>
        <v>0</v>
      </c>
      <c r="AI490" s="436">
        <f t="shared" si="188"/>
        <v>0</v>
      </c>
      <c r="AJ490" s="436">
        <f t="shared" si="188"/>
        <v>0</v>
      </c>
      <c r="AK490" s="437">
        <f t="shared" si="189"/>
        <v>0</v>
      </c>
      <c r="AL490" s="437">
        <f t="shared" si="190"/>
        <v>0</v>
      </c>
      <c r="AM490" s="437">
        <f t="shared" si="191"/>
        <v>0</v>
      </c>
      <c r="AN490" s="437">
        <f t="shared" si="199"/>
        <v>0</v>
      </c>
      <c r="AO490" s="437">
        <f t="shared" si="200"/>
        <v>0</v>
      </c>
      <c r="AP490" s="437">
        <f t="shared" si="194"/>
        <v>0</v>
      </c>
      <c r="AQ490" s="437">
        <f t="shared" si="194"/>
        <v>0</v>
      </c>
      <c r="AR490" s="436"/>
      <c r="AS490" s="437">
        <f t="shared" si="195"/>
        <v>0</v>
      </c>
    </row>
    <row r="491" spans="1:46" s="438" customFormat="1" ht="24.95" customHeight="1">
      <c r="A491" s="1134"/>
      <c r="B491" s="1134"/>
      <c r="C491" s="1139" t="s">
        <v>735</v>
      </c>
      <c r="D491" s="1134"/>
      <c r="E491" s="1140" t="s">
        <v>756</v>
      </c>
      <c r="F491" s="1134">
        <v>3</v>
      </c>
      <c r="G491" s="1112">
        <v>3519</v>
      </c>
      <c r="H491" s="1112"/>
      <c r="I491" s="1112"/>
      <c r="J491" s="1112"/>
      <c r="K491" s="1112"/>
      <c r="L491" s="1140"/>
      <c r="M491" s="1140"/>
      <c r="N491" s="1112">
        <f>G491+I492</f>
        <v>3519</v>
      </c>
      <c r="O491" s="1112">
        <v>1</v>
      </c>
      <c r="P491" s="1112"/>
      <c r="Q491" s="1112"/>
      <c r="R491" s="1138">
        <v>0.1</v>
      </c>
      <c r="S491" s="1112">
        <f>N491*R491</f>
        <v>351.90000000000003</v>
      </c>
      <c r="T491" s="1134"/>
      <c r="U491" s="1138"/>
      <c r="V491" s="1112"/>
      <c r="W491" s="1112">
        <f>AD491</f>
        <v>3181</v>
      </c>
      <c r="X491" s="1112">
        <f>(N491+V491+Q492+S491)*O491+W491</f>
        <v>7051.9</v>
      </c>
      <c r="Y491" s="1112"/>
      <c r="Z491" s="1112">
        <f>X491+Y491</f>
        <v>7051.9</v>
      </c>
      <c r="AA491" s="1109">
        <f t="shared" si="198"/>
        <v>7051.9</v>
      </c>
      <c r="AB491" s="1109">
        <f>AA491-X491</f>
        <v>0</v>
      </c>
      <c r="AC491" s="1112">
        <f>6700*O491</f>
        <v>6700</v>
      </c>
      <c r="AD491" s="1112">
        <f>AC491-(N491*O491)</f>
        <v>3181</v>
      </c>
      <c r="AE491" s="436">
        <f t="shared" si="184"/>
        <v>3519</v>
      </c>
      <c r="AF491" s="436">
        <f t="shared" si="185"/>
        <v>0</v>
      </c>
      <c r="AG491" s="436">
        <f t="shared" si="186"/>
        <v>3519</v>
      </c>
      <c r="AH491" s="436">
        <f t="shared" si="187"/>
        <v>0</v>
      </c>
      <c r="AI491" s="436">
        <f t="shared" si="188"/>
        <v>0</v>
      </c>
      <c r="AJ491" s="436">
        <f t="shared" si="188"/>
        <v>0</v>
      </c>
      <c r="AK491" s="437">
        <f t="shared" si="189"/>
        <v>0</v>
      </c>
      <c r="AL491" s="437">
        <f t="shared" si="190"/>
        <v>0</v>
      </c>
      <c r="AM491" s="437">
        <f t="shared" si="191"/>
        <v>3181</v>
      </c>
      <c r="AN491" s="437">
        <f t="shared" si="199"/>
        <v>351.90000000000003</v>
      </c>
      <c r="AO491" s="437">
        <f t="shared" si="200"/>
        <v>0</v>
      </c>
      <c r="AP491" s="437">
        <f t="shared" si="194"/>
        <v>3519</v>
      </c>
      <c r="AQ491" s="437">
        <f t="shared" si="194"/>
        <v>0</v>
      </c>
      <c r="AR491" s="436"/>
      <c r="AS491" s="437">
        <f t="shared" si="195"/>
        <v>3519</v>
      </c>
    </row>
    <row r="492" spans="1:46" s="438" customFormat="1" ht="24.95" customHeight="1">
      <c r="A492" s="1134"/>
      <c r="B492" s="1134"/>
      <c r="C492" s="1139"/>
      <c r="D492" s="1134"/>
      <c r="E492" s="1140"/>
      <c r="F492" s="1134"/>
      <c r="G492" s="1112"/>
      <c r="H492" s="1112"/>
      <c r="I492" s="1112"/>
      <c r="J492" s="1112"/>
      <c r="K492" s="1112"/>
      <c r="L492" s="1140"/>
      <c r="M492" s="1140"/>
      <c r="N492" s="1112"/>
      <c r="O492" s="1112"/>
      <c r="P492" s="1112"/>
      <c r="Q492" s="1112"/>
      <c r="R492" s="1138"/>
      <c r="S492" s="1112"/>
      <c r="T492" s="1134"/>
      <c r="U492" s="1138"/>
      <c r="V492" s="1112"/>
      <c r="W492" s="1112"/>
      <c r="X492" s="1112"/>
      <c r="Y492" s="1112"/>
      <c r="Z492" s="1112"/>
      <c r="AA492" s="1109"/>
      <c r="AB492" s="1109"/>
      <c r="AC492" s="1112"/>
      <c r="AD492" s="1112"/>
      <c r="AE492" s="436">
        <f t="shared" si="184"/>
        <v>0</v>
      </c>
      <c r="AF492" s="436">
        <f t="shared" si="185"/>
        <v>0</v>
      </c>
      <c r="AG492" s="436">
        <f t="shared" si="186"/>
        <v>0</v>
      </c>
      <c r="AH492" s="436">
        <f t="shared" si="187"/>
        <v>0</v>
      </c>
      <c r="AI492" s="436">
        <f t="shared" si="188"/>
        <v>0</v>
      </c>
      <c r="AJ492" s="436">
        <f t="shared" si="188"/>
        <v>0</v>
      </c>
      <c r="AK492" s="437">
        <f t="shared" si="189"/>
        <v>0</v>
      </c>
      <c r="AL492" s="437">
        <f t="shared" si="190"/>
        <v>0</v>
      </c>
      <c r="AM492" s="437">
        <f t="shared" si="191"/>
        <v>0</v>
      </c>
      <c r="AN492" s="437">
        <f t="shared" si="199"/>
        <v>0</v>
      </c>
      <c r="AO492" s="437">
        <f t="shared" si="200"/>
        <v>0</v>
      </c>
      <c r="AP492" s="437">
        <f t="shared" si="194"/>
        <v>0</v>
      </c>
      <c r="AQ492" s="437">
        <f t="shared" si="194"/>
        <v>0</v>
      </c>
      <c r="AR492" s="436"/>
      <c r="AS492" s="437">
        <f t="shared" si="195"/>
        <v>0</v>
      </c>
    </row>
    <row r="493" spans="1:46" s="438" customFormat="1" ht="24.95" customHeight="1">
      <c r="A493" s="1134"/>
      <c r="B493" s="1134"/>
      <c r="C493" s="1139" t="s">
        <v>757</v>
      </c>
      <c r="D493" s="1134"/>
      <c r="E493" s="1140"/>
      <c r="F493" s="1134"/>
      <c r="G493" s="1112"/>
      <c r="H493" s="1112"/>
      <c r="I493" s="1138"/>
      <c r="J493" s="1138"/>
      <c r="K493" s="1112"/>
      <c r="L493" s="1140"/>
      <c r="M493" s="1140"/>
      <c r="N493" s="1112">
        <f>G493+I494</f>
        <v>0</v>
      </c>
      <c r="O493" s="1112"/>
      <c r="P493" s="1112"/>
      <c r="Q493" s="1140"/>
      <c r="R493" s="1138">
        <v>0.1</v>
      </c>
      <c r="S493" s="1112">
        <f>N493*R493</f>
        <v>0</v>
      </c>
      <c r="T493" s="1134"/>
      <c r="U493" s="1138"/>
      <c r="V493" s="1112"/>
      <c r="W493" s="1112">
        <f>AD493</f>
        <v>0</v>
      </c>
      <c r="X493" s="1112">
        <f>(N493+V493+Q494+S493)*O493+W493</f>
        <v>0</v>
      </c>
      <c r="Y493" s="1112"/>
      <c r="Z493" s="1112">
        <f>X493+Y493</f>
        <v>0</v>
      </c>
      <c r="AA493" s="1109">
        <f t="shared" si="198"/>
        <v>0</v>
      </c>
      <c r="AB493" s="1109">
        <f>AA493-X493</f>
        <v>0</v>
      </c>
      <c r="AC493" s="1112">
        <f>6700*O493</f>
        <v>0</v>
      </c>
      <c r="AD493" s="1112">
        <f>AC493-(N493*O493)</f>
        <v>0</v>
      </c>
      <c r="AE493" s="436">
        <f t="shared" si="184"/>
        <v>0</v>
      </c>
      <c r="AF493" s="436">
        <f t="shared" si="185"/>
        <v>0</v>
      </c>
      <c r="AG493" s="436">
        <f t="shared" si="186"/>
        <v>0</v>
      </c>
      <c r="AH493" s="436">
        <f t="shared" si="187"/>
        <v>0</v>
      </c>
      <c r="AI493" s="436">
        <f t="shared" si="188"/>
        <v>0</v>
      </c>
      <c r="AJ493" s="436">
        <f t="shared" si="188"/>
        <v>0</v>
      </c>
      <c r="AK493" s="437">
        <f t="shared" si="189"/>
        <v>0</v>
      </c>
      <c r="AL493" s="437">
        <f t="shared" si="190"/>
        <v>0</v>
      </c>
      <c r="AM493" s="437">
        <f t="shared" si="191"/>
        <v>0</v>
      </c>
      <c r="AN493" s="437">
        <f t="shared" si="199"/>
        <v>0</v>
      </c>
      <c r="AO493" s="437">
        <f t="shared" si="200"/>
        <v>0</v>
      </c>
      <c r="AP493" s="437">
        <f t="shared" si="194"/>
        <v>0</v>
      </c>
      <c r="AQ493" s="437">
        <f t="shared" si="194"/>
        <v>0</v>
      </c>
      <c r="AR493" s="436"/>
      <c r="AS493" s="437">
        <f t="shared" si="195"/>
        <v>0</v>
      </c>
    </row>
    <row r="494" spans="1:46" s="438" customFormat="1" ht="24.95" customHeight="1">
      <c r="A494" s="1134"/>
      <c r="B494" s="1134"/>
      <c r="C494" s="1139"/>
      <c r="D494" s="1134"/>
      <c r="E494" s="1140"/>
      <c r="F494" s="1134"/>
      <c r="G494" s="1112"/>
      <c r="H494" s="1112"/>
      <c r="I494" s="1134"/>
      <c r="J494" s="1134"/>
      <c r="K494" s="1112"/>
      <c r="L494" s="1140"/>
      <c r="M494" s="1140"/>
      <c r="N494" s="1112"/>
      <c r="O494" s="1112"/>
      <c r="P494" s="1112"/>
      <c r="Q494" s="1140"/>
      <c r="R494" s="1138"/>
      <c r="S494" s="1112"/>
      <c r="T494" s="1134"/>
      <c r="U494" s="1138"/>
      <c r="V494" s="1112"/>
      <c r="W494" s="1112"/>
      <c r="X494" s="1112"/>
      <c r="Y494" s="1112"/>
      <c r="Z494" s="1112"/>
      <c r="AA494" s="1109"/>
      <c r="AB494" s="1109"/>
      <c r="AC494" s="1112"/>
      <c r="AD494" s="1112"/>
      <c r="AE494" s="436">
        <f t="shared" si="184"/>
        <v>0</v>
      </c>
      <c r="AF494" s="436">
        <f t="shared" si="185"/>
        <v>0</v>
      </c>
      <c r="AG494" s="436">
        <f t="shared" si="186"/>
        <v>0</v>
      </c>
      <c r="AH494" s="436">
        <f t="shared" si="187"/>
        <v>0</v>
      </c>
      <c r="AI494" s="436">
        <f t="shared" si="188"/>
        <v>0</v>
      </c>
      <c r="AJ494" s="436">
        <f t="shared" si="188"/>
        <v>0</v>
      </c>
      <c r="AK494" s="437">
        <f t="shared" si="189"/>
        <v>0</v>
      </c>
      <c r="AL494" s="437">
        <f t="shared" si="190"/>
        <v>0</v>
      </c>
      <c r="AM494" s="437">
        <f t="shared" si="191"/>
        <v>0</v>
      </c>
      <c r="AN494" s="437">
        <f t="shared" si="199"/>
        <v>0</v>
      </c>
      <c r="AO494" s="437">
        <f t="shared" si="200"/>
        <v>0</v>
      </c>
      <c r="AP494" s="437">
        <f t="shared" si="194"/>
        <v>0</v>
      </c>
      <c r="AQ494" s="437">
        <f t="shared" si="194"/>
        <v>0</v>
      </c>
      <c r="AR494" s="436"/>
      <c r="AS494" s="437">
        <f t="shared" si="195"/>
        <v>0</v>
      </c>
    </row>
    <row r="495" spans="1:46" s="446" customFormat="1" ht="24.95" customHeight="1">
      <c r="A495" s="441"/>
      <c r="B495" s="441"/>
      <c r="C495" s="442" t="s">
        <v>318</v>
      </c>
      <c r="D495" s="443"/>
      <c r="E495" s="441"/>
      <c r="F495" s="441"/>
      <c r="G495" s="444">
        <f>SUM(G483:G494)</f>
        <v>14076</v>
      </c>
      <c r="H495" s="441"/>
      <c r="I495" s="441"/>
      <c r="J495" s="441"/>
      <c r="K495" s="441"/>
      <c r="L495" s="441"/>
      <c r="M495" s="441"/>
      <c r="N495" s="444">
        <f>SUM(N483:N494)</f>
        <v>14076</v>
      </c>
      <c r="O495" s="444">
        <f>SUM(O483:O494)</f>
        <v>4</v>
      </c>
      <c r="P495" s="444">
        <f>SUM(P483:P494)</f>
        <v>0</v>
      </c>
      <c r="Q495" s="451"/>
      <c r="R495" s="444"/>
      <c r="S495" s="444">
        <f>SUM(S483:S494)</f>
        <v>1407.6000000000001</v>
      </c>
      <c r="T495" s="444"/>
      <c r="U495" s="444"/>
      <c r="V495" s="444"/>
      <c r="W495" s="444">
        <f t="shared" ref="W495:AD495" si="201">SUM(W483:W494)</f>
        <v>12724</v>
      </c>
      <c r="X495" s="444">
        <f t="shared" si="201"/>
        <v>28207.599999999999</v>
      </c>
      <c r="Y495" s="444">
        <f t="shared" si="201"/>
        <v>0</v>
      </c>
      <c r="Z495" s="444">
        <f t="shared" si="201"/>
        <v>28207.599999999999</v>
      </c>
      <c r="AA495" s="499">
        <f t="shared" si="201"/>
        <v>28207.599999999999</v>
      </c>
      <c r="AB495" s="499">
        <f t="shared" si="201"/>
        <v>0</v>
      </c>
      <c r="AC495" s="444">
        <f t="shared" si="201"/>
        <v>26800</v>
      </c>
      <c r="AD495" s="444">
        <f t="shared" si="201"/>
        <v>12724</v>
      </c>
      <c r="AE495" s="436"/>
      <c r="AF495" s="436"/>
      <c r="AG495" s="436"/>
      <c r="AH495" s="436"/>
      <c r="AI495" s="436"/>
      <c r="AJ495" s="436"/>
      <c r="AK495" s="437"/>
      <c r="AL495" s="437"/>
      <c r="AM495" s="437"/>
      <c r="AN495" s="437"/>
      <c r="AO495" s="437"/>
      <c r="AP495" s="437">
        <f t="shared" si="194"/>
        <v>0</v>
      </c>
      <c r="AQ495" s="437">
        <f t="shared" si="194"/>
        <v>0</v>
      </c>
      <c r="AR495" s="436"/>
      <c r="AS495" s="437">
        <f t="shared" si="195"/>
        <v>0</v>
      </c>
    </row>
    <row r="496" spans="1:46" s="456" customFormat="1" ht="24.95" customHeight="1">
      <c r="A496" s="455"/>
      <c r="B496" s="455"/>
      <c r="C496" s="1136" t="s">
        <v>1031</v>
      </c>
      <c r="D496" s="1136"/>
      <c r="E496" s="455"/>
      <c r="F496" s="455"/>
      <c r="G496" s="455"/>
      <c r="H496" s="455"/>
      <c r="I496" s="455"/>
      <c r="J496" s="455"/>
      <c r="K496" s="455"/>
      <c r="L496" s="455"/>
      <c r="M496" s="455"/>
      <c r="N496" s="455"/>
      <c r="O496" s="455"/>
      <c r="P496" s="455"/>
      <c r="Q496" s="455"/>
      <c r="R496" s="455"/>
      <c r="S496" s="455"/>
      <c r="T496" s="455"/>
      <c r="U496" s="455"/>
      <c r="V496" s="455"/>
      <c r="W496" s="455"/>
      <c r="X496" s="455"/>
      <c r="Y496" s="455"/>
      <c r="Z496" s="455"/>
      <c r="AA496" s="504"/>
      <c r="AB496" s="504"/>
      <c r="AC496" s="455"/>
      <c r="AD496" s="455"/>
      <c r="AE496" s="436">
        <f t="shared" si="184"/>
        <v>0</v>
      </c>
      <c r="AF496" s="436">
        <f t="shared" si="185"/>
        <v>0</v>
      </c>
      <c r="AG496" s="436">
        <f t="shared" si="186"/>
        <v>0</v>
      </c>
      <c r="AH496" s="436">
        <f t="shared" si="187"/>
        <v>0</v>
      </c>
      <c r="AI496" s="436">
        <f t="shared" si="188"/>
        <v>0</v>
      </c>
      <c r="AJ496" s="436">
        <f t="shared" si="188"/>
        <v>0</v>
      </c>
      <c r="AK496" s="437">
        <f t="shared" si="189"/>
        <v>0</v>
      </c>
      <c r="AL496" s="437">
        <f t="shared" si="190"/>
        <v>0</v>
      </c>
      <c r="AM496" s="437">
        <f t="shared" si="191"/>
        <v>0</v>
      </c>
      <c r="AN496" s="437">
        <f t="shared" si="199"/>
        <v>0</v>
      </c>
      <c r="AO496" s="437">
        <f t="shared" si="200"/>
        <v>0</v>
      </c>
      <c r="AP496" s="437">
        <f t="shared" si="194"/>
        <v>0</v>
      </c>
      <c r="AQ496" s="437">
        <f t="shared" si="194"/>
        <v>0</v>
      </c>
      <c r="AR496" s="436"/>
      <c r="AS496" s="437">
        <f t="shared" si="195"/>
        <v>0</v>
      </c>
    </row>
    <row r="497" spans="1:45" s="438" customFormat="1" ht="24.95" customHeight="1">
      <c r="A497" s="1134"/>
      <c r="B497" s="1134"/>
      <c r="C497" s="1139" t="s">
        <v>735</v>
      </c>
      <c r="D497" s="1134"/>
      <c r="E497" s="1134"/>
      <c r="F497" s="1134"/>
      <c r="G497" s="1112"/>
      <c r="H497" s="1112"/>
      <c r="I497" s="1112"/>
      <c r="J497" s="1112"/>
      <c r="K497" s="1112"/>
      <c r="L497" s="1112"/>
      <c r="M497" s="1112"/>
      <c r="N497" s="1112"/>
      <c r="O497" s="1112"/>
      <c r="P497" s="1112"/>
      <c r="Q497" s="1112"/>
      <c r="R497" s="1138">
        <v>0.1</v>
      </c>
      <c r="S497" s="1112">
        <f>N497*R497</f>
        <v>0</v>
      </c>
      <c r="T497" s="1134"/>
      <c r="U497" s="1138"/>
      <c r="V497" s="1112"/>
      <c r="W497" s="1112">
        <f>AD497</f>
        <v>0</v>
      </c>
      <c r="X497" s="1112">
        <f>(N497+V497+Q498+S497)*O497+W497</f>
        <v>0</v>
      </c>
      <c r="Y497" s="1112"/>
      <c r="Z497" s="1112">
        <f>X497+Y497</f>
        <v>0</v>
      </c>
      <c r="AA497" s="1109">
        <f t="shared" ref="AA497:AA505" si="202">Z497</f>
        <v>0</v>
      </c>
      <c r="AB497" s="1109">
        <f>AA497-X497</f>
        <v>0</v>
      </c>
      <c r="AC497" s="1112">
        <f>6700*O497</f>
        <v>0</v>
      </c>
      <c r="AD497" s="1112">
        <f>AC497-(N497*O497)</f>
        <v>0</v>
      </c>
      <c r="AE497" s="436">
        <f t="shared" si="184"/>
        <v>0</v>
      </c>
      <c r="AF497" s="436">
        <f t="shared" si="185"/>
        <v>0</v>
      </c>
      <c r="AG497" s="436">
        <f t="shared" si="186"/>
        <v>0</v>
      </c>
      <c r="AH497" s="436">
        <f t="shared" si="187"/>
        <v>0</v>
      </c>
      <c r="AI497" s="436">
        <f t="shared" si="188"/>
        <v>0</v>
      </c>
      <c r="AJ497" s="436">
        <f t="shared" si="188"/>
        <v>0</v>
      </c>
      <c r="AK497" s="437">
        <f t="shared" si="189"/>
        <v>0</v>
      </c>
      <c r="AL497" s="437">
        <f t="shared" si="190"/>
        <v>0</v>
      </c>
      <c r="AM497" s="437">
        <f t="shared" si="191"/>
        <v>0</v>
      </c>
      <c r="AN497" s="437">
        <f t="shared" si="199"/>
        <v>0</v>
      </c>
      <c r="AO497" s="437">
        <f t="shared" si="200"/>
        <v>0</v>
      </c>
      <c r="AP497" s="437">
        <f t="shared" si="194"/>
        <v>0</v>
      </c>
      <c r="AQ497" s="437">
        <f t="shared" si="194"/>
        <v>0</v>
      </c>
      <c r="AR497" s="436"/>
      <c r="AS497" s="437">
        <f t="shared" si="195"/>
        <v>0</v>
      </c>
    </row>
    <row r="498" spans="1:45" s="438" customFormat="1" ht="24.95" customHeight="1">
      <c r="A498" s="1134"/>
      <c r="B498" s="1134"/>
      <c r="C498" s="1139"/>
      <c r="D498" s="1134"/>
      <c r="E498" s="1134"/>
      <c r="F498" s="1134"/>
      <c r="G498" s="1112"/>
      <c r="H498" s="1112"/>
      <c r="I498" s="1112"/>
      <c r="J498" s="1112"/>
      <c r="K498" s="1112"/>
      <c r="L498" s="1112"/>
      <c r="M498" s="1112"/>
      <c r="N498" s="1112"/>
      <c r="O498" s="1112"/>
      <c r="P498" s="1112"/>
      <c r="Q498" s="1112"/>
      <c r="R498" s="1138"/>
      <c r="S498" s="1112"/>
      <c r="T498" s="1134"/>
      <c r="U498" s="1138"/>
      <c r="V498" s="1112"/>
      <c r="W498" s="1112"/>
      <c r="X498" s="1112"/>
      <c r="Y498" s="1112"/>
      <c r="Z498" s="1112"/>
      <c r="AA498" s="1109"/>
      <c r="AB498" s="1109"/>
      <c r="AC498" s="1112"/>
      <c r="AD498" s="1112"/>
      <c r="AE498" s="436">
        <f t="shared" si="184"/>
        <v>0</v>
      </c>
      <c r="AF498" s="436">
        <f t="shared" si="185"/>
        <v>0</v>
      </c>
      <c r="AG498" s="436">
        <f t="shared" si="186"/>
        <v>0</v>
      </c>
      <c r="AH498" s="436">
        <f t="shared" si="187"/>
        <v>0</v>
      </c>
      <c r="AI498" s="436">
        <f t="shared" si="188"/>
        <v>0</v>
      </c>
      <c r="AJ498" s="436">
        <f t="shared" si="188"/>
        <v>0</v>
      </c>
      <c r="AK498" s="437">
        <f t="shared" si="189"/>
        <v>0</v>
      </c>
      <c r="AL498" s="437">
        <f t="shared" si="190"/>
        <v>0</v>
      </c>
      <c r="AM498" s="437">
        <f t="shared" si="191"/>
        <v>0</v>
      </c>
      <c r="AN498" s="437">
        <f t="shared" si="199"/>
        <v>0</v>
      </c>
      <c r="AO498" s="437">
        <f t="shared" si="200"/>
        <v>0</v>
      </c>
      <c r="AP498" s="437">
        <f t="shared" si="194"/>
        <v>0</v>
      </c>
      <c r="AQ498" s="437">
        <f t="shared" si="194"/>
        <v>0</v>
      </c>
      <c r="AR498" s="436"/>
      <c r="AS498" s="437">
        <f t="shared" si="195"/>
        <v>0</v>
      </c>
    </row>
    <row r="499" spans="1:45" s="438" customFormat="1" ht="24.95" customHeight="1">
      <c r="A499" s="1134"/>
      <c r="B499" s="1134"/>
      <c r="C499" s="1139" t="s">
        <v>735</v>
      </c>
      <c r="D499" s="1134"/>
      <c r="E499" s="1134" t="s">
        <v>695</v>
      </c>
      <c r="F499" s="1134">
        <v>3</v>
      </c>
      <c r="G499" s="1112">
        <v>3519</v>
      </c>
      <c r="H499" s="1112"/>
      <c r="I499" s="1112"/>
      <c r="J499" s="1112"/>
      <c r="K499" s="1112"/>
      <c r="L499" s="1112"/>
      <c r="M499" s="1112"/>
      <c r="N499" s="1112">
        <f>G499+H500</f>
        <v>3519</v>
      </c>
      <c r="O499" s="1112">
        <v>1</v>
      </c>
      <c r="P499" s="1112"/>
      <c r="Q499" s="1112"/>
      <c r="R499" s="1138">
        <v>0.1</v>
      </c>
      <c r="S499" s="1112">
        <f>N499*R499</f>
        <v>351.90000000000003</v>
      </c>
      <c r="T499" s="1134"/>
      <c r="U499" s="1138"/>
      <c r="V499" s="1112"/>
      <c r="W499" s="1112">
        <f>AD499</f>
        <v>3181</v>
      </c>
      <c r="X499" s="1112">
        <f>(N499+V499+Q500+S499)*O499+W499</f>
        <v>7051.9</v>
      </c>
      <c r="Y499" s="1112"/>
      <c r="Z499" s="1112">
        <f>X499+Y499</f>
        <v>7051.9</v>
      </c>
      <c r="AA499" s="1109">
        <f t="shared" si="202"/>
        <v>7051.9</v>
      </c>
      <c r="AB499" s="1109">
        <f>AA499-X499</f>
        <v>0</v>
      </c>
      <c r="AC499" s="1112">
        <f>6700*O499</f>
        <v>6700</v>
      </c>
      <c r="AD499" s="1112">
        <f>AC499-(N499*O499)</f>
        <v>3181</v>
      </c>
      <c r="AE499" s="436">
        <f>G499*O499</f>
        <v>3519</v>
      </c>
      <c r="AF499" s="436">
        <f>G499*P499</f>
        <v>0</v>
      </c>
      <c r="AG499" s="436">
        <f>N499*O499</f>
        <v>3519</v>
      </c>
      <c r="AH499" s="436">
        <f>N499*P499</f>
        <v>0</v>
      </c>
      <c r="AI499" s="436">
        <f>AG499-AE499</f>
        <v>0</v>
      </c>
      <c r="AJ499" s="436">
        <f>AH499-AF499</f>
        <v>0</v>
      </c>
      <c r="AK499" s="437">
        <f>V499*O499</f>
        <v>0</v>
      </c>
      <c r="AL499" s="437">
        <f>V499*P499</f>
        <v>0</v>
      </c>
      <c r="AM499" s="437">
        <f>W499</f>
        <v>3181</v>
      </c>
      <c r="AN499" s="437">
        <f>S499*O499</f>
        <v>351.90000000000003</v>
      </c>
      <c r="AO499" s="437">
        <f>S499*P499</f>
        <v>0</v>
      </c>
      <c r="AP499" s="437">
        <f>AG499</f>
        <v>3519</v>
      </c>
      <c r="AQ499" s="437">
        <f>AH499</f>
        <v>0</v>
      </c>
      <c r="AR499" s="436"/>
      <c r="AS499" s="437">
        <f>AP499+AQ499-AR499</f>
        <v>3519</v>
      </c>
    </row>
    <row r="500" spans="1:45" s="438" customFormat="1" ht="23.25" customHeight="1">
      <c r="A500" s="1134"/>
      <c r="B500" s="1134"/>
      <c r="C500" s="1139"/>
      <c r="D500" s="1134"/>
      <c r="E500" s="1134"/>
      <c r="F500" s="1134"/>
      <c r="G500" s="1112"/>
      <c r="H500" s="1112"/>
      <c r="I500" s="1112"/>
      <c r="J500" s="1112"/>
      <c r="K500" s="1112"/>
      <c r="L500" s="1112"/>
      <c r="M500" s="1112"/>
      <c r="N500" s="1112"/>
      <c r="O500" s="1112"/>
      <c r="P500" s="1112"/>
      <c r="Q500" s="1112"/>
      <c r="R500" s="1138"/>
      <c r="S500" s="1112"/>
      <c r="T500" s="1134"/>
      <c r="U500" s="1138"/>
      <c r="V500" s="1112"/>
      <c r="W500" s="1112"/>
      <c r="X500" s="1112"/>
      <c r="Y500" s="1112"/>
      <c r="Z500" s="1112"/>
      <c r="AA500" s="1109"/>
      <c r="AB500" s="1109"/>
      <c r="AC500" s="1112"/>
      <c r="AD500" s="1112"/>
      <c r="AE500" s="436">
        <f>G500*O500</f>
        <v>0</v>
      </c>
      <c r="AF500" s="436">
        <f>G500*P500</f>
        <v>0</v>
      </c>
      <c r="AG500" s="436">
        <f>N500*O500</f>
        <v>0</v>
      </c>
      <c r="AH500" s="436">
        <f>N500*P500</f>
        <v>0</v>
      </c>
      <c r="AI500" s="436">
        <f>AG500-AE500</f>
        <v>0</v>
      </c>
      <c r="AJ500" s="436">
        <f>AH500-AF500</f>
        <v>0</v>
      </c>
      <c r="AK500" s="437">
        <f>V500*O500</f>
        <v>0</v>
      </c>
      <c r="AL500" s="437">
        <f>V500*P500</f>
        <v>0</v>
      </c>
      <c r="AM500" s="437">
        <f>W500</f>
        <v>0</v>
      </c>
      <c r="AN500" s="437">
        <f>S500*O500</f>
        <v>0</v>
      </c>
      <c r="AO500" s="437">
        <f>S500*P500</f>
        <v>0</v>
      </c>
      <c r="AP500" s="437">
        <f>AG500</f>
        <v>0</v>
      </c>
      <c r="AQ500" s="437">
        <f>AH500</f>
        <v>0</v>
      </c>
      <c r="AR500" s="436"/>
      <c r="AS500" s="437">
        <f>AP500+AQ500-AR500</f>
        <v>0</v>
      </c>
    </row>
    <row r="501" spans="1:45" s="438" customFormat="1" ht="24.95" customHeight="1">
      <c r="A501" s="1134"/>
      <c r="B501" s="1134"/>
      <c r="C501" s="1139" t="s">
        <v>735</v>
      </c>
      <c r="D501" s="1134"/>
      <c r="E501" s="1134"/>
      <c r="F501" s="1134"/>
      <c r="G501" s="1112"/>
      <c r="H501" s="1112"/>
      <c r="I501" s="1112"/>
      <c r="J501" s="1112"/>
      <c r="K501" s="1112"/>
      <c r="L501" s="1112"/>
      <c r="M501" s="1112"/>
      <c r="N501" s="1112"/>
      <c r="O501" s="1112"/>
      <c r="P501" s="1112"/>
      <c r="Q501" s="1112"/>
      <c r="R501" s="1138">
        <v>0.1</v>
      </c>
      <c r="S501" s="1112">
        <f>N501*R501</f>
        <v>0</v>
      </c>
      <c r="T501" s="1134"/>
      <c r="U501" s="1138"/>
      <c r="V501" s="1112"/>
      <c r="W501" s="1112">
        <f>AD501</f>
        <v>0</v>
      </c>
      <c r="X501" s="1112">
        <f>(N501+V501+Q502+S501)*O501+W501</f>
        <v>0</v>
      </c>
      <c r="Y501" s="1112"/>
      <c r="Z501" s="1112">
        <f>X501+Y501</f>
        <v>0</v>
      </c>
      <c r="AA501" s="1109">
        <f t="shared" si="202"/>
        <v>0</v>
      </c>
      <c r="AB501" s="1109">
        <f>AA501-X501</f>
        <v>0</v>
      </c>
      <c r="AC501" s="1112">
        <f>6700*O501</f>
        <v>0</v>
      </c>
      <c r="AD501" s="1112">
        <f>AC501-(N501*O501)</f>
        <v>0</v>
      </c>
      <c r="AE501" s="436">
        <f t="shared" si="184"/>
        <v>0</v>
      </c>
      <c r="AF501" s="436">
        <f t="shared" si="185"/>
        <v>0</v>
      </c>
      <c r="AG501" s="436">
        <f t="shared" si="186"/>
        <v>0</v>
      </c>
      <c r="AH501" s="436">
        <f t="shared" si="187"/>
        <v>0</v>
      </c>
      <c r="AI501" s="436">
        <f t="shared" si="188"/>
        <v>0</v>
      </c>
      <c r="AJ501" s="436">
        <f t="shared" si="188"/>
        <v>0</v>
      </c>
      <c r="AK501" s="437">
        <f t="shared" si="189"/>
        <v>0</v>
      </c>
      <c r="AL501" s="437">
        <f t="shared" si="190"/>
        <v>0</v>
      </c>
      <c r="AM501" s="437">
        <f t="shared" si="191"/>
        <v>0</v>
      </c>
      <c r="AN501" s="437">
        <f t="shared" si="199"/>
        <v>0</v>
      </c>
      <c r="AO501" s="437">
        <f t="shared" si="200"/>
        <v>0</v>
      </c>
      <c r="AP501" s="437">
        <f t="shared" si="194"/>
        <v>0</v>
      </c>
      <c r="AQ501" s="437">
        <f t="shared" si="194"/>
        <v>0</v>
      </c>
      <c r="AR501" s="436"/>
      <c r="AS501" s="437">
        <f t="shared" si="195"/>
        <v>0</v>
      </c>
    </row>
    <row r="502" spans="1:45" s="438" customFormat="1" ht="24.95" customHeight="1">
      <c r="A502" s="1134"/>
      <c r="B502" s="1134"/>
      <c r="C502" s="1139"/>
      <c r="D502" s="1134"/>
      <c r="E502" s="1134"/>
      <c r="F502" s="1134"/>
      <c r="G502" s="1112"/>
      <c r="H502" s="1112"/>
      <c r="I502" s="1112"/>
      <c r="J502" s="1112"/>
      <c r="K502" s="1112"/>
      <c r="L502" s="1112"/>
      <c r="M502" s="1112"/>
      <c r="N502" s="1112"/>
      <c r="O502" s="1112"/>
      <c r="P502" s="1112"/>
      <c r="Q502" s="1112"/>
      <c r="R502" s="1138"/>
      <c r="S502" s="1112"/>
      <c r="T502" s="1134"/>
      <c r="U502" s="1138"/>
      <c r="V502" s="1112"/>
      <c r="W502" s="1112"/>
      <c r="X502" s="1112"/>
      <c r="Y502" s="1112"/>
      <c r="Z502" s="1112"/>
      <c r="AA502" s="1109"/>
      <c r="AB502" s="1109"/>
      <c r="AC502" s="1112"/>
      <c r="AD502" s="1112"/>
      <c r="AE502" s="436">
        <f t="shared" si="184"/>
        <v>0</v>
      </c>
      <c r="AF502" s="436">
        <f t="shared" si="185"/>
        <v>0</v>
      </c>
      <c r="AG502" s="436">
        <f t="shared" si="186"/>
        <v>0</v>
      </c>
      <c r="AH502" s="436">
        <f t="shared" si="187"/>
        <v>0</v>
      </c>
      <c r="AI502" s="436">
        <f t="shared" si="188"/>
        <v>0</v>
      </c>
      <c r="AJ502" s="436">
        <f t="shared" si="188"/>
        <v>0</v>
      </c>
      <c r="AK502" s="437">
        <f t="shared" si="189"/>
        <v>0</v>
      </c>
      <c r="AL502" s="437">
        <f t="shared" si="190"/>
        <v>0</v>
      </c>
      <c r="AM502" s="437">
        <f t="shared" si="191"/>
        <v>0</v>
      </c>
      <c r="AN502" s="437">
        <f t="shared" si="199"/>
        <v>0</v>
      </c>
      <c r="AO502" s="437">
        <f t="shared" si="200"/>
        <v>0</v>
      </c>
      <c r="AP502" s="437">
        <f t="shared" si="194"/>
        <v>0</v>
      </c>
      <c r="AQ502" s="437">
        <f t="shared" si="194"/>
        <v>0</v>
      </c>
      <c r="AR502" s="436"/>
      <c r="AS502" s="437">
        <f t="shared" si="195"/>
        <v>0</v>
      </c>
    </row>
    <row r="503" spans="1:45" s="438" customFormat="1" ht="24.95" customHeight="1">
      <c r="A503" s="1134"/>
      <c r="B503" s="1134"/>
      <c r="C503" s="1139" t="s">
        <v>735</v>
      </c>
      <c r="D503" s="1134"/>
      <c r="E503" s="1134" t="s">
        <v>758</v>
      </c>
      <c r="F503" s="1134">
        <v>3</v>
      </c>
      <c r="G503" s="1112">
        <v>3519</v>
      </c>
      <c r="H503" s="1112"/>
      <c r="I503" s="1112"/>
      <c r="J503" s="1112"/>
      <c r="K503" s="1112"/>
      <c r="L503" s="1112"/>
      <c r="M503" s="1112"/>
      <c r="N503" s="1112">
        <f>G503+H504</f>
        <v>3519</v>
      </c>
      <c r="O503" s="1112">
        <v>1</v>
      </c>
      <c r="P503" s="1112"/>
      <c r="Q503" s="1112"/>
      <c r="R503" s="1138">
        <v>0.1</v>
      </c>
      <c r="S503" s="1112">
        <f>N503*R503</f>
        <v>351.90000000000003</v>
      </c>
      <c r="T503" s="1134"/>
      <c r="U503" s="1138"/>
      <c r="V503" s="1112"/>
      <c r="W503" s="1112">
        <f>AD503</f>
        <v>3181</v>
      </c>
      <c r="X503" s="1112">
        <f>(N503+V503+Q504+S503)*O503+W503</f>
        <v>7051.9</v>
      </c>
      <c r="Y503" s="1112"/>
      <c r="Z503" s="1112">
        <f>X503+Y503</f>
        <v>7051.9</v>
      </c>
      <c r="AA503" s="1109">
        <f t="shared" si="202"/>
        <v>7051.9</v>
      </c>
      <c r="AB503" s="1109">
        <f>AA503-X503</f>
        <v>0</v>
      </c>
      <c r="AC503" s="1112">
        <f>6700*O503</f>
        <v>6700</v>
      </c>
      <c r="AD503" s="1112">
        <f>AC503-(N503*O503)</f>
        <v>3181</v>
      </c>
      <c r="AE503" s="436">
        <f>G503*O503</f>
        <v>3519</v>
      </c>
      <c r="AF503" s="436">
        <f>G503*P503</f>
        <v>0</v>
      </c>
      <c r="AG503" s="436">
        <f>N503*O503</f>
        <v>3519</v>
      </c>
      <c r="AH503" s="436">
        <f>N503*P503</f>
        <v>0</v>
      </c>
      <c r="AI503" s="436">
        <f>AG503-AE503</f>
        <v>0</v>
      </c>
      <c r="AJ503" s="436">
        <f>AH503-AF503</f>
        <v>0</v>
      </c>
      <c r="AK503" s="437">
        <f>V503*O503</f>
        <v>0</v>
      </c>
      <c r="AL503" s="437">
        <f>V503*P503</f>
        <v>0</v>
      </c>
      <c r="AM503" s="437">
        <f>W503</f>
        <v>3181</v>
      </c>
      <c r="AN503" s="437">
        <f>S503*O503</f>
        <v>351.90000000000003</v>
      </c>
      <c r="AO503" s="437">
        <f>S503*P503</f>
        <v>0</v>
      </c>
      <c r="AP503" s="437">
        <f>AG503</f>
        <v>3519</v>
      </c>
      <c r="AQ503" s="437">
        <f>AH503</f>
        <v>0</v>
      </c>
      <c r="AR503" s="436"/>
      <c r="AS503" s="437">
        <f>AP503+AQ503-AR503</f>
        <v>3519</v>
      </c>
    </row>
    <row r="504" spans="1:45" s="438" customFormat="1">
      <c r="A504" s="1134"/>
      <c r="B504" s="1134"/>
      <c r="C504" s="1139"/>
      <c r="D504" s="1134"/>
      <c r="E504" s="1134"/>
      <c r="F504" s="1134"/>
      <c r="G504" s="1112"/>
      <c r="H504" s="1112"/>
      <c r="I504" s="1112"/>
      <c r="J504" s="1112"/>
      <c r="K504" s="1112"/>
      <c r="L504" s="1112"/>
      <c r="M504" s="1112"/>
      <c r="N504" s="1112"/>
      <c r="O504" s="1112"/>
      <c r="P504" s="1112"/>
      <c r="Q504" s="1112"/>
      <c r="R504" s="1138"/>
      <c r="S504" s="1112"/>
      <c r="T504" s="1134"/>
      <c r="U504" s="1138"/>
      <c r="V504" s="1112"/>
      <c r="W504" s="1112"/>
      <c r="X504" s="1112"/>
      <c r="Y504" s="1112"/>
      <c r="Z504" s="1112"/>
      <c r="AA504" s="1109"/>
      <c r="AB504" s="1109"/>
      <c r="AC504" s="1112"/>
      <c r="AD504" s="1112"/>
      <c r="AE504" s="436">
        <f>G504*O504</f>
        <v>0</v>
      </c>
      <c r="AF504" s="436">
        <f>G504*P504</f>
        <v>0</v>
      </c>
      <c r="AG504" s="436">
        <f>N504*O504</f>
        <v>0</v>
      </c>
      <c r="AH504" s="436">
        <f>N504*P504</f>
        <v>0</v>
      </c>
      <c r="AI504" s="436">
        <f>AG504-AE504</f>
        <v>0</v>
      </c>
      <c r="AJ504" s="436">
        <f>AH504-AF504</f>
        <v>0</v>
      </c>
      <c r="AK504" s="437">
        <f>V504*O504</f>
        <v>0</v>
      </c>
      <c r="AL504" s="437">
        <f>V504*P504</f>
        <v>0</v>
      </c>
      <c r="AM504" s="437">
        <f>W504</f>
        <v>0</v>
      </c>
      <c r="AN504" s="437">
        <f>S504*O504</f>
        <v>0</v>
      </c>
      <c r="AO504" s="437">
        <f>S504*P504</f>
        <v>0</v>
      </c>
      <c r="AP504" s="437">
        <f>AG504</f>
        <v>0</v>
      </c>
      <c r="AQ504" s="437">
        <f>AH504</f>
        <v>0</v>
      </c>
      <c r="AR504" s="436"/>
      <c r="AS504" s="437">
        <f>AP504+AQ504-AR504</f>
        <v>0</v>
      </c>
    </row>
    <row r="505" spans="1:45" s="438" customFormat="1" ht="24.95" customHeight="1">
      <c r="A505" s="1134"/>
      <c r="B505" s="1134"/>
      <c r="C505" s="1139" t="s">
        <v>735</v>
      </c>
      <c r="D505" s="1134"/>
      <c r="E505" s="1134"/>
      <c r="F505" s="1134"/>
      <c r="G505" s="1112"/>
      <c r="H505" s="1112"/>
      <c r="I505" s="1112"/>
      <c r="J505" s="1112"/>
      <c r="K505" s="1112"/>
      <c r="L505" s="1112"/>
      <c r="M505" s="1112"/>
      <c r="N505" s="1112"/>
      <c r="O505" s="1112"/>
      <c r="P505" s="1112"/>
      <c r="Q505" s="1112"/>
      <c r="R505" s="1138">
        <v>0.1</v>
      </c>
      <c r="S505" s="1112">
        <f>N505*R505</f>
        <v>0</v>
      </c>
      <c r="T505" s="1134"/>
      <c r="U505" s="1138"/>
      <c r="V505" s="1112"/>
      <c r="W505" s="1112">
        <f>AD505</f>
        <v>0</v>
      </c>
      <c r="X505" s="1112">
        <f>(N505+V505+Q506+S505)*O505+W505</f>
        <v>0</v>
      </c>
      <c r="Y505" s="1112"/>
      <c r="Z505" s="1112">
        <f>X505+Y505</f>
        <v>0</v>
      </c>
      <c r="AA505" s="1109">
        <f t="shared" si="202"/>
        <v>0</v>
      </c>
      <c r="AB505" s="1109">
        <f>AA505-X505</f>
        <v>0</v>
      </c>
      <c r="AC505" s="1112">
        <f>6700*O505</f>
        <v>0</v>
      </c>
      <c r="AD505" s="1112">
        <f>AC505-(N505*O505)</f>
        <v>0</v>
      </c>
      <c r="AE505" s="436">
        <f t="shared" si="184"/>
        <v>0</v>
      </c>
      <c r="AF505" s="436">
        <f t="shared" si="185"/>
        <v>0</v>
      </c>
      <c r="AG505" s="436">
        <f t="shared" si="186"/>
        <v>0</v>
      </c>
      <c r="AH505" s="436">
        <f t="shared" si="187"/>
        <v>0</v>
      </c>
      <c r="AI505" s="436">
        <f t="shared" si="188"/>
        <v>0</v>
      </c>
      <c r="AJ505" s="436">
        <f t="shared" si="188"/>
        <v>0</v>
      </c>
      <c r="AK505" s="437">
        <f t="shared" si="189"/>
        <v>0</v>
      </c>
      <c r="AL505" s="437">
        <f t="shared" si="190"/>
        <v>0</v>
      </c>
      <c r="AM505" s="437">
        <f t="shared" si="191"/>
        <v>0</v>
      </c>
      <c r="AN505" s="437">
        <f t="shared" si="199"/>
        <v>0</v>
      </c>
      <c r="AO505" s="437">
        <f t="shared" si="200"/>
        <v>0</v>
      </c>
      <c r="AP505" s="437">
        <f t="shared" si="194"/>
        <v>0</v>
      </c>
      <c r="AQ505" s="437">
        <f t="shared" si="194"/>
        <v>0</v>
      </c>
      <c r="AR505" s="436"/>
      <c r="AS505" s="437">
        <f t="shared" si="195"/>
        <v>0</v>
      </c>
    </row>
    <row r="506" spans="1:45" s="438" customFormat="1" ht="24.95" customHeight="1">
      <c r="A506" s="1134"/>
      <c r="B506" s="1134"/>
      <c r="C506" s="1139"/>
      <c r="D506" s="1134"/>
      <c r="E506" s="1134"/>
      <c r="F506" s="1134"/>
      <c r="G506" s="1112"/>
      <c r="H506" s="1112"/>
      <c r="I506" s="1112"/>
      <c r="J506" s="1112"/>
      <c r="K506" s="1112"/>
      <c r="L506" s="1112"/>
      <c r="M506" s="1112"/>
      <c r="N506" s="1112"/>
      <c r="O506" s="1112"/>
      <c r="P506" s="1112"/>
      <c r="Q506" s="1112"/>
      <c r="R506" s="1138"/>
      <c r="S506" s="1112"/>
      <c r="T506" s="1134"/>
      <c r="U506" s="1138"/>
      <c r="V506" s="1112"/>
      <c r="W506" s="1112"/>
      <c r="X506" s="1112"/>
      <c r="Y506" s="1112"/>
      <c r="Z506" s="1112"/>
      <c r="AA506" s="1109"/>
      <c r="AB506" s="1109"/>
      <c r="AC506" s="1112"/>
      <c r="AD506" s="1112"/>
      <c r="AE506" s="436">
        <f t="shared" si="184"/>
        <v>0</v>
      </c>
      <c r="AF506" s="436">
        <f t="shared" si="185"/>
        <v>0</v>
      </c>
      <c r="AG506" s="436">
        <f t="shared" si="186"/>
        <v>0</v>
      </c>
      <c r="AH506" s="436">
        <f t="shared" si="187"/>
        <v>0</v>
      </c>
      <c r="AI506" s="436">
        <f t="shared" si="188"/>
        <v>0</v>
      </c>
      <c r="AJ506" s="436">
        <f t="shared" si="188"/>
        <v>0</v>
      </c>
      <c r="AK506" s="437">
        <f t="shared" si="189"/>
        <v>0</v>
      </c>
      <c r="AL506" s="437">
        <f t="shared" si="190"/>
        <v>0</v>
      </c>
      <c r="AM506" s="437">
        <f t="shared" si="191"/>
        <v>0</v>
      </c>
      <c r="AN506" s="437">
        <f t="shared" si="199"/>
        <v>0</v>
      </c>
      <c r="AO506" s="437">
        <f t="shared" si="200"/>
        <v>0</v>
      </c>
      <c r="AP506" s="437">
        <f t="shared" si="194"/>
        <v>0</v>
      </c>
      <c r="AQ506" s="437">
        <f t="shared" si="194"/>
        <v>0</v>
      </c>
      <c r="AR506" s="436"/>
      <c r="AS506" s="437">
        <f t="shared" si="195"/>
        <v>0</v>
      </c>
    </row>
    <row r="507" spans="1:45" s="446" customFormat="1" ht="24.95" customHeight="1">
      <c r="A507" s="441"/>
      <c r="B507" s="441"/>
      <c r="C507" s="442" t="s">
        <v>318</v>
      </c>
      <c r="D507" s="443"/>
      <c r="E507" s="441"/>
      <c r="F507" s="441"/>
      <c r="G507" s="444">
        <f>SUM(G497:G506)</f>
        <v>7038</v>
      </c>
      <c r="H507" s="441"/>
      <c r="I507" s="441"/>
      <c r="J507" s="441"/>
      <c r="K507" s="441"/>
      <c r="L507" s="441"/>
      <c r="M507" s="441"/>
      <c r="N507" s="444">
        <f>SUM(N497:N506)</f>
        <v>7038</v>
      </c>
      <c r="O507" s="444">
        <f>SUM(O497:O506)</f>
        <v>2</v>
      </c>
      <c r="P507" s="444">
        <f>SUM(P497:P506)</f>
        <v>0</v>
      </c>
      <c r="Q507" s="451"/>
      <c r="R507" s="444"/>
      <c r="S507" s="444">
        <f>SUM(S497:S506)</f>
        <v>703.80000000000007</v>
      </c>
      <c r="T507" s="444"/>
      <c r="U507" s="444"/>
      <c r="V507" s="444"/>
      <c r="W507" s="444">
        <f t="shared" ref="W507:AD507" si="203">SUM(W497:W506)</f>
        <v>6362</v>
      </c>
      <c r="X507" s="444">
        <f t="shared" si="203"/>
        <v>14103.8</v>
      </c>
      <c r="Y507" s="444">
        <f t="shared" si="203"/>
        <v>0</v>
      </c>
      <c r="Z507" s="444">
        <f t="shared" si="203"/>
        <v>14103.8</v>
      </c>
      <c r="AA507" s="499">
        <f t="shared" si="203"/>
        <v>14103.8</v>
      </c>
      <c r="AB507" s="499">
        <f t="shared" si="203"/>
        <v>0</v>
      </c>
      <c r="AC507" s="444">
        <f t="shared" si="203"/>
        <v>13400</v>
      </c>
      <c r="AD507" s="444">
        <f t="shared" si="203"/>
        <v>6362</v>
      </c>
      <c r="AE507" s="436"/>
      <c r="AF507" s="436"/>
      <c r="AG507" s="436"/>
      <c r="AH507" s="436"/>
      <c r="AI507" s="436"/>
      <c r="AJ507" s="436"/>
      <c r="AK507" s="437"/>
      <c r="AL507" s="437"/>
      <c r="AM507" s="437"/>
      <c r="AN507" s="437"/>
      <c r="AO507" s="437"/>
      <c r="AP507" s="437">
        <f t="shared" si="194"/>
        <v>0</v>
      </c>
      <c r="AQ507" s="437">
        <f t="shared" si="194"/>
        <v>0</v>
      </c>
      <c r="AR507" s="436"/>
      <c r="AS507" s="437">
        <f t="shared" si="195"/>
        <v>0</v>
      </c>
    </row>
    <row r="508" spans="1:45" s="456" customFormat="1" ht="24.95" customHeight="1">
      <c r="A508" s="455"/>
      <c r="B508" s="455"/>
      <c r="C508" s="1136" t="s">
        <v>1067</v>
      </c>
      <c r="D508" s="1136"/>
      <c r="E508" s="455"/>
      <c r="F508" s="455"/>
      <c r="G508" s="455"/>
      <c r="H508" s="455"/>
      <c r="I508" s="455"/>
      <c r="J508" s="455"/>
      <c r="K508" s="455"/>
      <c r="L508" s="455"/>
      <c r="M508" s="455"/>
      <c r="N508" s="455"/>
      <c r="O508" s="455"/>
      <c r="P508" s="455"/>
      <c r="Q508" s="455"/>
      <c r="R508" s="455"/>
      <c r="S508" s="455"/>
      <c r="T508" s="455"/>
      <c r="U508" s="455"/>
      <c r="V508" s="455"/>
      <c r="W508" s="455"/>
      <c r="X508" s="455"/>
      <c r="Y508" s="455"/>
      <c r="Z508" s="455"/>
      <c r="AA508" s="504"/>
      <c r="AB508" s="504"/>
      <c r="AC508" s="455"/>
      <c r="AD508" s="455"/>
      <c r="AE508" s="436">
        <f t="shared" si="184"/>
        <v>0</v>
      </c>
      <c r="AF508" s="436">
        <f t="shared" si="185"/>
        <v>0</v>
      </c>
      <c r="AG508" s="436">
        <f t="shared" si="186"/>
        <v>0</v>
      </c>
      <c r="AH508" s="436">
        <f t="shared" si="187"/>
        <v>0</v>
      </c>
      <c r="AI508" s="436">
        <f t="shared" si="188"/>
        <v>0</v>
      </c>
      <c r="AJ508" s="436">
        <f t="shared" si="188"/>
        <v>0</v>
      </c>
      <c r="AK508" s="437">
        <f t="shared" si="189"/>
        <v>0</v>
      </c>
      <c r="AL508" s="437">
        <f t="shared" si="190"/>
        <v>0</v>
      </c>
      <c r="AM508" s="437">
        <f t="shared" si="191"/>
        <v>0</v>
      </c>
      <c r="AN508" s="437">
        <f t="shared" si="199"/>
        <v>0</v>
      </c>
      <c r="AO508" s="437">
        <f t="shared" si="200"/>
        <v>0</v>
      </c>
      <c r="AP508" s="437">
        <f t="shared" si="194"/>
        <v>0</v>
      </c>
      <c r="AQ508" s="437">
        <f t="shared" si="194"/>
        <v>0</v>
      </c>
      <c r="AR508" s="436"/>
      <c r="AS508" s="437">
        <f t="shared" si="195"/>
        <v>0</v>
      </c>
    </row>
    <row r="509" spans="1:45" s="438" customFormat="1" ht="24.95" customHeight="1">
      <c r="A509" s="1134"/>
      <c r="B509" s="1134"/>
      <c r="C509" s="1139" t="s">
        <v>735</v>
      </c>
      <c r="D509" s="1134"/>
      <c r="E509" s="1134" t="s">
        <v>740</v>
      </c>
      <c r="F509" s="1134">
        <v>3</v>
      </c>
      <c r="G509" s="1112">
        <v>3519</v>
      </c>
      <c r="H509" s="1112"/>
      <c r="I509" s="1140"/>
      <c r="J509" s="1140"/>
      <c r="K509" s="1140"/>
      <c r="L509" s="1140"/>
      <c r="M509" s="1140"/>
      <c r="N509" s="1112">
        <f>G509+H510+K510</f>
        <v>3519</v>
      </c>
      <c r="O509" s="1112">
        <v>1</v>
      </c>
      <c r="P509" s="1140"/>
      <c r="Q509" s="1140"/>
      <c r="R509" s="1138">
        <v>0.1</v>
      </c>
      <c r="S509" s="1112">
        <f>N509*R509</f>
        <v>351.90000000000003</v>
      </c>
      <c r="T509" s="1134"/>
      <c r="U509" s="1138"/>
      <c r="V509" s="1112"/>
      <c r="W509" s="1112">
        <f>AD509</f>
        <v>3181</v>
      </c>
      <c r="X509" s="1112">
        <f>(N509+V509+Q510+S509)*O509+W509</f>
        <v>7051.9</v>
      </c>
      <c r="Y509" s="1112"/>
      <c r="Z509" s="1112">
        <f>X509+Y509</f>
        <v>7051.9</v>
      </c>
      <c r="AA509" s="1109">
        <f t="shared" ref="AA509:AA519" si="204">Z509</f>
        <v>7051.9</v>
      </c>
      <c r="AB509" s="1109">
        <f>AA509-X509</f>
        <v>0</v>
      </c>
      <c r="AC509" s="1112">
        <f>6700*O509</f>
        <v>6700</v>
      </c>
      <c r="AD509" s="1112">
        <f>AC509-(N509*O509)</f>
        <v>3181</v>
      </c>
      <c r="AE509" s="436">
        <f t="shared" si="184"/>
        <v>3519</v>
      </c>
      <c r="AF509" s="436">
        <f t="shared" si="185"/>
        <v>0</v>
      </c>
      <c r="AG509" s="436">
        <f t="shared" si="186"/>
        <v>3519</v>
      </c>
      <c r="AH509" s="436">
        <f t="shared" si="187"/>
        <v>0</v>
      </c>
      <c r="AI509" s="436">
        <f t="shared" si="188"/>
        <v>0</v>
      </c>
      <c r="AJ509" s="436">
        <f t="shared" si="188"/>
        <v>0</v>
      </c>
      <c r="AK509" s="437">
        <f t="shared" si="189"/>
        <v>0</v>
      </c>
      <c r="AL509" s="437">
        <f t="shared" si="190"/>
        <v>0</v>
      </c>
      <c r="AM509" s="437">
        <f t="shared" si="191"/>
        <v>3181</v>
      </c>
      <c r="AN509" s="437">
        <f t="shared" si="199"/>
        <v>351.90000000000003</v>
      </c>
      <c r="AO509" s="437">
        <f t="shared" si="200"/>
        <v>0</v>
      </c>
      <c r="AP509" s="437">
        <f t="shared" si="194"/>
        <v>3519</v>
      </c>
      <c r="AQ509" s="437">
        <f t="shared" si="194"/>
        <v>0</v>
      </c>
      <c r="AR509" s="436"/>
      <c r="AS509" s="437">
        <f t="shared" si="195"/>
        <v>3519</v>
      </c>
    </row>
    <row r="510" spans="1:45" s="438" customFormat="1" ht="24.95" customHeight="1">
      <c r="A510" s="1134"/>
      <c r="B510" s="1134"/>
      <c r="C510" s="1139"/>
      <c r="D510" s="1134"/>
      <c r="E510" s="1134"/>
      <c r="F510" s="1134"/>
      <c r="G510" s="1112"/>
      <c r="H510" s="1112"/>
      <c r="I510" s="1140"/>
      <c r="J510" s="1140"/>
      <c r="K510" s="1140"/>
      <c r="L510" s="1140"/>
      <c r="M510" s="1140"/>
      <c r="N510" s="1112"/>
      <c r="O510" s="1112"/>
      <c r="P510" s="1140"/>
      <c r="Q510" s="1140"/>
      <c r="R510" s="1138"/>
      <c r="S510" s="1112"/>
      <c r="T510" s="1134"/>
      <c r="U510" s="1138"/>
      <c r="V510" s="1112"/>
      <c r="W510" s="1112"/>
      <c r="X510" s="1112"/>
      <c r="Y510" s="1112"/>
      <c r="Z510" s="1112"/>
      <c r="AA510" s="1109"/>
      <c r="AB510" s="1109"/>
      <c r="AC510" s="1112"/>
      <c r="AD510" s="1112"/>
      <c r="AE510" s="436">
        <f t="shared" si="184"/>
        <v>0</v>
      </c>
      <c r="AF510" s="436">
        <f t="shared" si="185"/>
        <v>0</v>
      </c>
      <c r="AG510" s="436">
        <f t="shared" si="186"/>
        <v>0</v>
      </c>
      <c r="AH510" s="436">
        <f t="shared" si="187"/>
        <v>0</v>
      </c>
      <c r="AI510" s="436">
        <f t="shared" si="188"/>
        <v>0</v>
      </c>
      <c r="AJ510" s="436">
        <f t="shared" si="188"/>
        <v>0</v>
      </c>
      <c r="AK510" s="437">
        <f t="shared" si="189"/>
        <v>0</v>
      </c>
      <c r="AL510" s="437">
        <f t="shared" si="190"/>
        <v>0</v>
      </c>
      <c r="AM510" s="437">
        <f t="shared" si="191"/>
        <v>0</v>
      </c>
      <c r="AN510" s="437">
        <f t="shared" si="199"/>
        <v>0</v>
      </c>
      <c r="AO510" s="437">
        <f t="shared" si="200"/>
        <v>0</v>
      </c>
      <c r="AP510" s="437">
        <f t="shared" si="194"/>
        <v>0</v>
      </c>
      <c r="AQ510" s="437">
        <f t="shared" si="194"/>
        <v>0</v>
      </c>
      <c r="AR510" s="436"/>
      <c r="AS510" s="437">
        <f t="shared" si="195"/>
        <v>0</v>
      </c>
    </row>
    <row r="511" spans="1:45" s="438" customFormat="1" ht="24.95" customHeight="1">
      <c r="A511" s="1134"/>
      <c r="B511" s="1134"/>
      <c r="C511" s="1139" t="s">
        <v>735</v>
      </c>
      <c r="D511" s="1134"/>
      <c r="E511" s="1171" t="s">
        <v>744</v>
      </c>
      <c r="F511" s="1134">
        <v>3</v>
      </c>
      <c r="G511" s="1112">
        <v>3519</v>
      </c>
      <c r="H511" s="1112"/>
      <c r="I511" s="1112"/>
      <c r="J511" s="1112"/>
      <c r="K511" s="1112"/>
      <c r="L511" s="1112"/>
      <c r="M511" s="1112"/>
      <c r="N511" s="1112">
        <f>G511+H512</f>
        <v>3519</v>
      </c>
      <c r="O511" s="1112">
        <v>1</v>
      </c>
      <c r="P511" s="1140"/>
      <c r="Q511" s="1140"/>
      <c r="R511" s="1138">
        <v>0.1</v>
      </c>
      <c r="S511" s="1112">
        <f>N511*R511</f>
        <v>351.90000000000003</v>
      </c>
      <c r="T511" s="1134"/>
      <c r="U511" s="1138"/>
      <c r="V511" s="1112"/>
      <c r="W511" s="1112">
        <f>AD511</f>
        <v>3181</v>
      </c>
      <c r="X511" s="1112">
        <f>(N511+V511+Q512+S511)*O511+W511</f>
        <v>7051.9</v>
      </c>
      <c r="Y511" s="1112"/>
      <c r="Z511" s="1112">
        <f>X511+Y511</f>
        <v>7051.9</v>
      </c>
      <c r="AA511" s="1109">
        <f t="shared" si="204"/>
        <v>7051.9</v>
      </c>
      <c r="AB511" s="1109">
        <f>AA511-X511</f>
        <v>0</v>
      </c>
      <c r="AC511" s="1112">
        <f>6700*O511</f>
        <v>6700</v>
      </c>
      <c r="AD511" s="1112">
        <f>AC511-(N511*O511)</f>
        <v>3181</v>
      </c>
      <c r="AE511" s="436">
        <f t="shared" si="184"/>
        <v>3519</v>
      </c>
      <c r="AF511" s="436">
        <f t="shared" si="185"/>
        <v>0</v>
      </c>
      <c r="AG511" s="436">
        <f t="shared" si="186"/>
        <v>3519</v>
      </c>
      <c r="AH511" s="436">
        <f t="shared" si="187"/>
        <v>0</v>
      </c>
      <c r="AI511" s="436">
        <f t="shared" si="188"/>
        <v>0</v>
      </c>
      <c r="AJ511" s="436">
        <f t="shared" si="188"/>
        <v>0</v>
      </c>
      <c r="AK511" s="437">
        <f t="shared" si="189"/>
        <v>0</v>
      </c>
      <c r="AL511" s="437">
        <f t="shared" si="190"/>
        <v>0</v>
      </c>
      <c r="AM511" s="437">
        <f t="shared" si="191"/>
        <v>3181</v>
      </c>
      <c r="AN511" s="437">
        <f t="shared" si="199"/>
        <v>351.90000000000003</v>
      </c>
      <c r="AO511" s="437">
        <f t="shared" si="200"/>
        <v>0</v>
      </c>
      <c r="AP511" s="437">
        <f t="shared" si="194"/>
        <v>3519</v>
      </c>
      <c r="AQ511" s="437">
        <f t="shared" si="194"/>
        <v>0</v>
      </c>
      <c r="AR511" s="436"/>
      <c r="AS511" s="437">
        <f t="shared" si="195"/>
        <v>3519</v>
      </c>
    </row>
    <row r="512" spans="1:45" s="438" customFormat="1" ht="24.95" customHeight="1">
      <c r="A512" s="1134"/>
      <c r="B512" s="1134"/>
      <c r="C512" s="1139"/>
      <c r="D512" s="1134"/>
      <c r="E512" s="1172"/>
      <c r="F512" s="1134"/>
      <c r="G512" s="1112"/>
      <c r="H512" s="1112"/>
      <c r="I512" s="1112"/>
      <c r="J512" s="1112"/>
      <c r="K512" s="1112"/>
      <c r="L512" s="1112"/>
      <c r="M512" s="1112"/>
      <c r="N512" s="1112"/>
      <c r="O512" s="1112"/>
      <c r="P512" s="1140"/>
      <c r="Q512" s="1140"/>
      <c r="R512" s="1138"/>
      <c r="S512" s="1112"/>
      <c r="T512" s="1134"/>
      <c r="U512" s="1138"/>
      <c r="V512" s="1112"/>
      <c r="W512" s="1112"/>
      <c r="X512" s="1112"/>
      <c r="Y512" s="1112"/>
      <c r="Z512" s="1112"/>
      <c r="AA512" s="1109"/>
      <c r="AB512" s="1109"/>
      <c r="AC512" s="1112"/>
      <c r="AD512" s="1112"/>
      <c r="AE512" s="436">
        <f t="shared" si="184"/>
        <v>0</v>
      </c>
      <c r="AF512" s="436">
        <f t="shared" si="185"/>
        <v>0</v>
      </c>
      <c r="AG512" s="436">
        <f t="shared" si="186"/>
        <v>0</v>
      </c>
      <c r="AH512" s="436">
        <f t="shared" si="187"/>
        <v>0</v>
      </c>
      <c r="AI512" s="436">
        <f t="shared" si="188"/>
        <v>0</v>
      </c>
      <c r="AJ512" s="436">
        <f t="shared" si="188"/>
        <v>0</v>
      </c>
      <c r="AK512" s="437">
        <f t="shared" si="189"/>
        <v>0</v>
      </c>
      <c r="AL512" s="437">
        <f t="shared" si="190"/>
        <v>0</v>
      </c>
      <c r="AM512" s="437">
        <f t="shared" si="191"/>
        <v>0</v>
      </c>
      <c r="AN512" s="437">
        <f t="shared" si="199"/>
        <v>0</v>
      </c>
      <c r="AO512" s="437">
        <f t="shared" si="200"/>
        <v>0</v>
      </c>
      <c r="AP512" s="437">
        <f t="shared" si="194"/>
        <v>0</v>
      </c>
      <c r="AQ512" s="437">
        <f t="shared" si="194"/>
        <v>0</v>
      </c>
      <c r="AR512" s="436"/>
      <c r="AS512" s="437">
        <f t="shared" si="195"/>
        <v>0</v>
      </c>
    </row>
    <row r="513" spans="1:45" s="438" customFormat="1" ht="24.95" customHeight="1">
      <c r="A513" s="1134"/>
      <c r="B513" s="1134"/>
      <c r="C513" s="1139" t="s">
        <v>735</v>
      </c>
      <c r="D513" s="1134"/>
      <c r="E513" s="1171" t="s">
        <v>745</v>
      </c>
      <c r="F513" s="1134">
        <v>3</v>
      </c>
      <c r="G513" s="1112">
        <v>3519</v>
      </c>
      <c r="H513" s="1112"/>
      <c r="I513" s="1112"/>
      <c r="J513" s="1112"/>
      <c r="K513" s="1112"/>
      <c r="L513" s="1112"/>
      <c r="M513" s="1112"/>
      <c r="N513" s="1112">
        <f>G513+H514</f>
        <v>3519</v>
      </c>
      <c r="O513" s="1112">
        <v>1</v>
      </c>
      <c r="P513" s="1112"/>
      <c r="Q513" s="1112"/>
      <c r="R513" s="1138">
        <v>0.1</v>
      </c>
      <c r="S513" s="1112">
        <f>N513*R513</f>
        <v>351.90000000000003</v>
      </c>
      <c r="T513" s="1134"/>
      <c r="U513" s="1138"/>
      <c r="V513" s="1112"/>
      <c r="W513" s="1112">
        <f>AD513</f>
        <v>3181</v>
      </c>
      <c r="X513" s="1112">
        <f>(N513+V513+Q514+S513)*O513+W513</f>
        <v>7051.9</v>
      </c>
      <c r="Y513" s="1112"/>
      <c r="Z513" s="1112">
        <f>X513+Y513</f>
        <v>7051.9</v>
      </c>
      <c r="AA513" s="1109">
        <f t="shared" si="204"/>
        <v>7051.9</v>
      </c>
      <c r="AB513" s="1109">
        <f>AA513-X513</f>
        <v>0</v>
      </c>
      <c r="AC513" s="1112">
        <f>6700*O513</f>
        <v>6700</v>
      </c>
      <c r="AD513" s="1112">
        <f>AC513-(N513*O513)</f>
        <v>3181</v>
      </c>
      <c r="AE513" s="436">
        <f t="shared" si="184"/>
        <v>3519</v>
      </c>
      <c r="AF513" s="436">
        <f t="shared" si="185"/>
        <v>0</v>
      </c>
      <c r="AG513" s="436">
        <f t="shared" si="186"/>
        <v>3519</v>
      </c>
      <c r="AH513" s="436">
        <f t="shared" si="187"/>
        <v>0</v>
      </c>
      <c r="AI513" s="436">
        <f t="shared" si="188"/>
        <v>0</v>
      </c>
      <c r="AJ513" s="436">
        <f t="shared" si="188"/>
        <v>0</v>
      </c>
      <c r="AK513" s="437">
        <f t="shared" si="189"/>
        <v>0</v>
      </c>
      <c r="AL513" s="437">
        <f t="shared" si="190"/>
        <v>0</v>
      </c>
      <c r="AM513" s="437">
        <f t="shared" si="191"/>
        <v>3181</v>
      </c>
      <c r="AN513" s="437">
        <f t="shared" si="199"/>
        <v>351.90000000000003</v>
      </c>
      <c r="AO513" s="437">
        <f t="shared" si="200"/>
        <v>0</v>
      </c>
      <c r="AP513" s="437">
        <f t="shared" si="194"/>
        <v>3519</v>
      </c>
      <c r="AQ513" s="437">
        <f t="shared" si="194"/>
        <v>0</v>
      </c>
      <c r="AR513" s="436"/>
      <c r="AS513" s="437">
        <f t="shared" si="195"/>
        <v>3519</v>
      </c>
    </row>
    <row r="514" spans="1:45" s="438" customFormat="1" ht="24.95" customHeight="1">
      <c r="A514" s="1134"/>
      <c r="B514" s="1134"/>
      <c r="C514" s="1139"/>
      <c r="D514" s="1134"/>
      <c r="E514" s="1172"/>
      <c r="F514" s="1134"/>
      <c r="G514" s="1112"/>
      <c r="H514" s="1112"/>
      <c r="I514" s="1112"/>
      <c r="J514" s="1112"/>
      <c r="K514" s="1112"/>
      <c r="L514" s="1112"/>
      <c r="M514" s="1112"/>
      <c r="N514" s="1112"/>
      <c r="O514" s="1112"/>
      <c r="P514" s="1112"/>
      <c r="Q514" s="1112"/>
      <c r="R514" s="1138"/>
      <c r="S514" s="1112"/>
      <c r="T514" s="1134"/>
      <c r="U514" s="1138"/>
      <c r="V514" s="1112"/>
      <c r="W514" s="1112"/>
      <c r="X514" s="1112"/>
      <c r="Y514" s="1112"/>
      <c r="Z514" s="1112"/>
      <c r="AA514" s="1109"/>
      <c r="AB514" s="1109"/>
      <c r="AC514" s="1112"/>
      <c r="AD514" s="1112"/>
      <c r="AE514" s="436">
        <f t="shared" si="184"/>
        <v>0</v>
      </c>
      <c r="AF514" s="436">
        <f t="shared" si="185"/>
        <v>0</v>
      </c>
      <c r="AG514" s="436">
        <f t="shared" si="186"/>
        <v>0</v>
      </c>
      <c r="AH514" s="436">
        <f t="shared" si="187"/>
        <v>0</v>
      </c>
      <c r="AI514" s="436">
        <f t="shared" si="188"/>
        <v>0</v>
      </c>
      <c r="AJ514" s="436">
        <f t="shared" si="188"/>
        <v>0</v>
      </c>
      <c r="AK514" s="437">
        <f t="shared" si="189"/>
        <v>0</v>
      </c>
      <c r="AL514" s="437">
        <f t="shared" si="190"/>
        <v>0</v>
      </c>
      <c r="AM514" s="437">
        <f t="shared" si="191"/>
        <v>0</v>
      </c>
      <c r="AN514" s="437">
        <f t="shared" si="199"/>
        <v>0</v>
      </c>
      <c r="AO514" s="437">
        <f t="shared" si="200"/>
        <v>0</v>
      </c>
      <c r="AP514" s="437">
        <f t="shared" si="194"/>
        <v>0</v>
      </c>
      <c r="AQ514" s="437">
        <f t="shared" si="194"/>
        <v>0</v>
      </c>
      <c r="AR514" s="436"/>
      <c r="AS514" s="437">
        <f t="shared" si="195"/>
        <v>0</v>
      </c>
    </row>
    <row r="515" spans="1:45" s="438" customFormat="1" ht="24.95" customHeight="1">
      <c r="A515" s="1134"/>
      <c r="B515" s="1134"/>
      <c r="C515" s="1139" t="s">
        <v>735</v>
      </c>
      <c r="D515" s="1134"/>
      <c r="E515" s="1171" t="s">
        <v>746</v>
      </c>
      <c r="F515" s="1134">
        <v>3</v>
      </c>
      <c r="G515" s="1112">
        <v>3519</v>
      </c>
      <c r="H515" s="1112"/>
      <c r="I515" s="1112"/>
      <c r="J515" s="1112"/>
      <c r="K515" s="1112"/>
      <c r="L515" s="1112"/>
      <c r="M515" s="1112"/>
      <c r="N515" s="1112">
        <f>G515+H516</f>
        <v>3519</v>
      </c>
      <c r="O515" s="1112">
        <v>1</v>
      </c>
      <c r="P515" s="1112"/>
      <c r="Q515" s="1112"/>
      <c r="R515" s="1138">
        <v>0.1</v>
      </c>
      <c r="S515" s="1112">
        <f>N515*R515</f>
        <v>351.90000000000003</v>
      </c>
      <c r="T515" s="1134"/>
      <c r="U515" s="1138"/>
      <c r="V515" s="1112"/>
      <c r="W515" s="1112">
        <f>AD515</f>
        <v>3181</v>
      </c>
      <c r="X515" s="1112">
        <f>(N515+V515+Q516+S515)*O515+W515</f>
        <v>7051.9</v>
      </c>
      <c r="Y515" s="1112"/>
      <c r="Z515" s="1112">
        <f>X515+Y515</f>
        <v>7051.9</v>
      </c>
      <c r="AA515" s="1109">
        <f t="shared" si="204"/>
        <v>7051.9</v>
      </c>
      <c r="AB515" s="1109">
        <f>AA515-X515</f>
        <v>0</v>
      </c>
      <c r="AC515" s="1112">
        <f>6700*O515</f>
        <v>6700</v>
      </c>
      <c r="AD515" s="1112">
        <f>AC515-(N515*O515)</f>
        <v>3181</v>
      </c>
      <c r="AE515" s="436">
        <f>G515*O515</f>
        <v>3519</v>
      </c>
      <c r="AF515" s="436">
        <f>G515*P515</f>
        <v>0</v>
      </c>
      <c r="AG515" s="436">
        <f>N515*O515</f>
        <v>3519</v>
      </c>
      <c r="AH515" s="436">
        <f>N515*P515</f>
        <v>0</v>
      </c>
      <c r="AI515" s="436">
        <f>AG515-AE515</f>
        <v>0</v>
      </c>
      <c r="AJ515" s="436">
        <f>AH515-AF515</f>
        <v>0</v>
      </c>
      <c r="AK515" s="437">
        <f>V515*O515</f>
        <v>0</v>
      </c>
      <c r="AL515" s="437">
        <f>V515*P515</f>
        <v>0</v>
      </c>
      <c r="AM515" s="437">
        <f>W515</f>
        <v>3181</v>
      </c>
      <c r="AN515" s="437">
        <f>S515*O515</f>
        <v>351.90000000000003</v>
      </c>
      <c r="AO515" s="437">
        <f>S515*P515</f>
        <v>0</v>
      </c>
      <c r="AP515" s="437">
        <f>AG515</f>
        <v>3519</v>
      </c>
      <c r="AQ515" s="437">
        <f>AH515</f>
        <v>0</v>
      </c>
      <c r="AR515" s="436"/>
      <c r="AS515" s="437">
        <f>AP515+AQ515-AR515</f>
        <v>3519</v>
      </c>
    </row>
    <row r="516" spans="1:45" s="438" customFormat="1" ht="24.95" customHeight="1">
      <c r="A516" s="1134"/>
      <c r="B516" s="1134"/>
      <c r="C516" s="1139"/>
      <c r="D516" s="1134"/>
      <c r="E516" s="1172"/>
      <c r="F516" s="1134"/>
      <c r="G516" s="1112"/>
      <c r="H516" s="1112"/>
      <c r="I516" s="1112"/>
      <c r="J516" s="1112"/>
      <c r="K516" s="1112"/>
      <c r="L516" s="1112"/>
      <c r="M516" s="1112"/>
      <c r="N516" s="1112"/>
      <c r="O516" s="1112"/>
      <c r="P516" s="1112"/>
      <c r="Q516" s="1112"/>
      <c r="R516" s="1138"/>
      <c r="S516" s="1112"/>
      <c r="T516" s="1134"/>
      <c r="U516" s="1138"/>
      <c r="V516" s="1112"/>
      <c r="W516" s="1112"/>
      <c r="X516" s="1112"/>
      <c r="Y516" s="1112"/>
      <c r="Z516" s="1112"/>
      <c r="AA516" s="1109"/>
      <c r="AB516" s="1109"/>
      <c r="AC516" s="1112"/>
      <c r="AD516" s="1112"/>
      <c r="AE516" s="436">
        <f>G516*O516</f>
        <v>0</v>
      </c>
      <c r="AF516" s="436">
        <f>G516*P516</f>
        <v>0</v>
      </c>
      <c r="AG516" s="436">
        <f>N516*O516</f>
        <v>0</v>
      </c>
      <c r="AH516" s="436">
        <f>N516*P516</f>
        <v>0</v>
      </c>
      <c r="AI516" s="436">
        <f>AG516-AE516</f>
        <v>0</v>
      </c>
      <c r="AJ516" s="436">
        <f>AH516-AF516</f>
        <v>0</v>
      </c>
      <c r="AK516" s="437">
        <f>V516*O516</f>
        <v>0</v>
      </c>
      <c r="AL516" s="437">
        <f>V516*P516</f>
        <v>0</v>
      </c>
      <c r="AM516" s="437">
        <f>W516</f>
        <v>0</v>
      </c>
      <c r="AN516" s="437">
        <f>S516*O516</f>
        <v>0</v>
      </c>
      <c r="AO516" s="437">
        <f>S516*P516</f>
        <v>0</v>
      </c>
      <c r="AP516" s="437">
        <f>AG516</f>
        <v>0</v>
      </c>
      <c r="AQ516" s="437">
        <f>AH516</f>
        <v>0</v>
      </c>
      <c r="AR516" s="436"/>
      <c r="AS516" s="437">
        <f>AP516+AQ516-AR516</f>
        <v>0</v>
      </c>
    </row>
    <row r="517" spans="1:45" s="438" customFormat="1" ht="24.95" customHeight="1">
      <c r="A517" s="1134"/>
      <c r="B517" s="1134"/>
      <c r="C517" s="1139" t="s">
        <v>735</v>
      </c>
      <c r="D517" s="1134"/>
      <c r="E517" s="1134" t="s">
        <v>749</v>
      </c>
      <c r="F517" s="1134">
        <v>3</v>
      </c>
      <c r="G517" s="1112">
        <v>3519</v>
      </c>
      <c r="H517" s="1112"/>
      <c r="I517" s="1112"/>
      <c r="J517" s="1112"/>
      <c r="K517" s="1112"/>
      <c r="L517" s="1112"/>
      <c r="M517" s="1112"/>
      <c r="N517" s="1112">
        <f>G517+H518</f>
        <v>3519</v>
      </c>
      <c r="O517" s="1112">
        <v>1</v>
      </c>
      <c r="P517" s="1112"/>
      <c r="Q517" s="1112"/>
      <c r="R517" s="1138">
        <v>0.1</v>
      </c>
      <c r="S517" s="1112">
        <f>N517*R517</f>
        <v>351.90000000000003</v>
      </c>
      <c r="T517" s="1134"/>
      <c r="U517" s="1138"/>
      <c r="V517" s="1112"/>
      <c r="W517" s="1112">
        <f>AD517</f>
        <v>3181</v>
      </c>
      <c r="X517" s="1112">
        <f>(N517+V517+Q518+S517)*O517+W517</f>
        <v>7051.9</v>
      </c>
      <c r="Y517" s="1112"/>
      <c r="Z517" s="1112">
        <f>X517+Y517</f>
        <v>7051.9</v>
      </c>
      <c r="AA517" s="1109">
        <f t="shared" si="204"/>
        <v>7051.9</v>
      </c>
      <c r="AB517" s="1109">
        <f>AA517-X517</f>
        <v>0</v>
      </c>
      <c r="AC517" s="1112">
        <f>6700*O517</f>
        <v>6700</v>
      </c>
      <c r="AD517" s="1112">
        <f>AC517-(N517*O517)</f>
        <v>3181</v>
      </c>
      <c r="AE517" s="436">
        <f t="shared" si="184"/>
        <v>3519</v>
      </c>
      <c r="AF517" s="436">
        <f t="shared" si="185"/>
        <v>0</v>
      </c>
      <c r="AG517" s="436">
        <f t="shared" si="186"/>
        <v>3519</v>
      </c>
      <c r="AH517" s="436">
        <f t="shared" si="187"/>
        <v>0</v>
      </c>
      <c r="AI517" s="436">
        <f t="shared" si="188"/>
        <v>0</v>
      </c>
      <c r="AJ517" s="436">
        <f t="shared" si="188"/>
        <v>0</v>
      </c>
      <c r="AK517" s="437">
        <f t="shared" si="189"/>
        <v>0</v>
      </c>
      <c r="AL517" s="437">
        <f t="shared" si="190"/>
        <v>0</v>
      </c>
      <c r="AM517" s="437">
        <f t="shared" si="191"/>
        <v>3181</v>
      </c>
      <c r="AN517" s="437">
        <f t="shared" si="199"/>
        <v>351.90000000000003</v>
      </c>
      <c r="AO517" s="437">
        <f t="shared" si="200"/>
        <v>0</v>
      </c>
      <c r="AP517" s="437">
        <f t="shared" si="194"/>
        <v>3519</v>
      </c>
      <c r="AQ517" s="437">
        <f t="shared" si="194"/>
        <v>0</v>
      </c>
      <c r="AR517" s="436"/>
      <c r="AS517" s="437">
        <f t="shared" si="195"/>
        <v>3519</v>
      </c>
    </row>
    <row r="518" spans="1:45" s="438" customFormat="1" ht="24.95" customHeight="1">
      <c r="A518" s="1134"/>
      <c r="B518" s="1134"/>
      <c r="C518" s="1139"/>
      <c r="D518" s="1134"/>
      <c r="E518" s="1134"/>
      <c r="F518" s="1134"/>
      <c r="G518" s="1112"/>
      <c r="H518" s="1112"/>
      <c r="I518" s="1112"/>
      <c r="J518" s="1112"/>
      <c r="K518" s="1112"/>
      <c r="L518" s="1112"/>
      <c r="M518" s="1112"/>
      <c r="N518" s="1112"/>
      <c r="O518" s="1112"/>
      <c r="P518" s="1112"/>
      <c r="Q518" s="1112"/>
      <c r="R518" s="1138"/>
      <c r="S518" s="1112"/>
      <c r="T518" s="1134"/>
      <c r="U518" s="1138"/>
      <c r="V518" s="1112"/>
      <c r="W518" s="1112"/>
      <c r="X518" s="1112"/>
      <c r="Y518" s="1112"/>
      <c r="Z518" s="1112"/>
      <c r="AA518" s="1109"/>
      <c r="AB518" s="1109"/>
      <c r="AC518" s="1112"/>
      <c r="AD518" s="1112"/>
      <c r="AE518" s="436">
        <f t="shared" si="184"/>
        <v>0</v>
      </c>
      <c r="AF518" s="436">
        <f t="shared" si="185"/>
        <v>0</v>
      </c>
      <c r="AG518" s="436">
        <f t="shared" si="186"/>
        <v>0</v>
      </c>
      <c r="AH518" s="436">
        <f t="shared" si="187"/>
        <v>0</v>
      </c>
      <c r="AI518" s="436">
        <f t="shared" si="188"/>
        <v>0</v>
      </c>
      <c r="AJ518" s="436">
        <f t="shared" si="188"/>
        <v>0</v>
      </c>
      <c r="AK518" s="437">
        <f t="shared" si="189"/>
        <v>0</v>
      </c>
      <c r="AL518" s="437">
        <f t="shared" si="190"/>
        <v>0</v>
      </c>
      <c r="AM518" s="437">
        <f t="shared" si="191"/>
        <v>0</v>
      </c>
      <c r="AN518" s="437">
        <f t="shared" si="199"/>
        <v>0</v>
      </c>
      <c r="AO518" s="437">
        <f t="shared" si="200"/>
        <v>0</v>
      </c>
      <c r="AP518" s="437">
        <f t="shared" si="194"/>
        <v>0</v>
      </c>
      <c r="AQ518" s="437">
        <f t="shared" si="194"/>
        <v>0</v>
      </c>
      <c r="AR518" s="436"/>
      <c r="AS518" s="437">
        <f t="shared" si="195"/>
        <v>0</v>
      </c>
    </row>
    <row r="519" spans="1:45" s="438" customFormat="1" ht="24.95" customHeight="1">
      <c r="A519" s="1134"/>
      <c r="B519" s="1134"/>
      <c r="C519" s="1139" t="s">
        <v>735</v>
      </c>
      <c r="D519" s="1134"/>
      <c r="E519" s="1134" t="s">
        <v>761</v>
      </c>
      <c r="F519" s="1134">
        <v>3</v>
      </c>
      <c r="G519" s="1112">
        <v>3519</v>
      </c>
      <c r="H519" s="1112"/>
      <c r="I519" s="1112"/>
      <c r="J519" s="1112"/>
      <c r="K519" s="1112"/>
      <c r="L519" s="1140"/>
      <c r="M519" s="1140"/>
      <c r="N519" s="1112">
        <f>G519+I520</f>
        <v>3519</v>
      </c>
      <c r="O519" s="1112">
        <v>1</v>
      </c>
      <c r="P519" s="1112"/>
      <c r="Q519" s="1112"/>
      <c r="R519" s="1138">
        <v>0.1</v>
      </c>
      <c r="S519" s="1112">
        <f>N519*R519</f>
        <v>351.90000000000003</v>
      </c>
      <c r="T519" s="1134"/>
      <c r="U519" s="1138"/>
      <c r="V519" s="1112"/>
      <c r="W519" s="1112">
        <f>AD519</f>
        <v>3181</v>
      </c>
      <c r="X519" s="1112">
        <f>(N519+V519+Q520+S519)*O519+W519</f>
        <v>7051.9</v>
      </c>
      <c r="Y519" s="1112"/>
      <c r="Z519" s="1112">
        <f>X519+Y519</f>
        <v>7051.9</v>
      </c>
      <c r="AA519" s="1109">
        <f t="shared" si="204"/>
        <v>7051.9</v>
      </c>
      <c r="AB519" s="1109">
        <f>AA519-X519</f>
        <v>0</v>
      </c>
      <c r="AC519" s="1112">
        <f>6700*O519</f>
        <v>6700</v>
      </c>
      <c r="AD519" s="1112">
        <f>AC519-(N519*O519)</f>
        <v>3181</v>
      </c>
      <c r="AE519" s="436">
        <f t="shared" si="184"/>
        <v>3519</v>
      </c>
      <c r="AF519" s="436">
        <f t="shared" si="185"/>
        <v>0</v>
      </c>
      <c r="AG519" s="436">
        <f t="shared" si="186"/>
        <v>3519</v>
      </c>
      <c r="AH519" s="436">
        <f t="shared" si="187"/>
        <v>0</v>
      </c>
      <c r="AI519" s="436">
        <f t="shared" si="188"/>
        <v>0</v>
      </c>
      <c r="AJ519" s="436">
        <f t="shared" si="188"/>
        <v>0</v>
      </c>
      <c r="AK519" s="437">
        <f t="shared" si="189"/>
        <v>0</v>
      </c>
      <c r="AL519" s="437">
        <f t="shared" si="190"/>
        <v>0</v>
      </c>
      <c r="AM519" s="437">
        <f t="shared" si="191"/>
        <v>3181</v>
      </c>
      <c r="AN519" s="437">
        <f t="shared" si="199"/>
        <v>351.90000000000003</v>
      </c>
      <c r="AO519" s="437">
        <f t="shared" si="200"/>
        <v>0</v>
      </c>
      <c r="AP519" s="437">
        <f t="shared" si="194"/>
        <v>3519</v>
      </c>
      <c r="AQ519" s="437">
        <f t="shared" si="194"/>
        <v>0</v>
      </c>
      <c r="AR519" s="436"/>
      <c r="AS519" s="437">
        <f t="shared" si="195"/>
        <v>3519</v>
      </c>
    </row>
    <row r="520" spans="1:45" s="438" customFormat="1" ht="24.95" customHeight="1">
      <c r="A520" s="1134"/>
      <c r="B520" s="1134"/>
      <c r="C520" s="1139"/>
      <c r="D520" s="1134"/>
      <c r="E520" s="1134"/>
      <c r="F520" s="1134"/>
      <c r="G520" s="1112"/>
      <c r="H520" s="1112"/>
      <c r="I520" s="1112"/>
      <c r="J520" s="1112"/>
      <c r="K520" s="1112"/>
      <c r="L520" s="1140"/>
      <c r="M520" s="1140"/>
      <c r="N520" s="1112"/>
      <c r="O520" s="1112"/>
      <c r="P520" s="1112"/>
      <c r="Q520" s="1112"/>
      <c r="R520" s="1138"/>
      <c r="S520" s="1112"/>
      <c r="T520" s="1134"/>
      <c r="U520" s="1138"/>
      <c r="V520" s="1112"/>
      <c r="W520" s="1112"/>
      <c r="X520" s="1112"/>
      <c r="Y520" s="1112"/>
      <c r="Z520" s="1112"/>
      <c r="AA520" s="1109"/>
      <c r="AB520" s="1109"/>
      <c r="AC520" s="1112"/>
      <c r="AD520" s="1112"/>
      <c r="AE520" s="436">
        <f t="shared" si="184"/>
        <v>0</v>
      </c>
      <c r="AF520" s="436">
        <f t="shared" si="185"/>
        <v>0</v>
      </c>
      <c r="AG520" s="436">
        <f t="shared" si="186"/>
        <v>0</v>
      </c>
      <c r="AH520" s="436">
        <f t="shared" si="187"/>
        <v>0</v>
      </c>
      <c r="AI520" s="436">
        <f t="shared" si="188"/>
        <v>0</v>
      </c>
      <c r="AJ520" s="436">
        <f t="shared" si="188"/>
        <v>0</v>
      </c>
      <c r="AK520" s="437">
        <f t="shared" si="189"/>
        <v>0</v>
      </c>
      <c r="AL520" s="437">
        <f t="shared" si="190"/>
        <v>0</v>
      </c>
      <c r="AM520" s="437">
        <f t="shared" si="191"/>
        <v>0</v>
      </c>
      <c r="AN520" s="437">
        <f t="shared" si="199"/>
        <v>0</v>
      </c>
      <c r="AO520" s="437">
        <f t="shared" si="200"/>
        <v>0</v>
      </c>
      <c r="AP520" s="437">
        <f t="shared" si="194"/>
        <v>0</v>
      </c>
      <c r="AQ520" s="437">
        <f t="shared" si="194"/>
        <v>0</v>
      </c>
      <c r="AR520" s="436"/>
      <c r="AS520" s="437">
        <f t="shared" si="195"/>
        <v>0</v>
      </c>
    </row>
    <row r="521" spans="1:45" s="446" customFormat="1" ht="24.95" customHeight="1">
      <c r="A521" s="441"/>
      <c r="B521" s="441"/>
      <c r="C521" s="442" t="s">
        <v>318</v>
      </c>
      <c r="D521" s="443"/>
      <c r="E521" s="441"/>
      <c r="F521" s="441"/>
      <c r="G521" s="444">
        <f>SUM(G509:G520)</f>
        <v>21114</v>
      </c>
      <c r="H521" s="441"/>
      <c r="I521" s="441"/>
      <c r="J521" s="441"/>
      <c r="K521" s="441"/>
      <c r="L521" s="441"/>
      <c r="M521" s="441"/>
      <c r="N521" s="444">
        <f>SUM(N509:N520)</f>
        <v>21114</v>
      </c>
      <c r="O521" s="444">
        <f>SUM(O509:O520)</f>
        <v>6</v>
      </c>
      <c r="P521" s="444">
        <f>SUM(P509:P520)</f>
        <v>0</v>
      </c>
      <c r="Q521" s="451"/>
      <c r="R521" s="444"/>
      <c r="S521" s="444">
        <f>SUM(S509:S520)</f>
        <v>2111.4</v>
      </c>
      <c r="T521" s="444"/>
      <c r="U521" s="444"/>
      <c r="V521" s="444"/>
      <c r="W521" s="444">
        <f t="shared" ref="W521:AD521" si="205">SUM(W509:W520)</f>
        <v>19086</v>
      </c>
      <c r="X521" s="444">
        <f t="shared" si="205"/>
        <v>42311.4</v>
      </c>
      <c r="Y521" s="444">
        <f t="shared" si="205"/>
        <v>0</v>
      </c>
      <c r="Z521" s="444">
        <f t="shared" si="205"/>
        <v>42311.4</v>
      </c>
      <c r="AA521" s="499">
        <f t="shared" si="205"/>
        <v>42311.4</v>
      </c>
      <c r="AB521" s="499">
        <f t="shared" si="205"/>
        <v>0</v>
      </c>
      <c r="AC521" s="444">
        <f t="shared" si="205"/>
        <v>40200</v>
      </c>
      <c r="AD521" s="444">
        <f t="shared" si="205"/>
        <v>19086</v>
      </c>
      <c r="AE521" s="436"/>
      <c r="AF521" s="436"/>
      <c r="AG521" s="436"/>
      <c r="AH521" s="436"/>
      <c r="AI521" s="436"/>
      <c r="AJ521" s="436"/>
      <c r="AK521" s="437"/>
      <c r="AL521" s="437"/>
      <c r="AM521" s="437"/>
      <c r="AN521" s="437"/>
      <c r="AO521" s="437"/>
      <c r="AP521" s="437">
        <f t="shared" si="194"/>
        <v>0</v>
      </c>
      <c r="AQ521" s="437">
        <f t="shared" si="194"/>
        <v>0</v>
      </c>
      <c r="AR521" s="436"/>
      <c r="AS521" s="437">
        <f t="shared" si="195"/>
        <v>0</v>
      </c>
    </row>
    <row r="522" spans="1:45" s="456" customFormat="1" ht="24.95" customHeight="1">
      <c r="A522" s="455"/>
      <c r="B522" s="455"/>
      <c r="C522" s="1135" t="s">
        <v>528</v>
      </c>
      <c r="D522" s="1135"/>
      <c r="E522" s="455"/>
      <c r="F522" s="455"/>
      <c r="G522" s="455"/>
      <c r="H522" s="455"/>
      <c r="I522" s="455"/>
      <c r="J522" s="455"/>
      <c r="K522" s="455"/>
      <c r="L522" s="455"/>
      <c r="M522" s="455"/>
      <c r="N522" s="455"/>
      <c r="O522" s="455"/>
      <c r="P522" s="455"/>
      <c r="Q522" s="455"/>
      <c r="R522" s="455"/>
      <c r="S522" s="455"/>
      <c r="T522" s="455"/>
      <c r="U522" s="455"/>
      <c r="V522" s="455"/>
      <c r="W522" s="455"/>
      <c r="X522" s="455"/>
      <c r="Y522" s="455"/>
      <c r="Z522" s="455"/>
      <c r="AA522" s="504"/>
      <c r="AB522" s="504"/>
      <c r="AC522" s="455"/>
      <c r="AD522" s="455"/>
      <c r="AE522" s="436">
        <f t="shared" si="184"/>
        <v>0</v>
      </c>
      <c r="AF522" s="436">
        <f t="shared" si="185"/>
        <v>0</v>
      </c>
      <c r="AG522" s="436">
        <f t="shared" si="186"/>
        <v>0</v>
      </c>
      <c r="AH522" s="436">
        <f t="shared" si="187"/>
        <v>0</v>
      </c>
      <c r="AI522" s="436">
        <f t="shared" si="188"/>
        <v>0</v>
      </c>
      <c r="AJ522" s="436">
        <f t="shared" si="188"/>
        <v>0</v>
      </c>
      <c r="AK522" s="437">
        <f t="shared" si="189"/>
        <v>0</v>
      </c>
      <c r="AL522" s="437">
        <f t="shared" si="190"/>
        <v>0</v>
      </c>
      <c r="AM522" s="437">
        <f t="shared" si="191"/>
        <v>0</v>
      </c>
      <c r="AN522" s="437">
        <f t="shared" si="199"/>
        <v>0</v>
      </c>
      <c r="AO522" s="437">
        <f t="shared" si="200"/>
        <v>0</v>
      </c>
      <c r="AP522" s="437">
        <f t="shared" si="194"/>
        <v>0</v>
      </c>
      <c r="AQ522" s="437">
        <f t="shared" si="194"/>
        <v>0</v>
      </c>
      <c r="AR522" s="436"/>
      <c r="AS522" s="437">
        <f t="shared" si="195"/>
        <v>0</v>
      </c>
    </row>
    <row r="523" spans="1:45" s="438" customFormat="1" ht="24.95" customHeight="1">
      <c r="A523" s="1134"/>
      <c r="B523" s="1134"/>
      <c r="C523" s="1139"/>
      <c r="D523" s="1134"/>
      <c r="E523" s="1134"/>
      <c r="F523" s="1134"/>
      <c r="G523" s="1112"/>
      <c r="H523" s="1112"/>
      <c r="I523" s="1112"/>
      <c r="J523" s="1112"/>
      <c r="K523" s="1112"/>
      <c r="L523" s="435"/>
      <c r="M523" s="1112"/>
      <c r="N523" s="1112"/>
      <c r="O523" s="1112"/>
      <c r="P523" s="1112"/>
      <c r="Q523" s="1112"/>
      <c r="R523" s="1138"/>
      <c r="S523" s="1112"/>
      <c r="T523" s="1134"/>
      <c r="U523" s="1138"/>
      <c r="V523" s="1112"/>
      <c r="W523" s="1112"/>
      <c r="X523" s="1112"/>
      <c r="Y523" s="1112"/>
      <c r="Z523" s="1112">
        <f>X523+Y523</f>
        <v>0</v>
      </c>
      <c r="AA523" s="1109">
        <f>Z523</f>
        <v>0</v>
      </c>
      <c r="AB523" s="1109">
        <f>AA523-X523</f>
        <v>0</v>
      </c>
      <c r="AC523" s="1112">
        <f>6700*O523</f>
        <v>0</v>
      </c>
      <c r="AD523" s="1112">
        <f>AC523-(N523*O523)</f>
        <v>0</v>
      </c>
      <c r="AE523" s="436">
        <f>G523*O523</f>
        <v>0</v>
      </c>
      <c r="AF523" s="436">
        <f>G523*P523</f>
        <v>0</v>
      </c>
      <c r="AG523" s="436">
        <f>N523*O523</f>
        <v>0</v>
      </c>
      <c r="AH523" s="436">
        <f>N523*P523</f>
        <v>0</v>
      </c>
      <c r="AI523" s="436">
        <f>AG523-AE523</f>
        <v>0</v>
      </c>
      <c r="AJ523" s="436">
        <f>AH523-AF523</f>
        <v>0</v>
      </c>
      <c r="AK523" s="437">
        <f>V523*O523</f>
        <v>0</v>
      </c>
      <c r="AL523" s="437">
        <f>V523*P523</f>
        <v>0</v>
      </c>
      <c r="AM523" s="437">
        <f>W523</f>
        <v>0</v>
      </c>
      <c r="AN523" s="437">
        <f>S523*O523</f>
        <v>0</v>
      </c>
      <c r="AO523" s="437">
        <f>S523*P523</f>
        <v>0</v>
      </c>
      <c r="AP523" s="437">
        <f>AG523</f>
        <v>0</v>
      </c>
      <c r="AQ523" s="437">
        <f>AH523</f>
        <v>0</v>
      </c>
      <c r="AR523" s="436"/>
      <c r="AS523" s="437">
        <f>AP523+AQ523-AR523</f>
        <v>0</v>
      </c>
    </row>
    <row r="524" spans="1:45" s="438" customFormat="1" ht="24.95" customHeight="1">
      <c r="A524" s="1134"/>
      <c r="B524" s="1134"/>
      <c r="C524" s="1139"/>
      <c r="D524" s="1134"/>
      <c r="E524" s="1134"/>
      <c r="F524" s="1134"/>
      <c r="G524" s="1112"/>
      <c r="H524" s="1112"/>
      <c r="I524" s="1112"/>
      <c r="J524" s="1112"/>
      <c r="K524" s="1112"/>
      <c r="L524" s="439"/>
      <c r="M524" s="1112"/>
      <c r="N524" s="1112"/>
      <c r="O524" s="1112"/>
      <c r="P524" s="1112"/>
      <c r="Q524" s="1112"/>
      <c r="R524" s="1138"/>
      <c r="S524" s="1112"/>
      <c r="T524" s="1134"/>
      <c r="U524" s="1138"/>
      <c r="V524" s="1112"/>
      <c r="W524" s="1112"/>
      <c r="X524" s="1112"/>
      <c r="Y524" s="1112"/>
      <c r="Z524" s="1112"/>
      <c r="AA524" s="1109"/>
      <c r="AB524" s="1109"/>
      <c r="AC524" s="1112"/>
      <c r="AD524" s="1112"/>
      <c r="AE524" s="436">
        <f>G524*O524</f>
        <v>0</v>
      </c>
      <c r="AF524" s="436">
        <f>G524*P524</f>
        <v>0</v>
      </c>
      <c r="AG524" s="436">
        <f>N524*O524</f>
        <v>0</v>
      </c>
      <c r="AH524" s="436">
        <f>N524*P524</f>
        <v>0</v>
      </c>
      <c r="AI524" s="436">
        <f>AG524-AE524</f>
        <v>0</v>
      </c>
      <c r="AJ524" s="436">
        <f>AH524-AF524</f>
        <v>0</v>
      </c>
      <c r="AK524" s="437">
        <f>V524*O524</f>
        <v>0</v>
      </c>
      <c r="AL524" s="437">
        <f>V524*P524</f>
        <v>0</v>
      </c>
      <c r="AM524" s="437">
        <f>W524</f>
        <v>0</v>
      </c>
      <c r="AN524" s="437">
        <f>S524*O524</f>
        <v>0</v>
      </c>
      <c r="AO524" s="437">
        <f>S524*P524</f>
        <v>0</v>
      </c>
      <c r="AP524" s="437">
        <f>AG524</f>
        <v>0</v>
      </c>
      <c r="AQ524" s="437">
        <f>AH524</f>
        <v>0</v>
      </c>
      <c r="AR524" s="436"/>
      <c r="AS524" s="437">
        <f>AP524+AQ524-AR524</f>
        <v>0</v>
      </c>
    </row>
    <row r="525" spans="1:45" s="446" customFormat="1" ht="24.95" customHeight="1">
      <c r="A525" s="441"/>
      <c r="B525" s="441"/>
      <c r="C525" s="442" t="s">
        <v>318</v>
      </c>
      <c r="D525" s="443"/>
      <c r="E525" s="441"/>
      <c r="F525" s="441"/>
      <c r="G525" s="444">
        <f>SUM(G523:G524)</f>
        <v>0</v>
      </c>
      <c r="H525" s="441"/>
      <c r="I525" s="441"/>
      <c r="J525" s="441"/>
      <c r="K525" s="441"/>
      <c r="L525" s="451">
        <f>L524</f>
        <v>0</v>
      </c>
      <c r="M525" s="441"/>
      <c r="N525" s="444">
        <f>SUM(N523:N524)</f>
        <v>0</v>
      </c>
      <c r="O525" s="444">
        <f>SUM(O523:O524)</f>
        <v>0</v>
      </c>
      <c r="P525" s="444">
        <f>SUM(P523:P524)</f>
        <v>0</v>
      </c>
      <c r="Q525" s="444"/>
      <c r="R525" s="444"/>
      <c r="S525" s="444">
        <f>SUM(S523:S524)</f>
        <v>0</v>
      </c>
      <c r="T525" s="444"/>
      <c r="U525" s="444"/>
      <c r="V525" s="444"/>
      <c r="W525" s="444">
        <f t="shared" ref="W525:AD525" si="206">SUM(W523:W524)</f>
        <v>0</v>
      </c>
      <c r="X525" s="444">
        <f t="shared" si="206"/>
        <v>0</v>
      </c>
      <c r="Y525" s="444">
        <f t="shared" si="206"/>
        <v>0</v>
      </c>
      <c r="Z525" s="444">
        <f t="shared" si="206"/>
        <v>0</v>
      </c>
      <c r="AA525" s="499">
        <f t="shared" si="206"/>
        <v>0</v>
      </c>
      <c r="AB525" s="499">
        <f t="shared" si="206"/>
        <v>0</v>
      </c>
      <c r="AC525" s="444">
        <f t="shared" si="206"/>
        <v>0</v>
      </c>
      <c r="AD525" s="444">
        <f t="shared" si="206"/>
        <v>0</v>
      </c>
      <c r="AE525" s="436"/>
      <c r="AF525" s="436"/>
      <c r="AG525" s="436"/>
      <c r="AH525" s="436"/>
      <c r="AI525" s="436"/>
      <c r="AJ525" s="436"/>
      <c r="AK525" s="437"/>
      <c r="AL525" s="437"/>
      <c r="AM525" s="437"/>
      <c r="AN525" s="437"/>
      <c r="AO525" s="437"/>
      <c r="AP525" s="437">
        <f t="shared" si="194"/>
        <v>0</v>
      </c>
      <c r="AQ525" s="437">
        <f t="shared" si="194"/>
        <v>0</v>
      </c>
      <c r="AR525" s="436"/>
      <c r="AS525" s="437">
        <f t="shared" si="195"/>
        <v>0</v>
      </c>
    </row>
    <row r="526" spans="1:45" s="456" customFormat="1" ht="24.95" customHeight="1">
      <c r="A526" s="455"/>
      <c r="B526" s="455"/>
      <c r="C526" s="1135" t="s">
        <v>688</v>
      </c>
      <c r="D526" s="1135"/>
      <c r="E526" s="455"/>
      <c r="F526" s="455"/>
      <c r="G526" s="455"/>
      <c r="H526" s="455"/>
      <c r="I526" s="455"/>
      <c r="J526" s="455"/>
      <c r="K526" s="455"/>
      <c r="L526" s="455"/>
      <c r="M526" s="455"/>
      <c r="N526" s="455"/>
      <c r="O526" s="455"/>
      <c r="P526" s="455"/>
      <c r="Q526" s="455"/>
      <c r="R526" s="455"/>
      <c r="S526" s="455"/>
      <c r="T526" s="455"/>
      <c r="U526" s="455"/>
      <c r="V526" s="455"/>
      <c r="W526" s="455"/>
      <c r="X526" s="455"/>
      <c r="Y526" s="455"/>
      <c r="Z526" s="455"/>
      <c r="AA526" s="504"/>
      <c r="AB526" s="504"/>
      <c r="AC526" s="455"/>
      <c r="AD526" s="455"/>
      <c r="AE526" s="436">
        <f t="shared" ref="AE526:AE563" si="207">G526*O526</f>
        <v>0</v>
      </c>
      <c r="AF526" s="436">
        <f t="shared" ref="AF526:AF563" si="208">G526*P526</f>
        <v>0</v>
      </c>
      <c r="AG526" s="436">
        <f t="shared" ref="AG526:AG563" si="209">N526*O526</f>
        <v>0</v>
      </c>
      <c r="AH526" s="436">
        <f t="shared" ref="AH526:AH563" si="210">N526*P526</f>
        <v>0</v>
      </c>
      <c r="AI526" s="436">
        <f t="shared" ref="AI526:AJ563" si="211">AG526-AE526</f>
        <v>0</v>
      </c>
      <c r="AJ526" s="436">
        <f t="shared" si="211"/>
        <v>0</v>
      </c>
      <c r="AK526" s="437">
        <f t="shared" ref="AK526:AK563" si="212">V526*O526</f>
        <v>0</v>
      </c>
      <c r="AL526" s="437">
        <f t="shared" ref="AL526:AL563" si="213">V526*P526</f>
        <v>0</v>
      </c>
      <c r="AM526" s="437">
        <f t="shared" ref="AM526:AM563" si="214">W526</f>
        <v>0</v>
      </c>
      <c r="AN526" s="437">
        <f t="shared" si="199"/>
        <v>0</v>
      </c>
      <c r="AO526" s="437">
        <f t="shared" si="200"/>
        <v>0</v>
      </c>
      <c r="AP526" s="437">
        <f t="shared" si="194"/>
        <v>0</v>
      </c>
      <c r="AQ526" s="437">
        <f t="shared" si="194"/>
        <v>0</v>
      </c>
      <c r="AR526" s="436"/>
      <c r="AS526" s="437">
        <f t="shared" si="195"/>
        <v>0</v>
      </c>
    </row>
    <row r="527" spans="1:45" s="438" customFormat="1" ht="24.95" customHeight="1">
      <c r="A527" s="1134"/>
      <c r="B527" s="1134"/>
      <c r="C527" s="1139" t="s">
        <v>767</v>
      </c>
      <c r="D527" s="1134"/>
      <c r="E527" s="1134"/>
      <c r="F527" s="1134"/>
      <c r="G527" s="1112"/>
      <c r="H527" s="1112"/>
      <c r="I527" s="1112"/>
      <c r="J527" s="1112"/>
      <c r="K527" s="1112"/>
      <c r="L527" s="1112"/>
      <c r="M527" s="1112"/>
      <c r="N527" s="1112">
        <f>G527+H528+L528</f>
        <v>0</v>
      </c>
      <c r="O527" s="1112"/>
      <c r="P527" s="1112"/>
      <c r="Q527" s="1112"/>
      <c r="R527" s="1138">
        <v>0.1</v>
      </c>
      <c r="S527" s="1112">
        <f>N527*R527</f>
        <v>0</v>
      </c>
      <c r="T527" s="1134"/>
      <c r="U527" s="1138"/>
      <c r="V527" s="1112"/>
      <c r="W527" s="1112">
        <f>AD527</f>
        <v>0</v>
      </c>
      <c r="X527" s="1112">
        <f>(N527+V527+Q528+S527)*O527+W527</f>
        <v>0</v>
      </c>
      <c r="Y527" s="1112"/>
      <c r="Z527" s="1112">
        <f>X527+Y527</f>
        <v>0</v>
      </c>
      <c r="AA527" s="1109">
        <f t="shared" ref="AA527:AA533" si="215">Z527</f>
        <v>0</v>
      </c>
      <c r="AB527" s="1109">
        <f>AA527-X527</f>
        <v>0</v>
      </c>
      <c r="AC527" s="1112">
        <f>6700*O527</f>
        <v>0</v>
      </c>
      <c r="AD527" s="1112">
        <f>AC527-(N527*O527)</f>
        <v>0</v>
      </c>
      <c r="AE527" s="436">
        <f t="shared" si="207"/>
        <v>0</v>
      </c>
      <c r="AF527" s="436">
        <f t="shared" si="208"/>
        <v>0</v>
      </c>
      <c r="AG527" s="436">
        <f t="shared" si="209"/>
        <v>0</v>
      </c>
      <c r="AH527" s="436">
        <f t="shared" si="210"/>
        <v>0</v>
      </c>
      <c r="AI527" s="436">
        <f t="shared" si="211"/>
        <v>0</v>
      </c>
      <c r="AJ527" s="436">
        <f t="shared" si="211"/>
        <v>0</v>
      </c>
      <c r="AK527" s="437">
        <f t="shared" si="212"/>
        <v>0</v>
      </c>
      <c r="AL527" s="437">
        <f t="shared" si="213"/>
        <v>0</v>
      </c>
      <c r="AM527" s="437">
        <f t="shared" si="214"/>
        <v>0</v>
      </c>
      <c r="AN527" s="437">
        <f t="shared" si="199"/>
        <v>0</v>
      </c>
      <c r="AO527" s="437">
        <f t="shared" si="200"/>
        <v>0</v>
      </c>
      <c r="AP527" s="437">
        <f t="shared" ref="AP527:AQ569" si="216">AG527</f>
        <v>0</v>
      </c>
      <c r="AQ527" s="437">
        <f t="shared" si="216"/>
        <v>0</v>
      </c>
      <c r="AR527" s="436"/>
      <c r="AS527" s="437">
        <f t="shared" si="195"/>
        <v>0</v>
      </c>
    </row>
    <row r="528" spans="1:45" s="438" customFormat="1" ht="24.95" customHeight="1">
      <c r="A528" s="1134"/>
      <c r="B528" s="1134"/>
      <c r="C528" s="1139"/>
      <c r="D528" s="1134"/>
      <c r="E528" s="1134"/>
      <c r="F528" s="1134"/>
      <c r="G528" s="1112"/>
      <c r="H528" s="1112"/>
      <c r="I528" s="1112"/>
      <c r="J528" s="1112"/>
      <c r="K528" s="1112"/>
      <c r="L528" s="1112"/>
      <c r="M528" s="1112"/>
      <c r="N528" s="1112"/>
      <c r="O528" s="1112"/>
      <c r="P528" s="1112"/>
      <c r="Q528" s="1112"/>
      <c r="R528" s="1138"/>
      <c r="S528" s="1112"/>
      <c r="T528" s="1134"/>
      <c r="U528" s="1138"/>
      <c r="V528" s="1112"/>
      <c r="W528" s="1112"/>
      <c r="X528" s="1112"/>
      <c r="Y528" s="1112"/>
      <c r="Z528" s="1112"/>
      <c r="AA528" s="1109"/>
      <c r="AB528" s="1109"/>
      <c r="AC528" s="1112"/>
      <c r="AD528" s="1112"/>
      <c r="AE528" s="436">
        <f t="shared" si="207"/>
        <v>0</v>
      </c>
      <c r="AF528" s="436">
        <f t="shared" si="208"/>
        <v>0</v>
      </c>
      <c r="AG528" s="436">
        <f t="shared" si="209"/>
        <v>0</v>
      </c>
      <c r="AH528" s="436">
        <f t="shared" si="210"/>
        <v>0</v>
      </c>
      <c r="AI528" s="436">
        <f t="shared" si="211"/>
        <v>0</v>
      </c>
      <c r="AJ528" s="436">
        <f t="shared" si="211"/>
        <v>0</v>
      </c>
      <c r="AK528" s="437">
        <f t="shared" si="212"/>
        <v>0</v>
      </c>
      <c r="AL528" s="437">
        <f t="shared" si="213"/>
        <v>0</v>
      </c>
      <c r="AM528" s="437">
        <f t="shared" si="214"/>
        <v>0</v>
      </c>
      <c r="AN528" s="437">
        <f t="shared" si="199"/>
        <v>0</v>
      </c>
      <c r="AO528" s="437">
        <f t="shared" si="200"/>
        <v>0</v>
      </c>
      <c r="AP528" s="437">
        <f t="shared" si="216"/>
        <v>0</v>
      </c>
      <c r="AQ528" s="437">
        <f t="shared" si="216"/>
        <v>0</v>
      </c>
      <c r="AR528" s="436"/>
      <c r="AS528" s="437">
        <f t="shared" si="195"/>
        <v>0</v>
      </c>
    </row>
    <row r="529" spans="1:45" s="438" customFormat="1" ht="24.95" customHeight="1">
      <c r="A529" s="1134"/>
      <c r="B529" s="1134"/>
      <c r="C529" s="1139" t="s">
        <v>767</v>
      </c>
      <c r="D529" s="1134"/>
      <c r="E529" s="1134" t="s">
        <v>768</v>
      </c>
      <c r="F529" s="1134">
        <v>4</v>
      </c>
      <c r="G529" s="1112">
        <v>3787</v>
      </c>
      <c r="H529" s="1112"/>
      <c r="I529" s="1112"/>
      <c r="J529" s="1112"/>
      <c r="K529" s="1112"/>
      <c r="L529" s="1112"/>
      <c r="M529" s="1112"/>
      <c r="N529" s="1112">
        <f>G529+H530+L530</f>
        <v>3787</v>
      </c>
      <c r="O529" s="1112">
        <v>1</v>
      </c>
      <c r="P529" s="1112"/>
      <c r="Q529" s="1112"/>
      <c r="R529" s="1138">
        <v>0.1</v>
      </c>
      <c r="S529" s="1112">
        <f>N529*R529</f>
        <v>378.70000000000005</v>
      </c>
      <c r="T529" s="1134"/>
      <c r="U529" s="1138"/>
      <c r="V529" s="1112"/>
      <c r="W529" s="1112">
        <f>AD529</f>
        <v>2913</v>
      </c>
      <c r="X529" s="1112">
        <f>(N529+V529+Q530+S529)*O529+W529</f>
        <v>7078.7</v>
      </c>
      <c r="Y529" s="1112"/>
      <c r="Z529" s="1112">
        <f>X529+Y529</f>
        <v>7078.7</v>
      </c>
      <c r="AA529" s="1109">
        <f t="shared" si="215"/>
        <v>7078.7</v>
      </c>
      <c r="AB529" s="1109">
        <f>AA529-X529</f>
        <v>0</v>
      </c>
      <c r="AC529" s="1112">
        <f>6700*O529</f>
        <v>6700</v>
      </c>
      <c r="AD529" s="1112">
        <f>AC529-(N529*O529)</f>
        <v>2913</v>
      </c>
      <c r="AE529" s="436">
        <f>G529*O529</f>
        <v>3787</v>
      </c>
      <c r="AF529" s="436">
        <f>G529*P529</f>
        <v>0</v>
      </c>
      <c r="AG529" s="436">
        <f>N529*O529</f>
        <v>3787</v>
      </c>
      <c r="AH529" s="436">
        <f>N529*P529</f>
        <v>0</v>
      </c>
      <c r="AI529" s="436">
        <f t="shared" si="211"/>
        <v>0</v>
      </c>
      <c r="AJ529" s="436">
        <f t="shared" si="211"/>
        <v>0</v>
      </c>
      <c r="AK529" s="437">
        <f>V529*O529</f>
        <v>0</v>
      </c>
      <c r="AL529" s="437">
        <f>V529*P529</f>
        <v>0</v>
      </c>
      <c r="AM529" s="437">
        <f>W529</f>
        <v>2913</v>
      </c>
      <c r="AN529" s="437">
        <f>S529*O529</f>
        <v>378.70000000000005</v>
      </c>
      <c r="AO529" s="437">
        <f>S529*P529</f>
        <v>0</v>
      </c>
      <c r="AP529" s="437">
        <f t="shared" si="216"/>
        <v>3787</v>
      </c>
      <c r="AQ529" s="437">
        <f t="shared" si="216"/>
        <v>0</v>
      </c>
      <c r="AR529" s="436"/>
      <c r="AS529" s="437">
        <f>AP529+AQ529-AR529</f>
        <v>3787</v>
      </c>
    </row>
    <row r="530" spans="1:45" s="438" customFormat="1" ht="24.95" customHeight="1">
      <c r="A530" s="1134"/>
      <c r="B530" s="1134"/>
      <c r="C530" s="1139"/>
      <c r="D530" s="1134"/>
      <c r="E530" s="1134"/>
      <c r="F530" s="1134"/>
      <c r="G530" s="1112"/>
      <c r="H530" s="1112"/>
      <c r="I530" s="1112"/>
      <c r="J530" s="1112"/>
      <c r="K530" s="1112"/>
      <c r="L530" s="1112"/>
      <c r="M530" s="1112"/>
      <c r="N530" s="1112"/>
      <c r="O530" s="1112"/>
      <c r="P530" s="1112"/>
      <c r="Q530" s="1112"/>
      <c r="R530" s="1138"/>
      <c r="S530" s="1112"/>
      <c r="T530" s="1134"/>
      <c r="U530" s="1138"/>
      <c r="V530" s="1112"/>
      <c r="W530" s="1112"/>
      <c r="X530" s="1112"/>
      <c r="Y530" s="1112"/>
      <c r="Z530" s="1112"/>
      <c r="AA530" s="1109"/>
      <c r="AB530" s="1109"/>
      <c r="AC530" s="1112"/>
      <c r="AD530" s="1112"/>
      <c r="AE530" s="436">
        <f>G530*O530</f>
        <v>0</v>
      </c>
      <c r="AF530" s="436">
        <f>G530*P530</f>
        <v>0</v>
      </c>
      <c r="AG530" s="436">
        <f>N530*O530</f>
        <v>0</v>
      </c>
      <c r="AH530" s="436">
        <f>N530*P530</f>
        <v>0</v>
      </c>
      <c r="AI530" s="436">
        <f t="shared" si="211"/>
        <v>0</v>
      </c>
      <c r="AJ530" s="436">
        <f t="shared" si="211"/>
        <v>0</v>
      </c>
      <c r="AK530" s="437">
        <f>V530*O530</f>
        <v>0</v>
      </c>
      <c r="AL530" s="437">
        <f>V530*P530</f>
        <v>0</v>
      </c>
      <c r="AM530" s="437">
        <f>W530</f>
        <v>0</v>
      </c>
      <c r="AN530" s="437">
        <f>S530*O530</f>
        <v>0</v>
      </c>
      <c r="AO530" s="437">
        <f>S530*P530</f>
        <v>0</v>
      </c>
      <c r="AP530" s="437">
        <f t="shared" si="216"/>
        <v>0</v>
      </c>
      <c r="AQ530" s="437">
        <f t="shared" si="216"/>
        <v>0</v>
      </c>
      <c r="AR530" s="436"/>
      <c r="AS530" s="437">
        <f>AP530+AQ530-AR530</f>
        <v>0</v>
      </c>
    </row>
    <row r="531" spans="1:45" s="438" customFormat="1" ht="24.95" customHeight="1">
      <c r="A531" s="1134"/>
      <c r="B531" s="1134"/>
      <c r="C531" s="1139" t="s">
        <v>767</v>
      </c>
      <c r="D531" s="1134"/>
      <c r="E531" s="1134" t="s">
        <v>769</v>
      </c>
      <c r="F531" s="1134">
        <v>4</v>
      </c>
      <c r="G531" s="1112">
        <v>3787</v>
      </c>
      <c r="H531" s="1112"/>
      <c r="I531" s="1112"/>
      <c r="J531" s="1112"/>
      <c r="K531" s="1112"/>
      <c r="L531" s="1112"/>
      <c r="M531" s="1112"/>
      <c r="N531" s="1112">
        <f>G531+H532+L532</f>
        <v>3787</v>
      </c>
      <c r="O531" s="1112">
        <v>1</v>
      </c>
      <c r="P531" s="1112"/>
      <c r="Q531" s="1112"/>
      <c r="R531" s="1138">
        <v>0.1</v>
      </c>
      <c r="S531" s="1112">
        <f>N531*R531</f>
        <v>378.70000000000005</v>
      </c>
      <c r="T531" s="1134"/>
      <c r="U531" s="1138"/>
      <c r="V531" s="1112"/>
      <c r="W531" s="1112">
        <f>AD531</f>
        <v>2913</v>
      </c>
      <c r="X531" s="1112">
        <f>(N531+V531+Q532+S531)*O531+W531</f>
        <v>7078.7</v>
      </c>
      <c r="Y531" s="1112"/>
      <c r="Z531" s="1112">
        <f>X531+Y531</f>
        <v>7078.7</v>
      </c>
      <c r="AA531" s="1109">
        <f t="shared" si="215"/>
        <v>7078.7</v>
      </c>
      <c r="AB531" s="1109">
        <f>AA531-X531</f>
        <v>0</v>
      </c>
      <c r="AC531" s="1112">
        <f>6700*O531</f>
        <v>6700</v>
      </c>
      <c r="AD531" s="1112">
        <f>AC531-(N531*O531)</f>
        <v>2913</v>
      </c>
      <c r="AE531" s="436">
        <f>G531*O531</f>
        <v>3787</v>
      </c>
      <c r="AF531" s="436">
        <f>G531*P531</f>
        <v>0</v>
      </c>
      <c r="AG531" s="436">
        <f>N531*O531</f>
        <v>3787</v>
      </c>
      <c r="AH531" s="436">
        <f>N531*P531</f>
        <v>0</v>
      </c>
      <c r="AI531" s="436">
        <f t="shared" si="211"/>
        <v>0</v>
      </c>
      <c r="AJ531" s="436">
        <f t="shared" si="211"/>
        <v>0</v>
      </c>
      <c r="AK531" s="437">
        <f>V531*O531</f>
        <v>0</v>
      </c>
      <c r="AL531" s="437">
        <f>V531*P531</f>
        <v>0</v>
      </c>
      <c r="AM531" s="437">
        <f>W531</f>
        <v>2913</v>
      </c>
      <c r="AN531" s="437">
        <f>S531*O531</f>
        <v>378.70000000000005</v>
      </c>
      <c r="AO531" s="437">
        <f>S531*P531</f>
        <v>0</v>
      </c>
      <c r="AP531" s="437">
        <f t="shared" si="216"/>
        <v>3787</v>
      </c>
      <c r="AQ531" s="437">
        <f t="shared" si="216"/>
        <v>0</v>
      </c>
      <c r="AR531" s="436"/>
      <c r="AS531" s="437">
        <f>AP531+AQ531-AR531</f>
        <v>3787</v>
      </c>
    </row>
    <row r="532" spans="1:45" s="438" customFormat="1" ht="24.95" customHeight="1">
      <c r="A532" s="1134"/>
      <c r="B532" s="1134"/>
      <c r="C532" s="1139"/>
      <c r="D532" s="1134"/>
      <c r="E532" s="1134"/>
      <c r="F532" s="1134"/>
      <c r="G532" s="1112"/>
      <c r="H532" s="1112"/>
      <c r="I532" s="1112"/>
      <c r="J532" s="1112"/>
      <c r="K532" s="1112"/>
      <c r="L532" s="1112"/>
      <c r="M532" s="1112"/>
      <c r="N532" s="1112"/>
      <c r="O532" s="1112"/>
      <c r="P532" s="1112"/>
      <c r="Q532" s="1112"/>
      <c r="R532" s="1138"/>
      <c r="S532" s="1112"/>
      <c r="T532" s="1134"/>
      <c r="U532" s="1138"/>
      <c r="V532" s="1112"/>
      <c r="W532" s="1112"/>
      <c r="X532" s="1112"/>
      <c r="Y532" s="1112"/>
      <c r="Z532" s="1112"/>
      <c r="AA532" s="1109"/>
      <c r="AB532" s="1109"/>
      <c r="AC532" s="1112"/>
      <c r="AD532" s="1112"/>
      <c r="AE532" s="436">
        <f>G532*O532</f>
        <v>0</v>
      </c>
      <c r="AF532" s="436">
        <f>G532*P532</f>
        <v>0</v>
      </c>
      <c r="AG532" s="436">
        <f>N532*O532</f>
        <v>0</v>
      </c>
      <c r="AH532" s="436">
        <f>N532*P532</f>
        <v>0</v>
      </c>
      <c r="AI532" s="436">
        <f t="shared" si="211"/>
        <v>0</v>
      </c>
      <c r="AJ532" s="436">
        <f t="shared" si="211"/>
        <v>0</v>
      </c>
      <c r="AK532" s="437">
        <f>V532*O532</f>
        <v>0</v>
      </c>
      <c r="AL532" s="437">
        <f>V532*P532</f>
        <v>0</v>
      </c>
      <c r="AM532" s="437">
        <f>W532</f>
        <v>0</v>
      </c>
      <c r="AN532" s="437">
        <f>S532*O532</f>
        <v>0</v>
      </c>
      <c r="AO532" s="437">
        <f>S532*P532</f>
        <v>0</v>
      </c>
      <c r="AP532" s="437">
        <f t="shared" si="216"/>
        <v>0</v>
      </c>
      <c r="AQ532" s="437">
        <f t="shared" si="216"/>
        <v>0</v>
      </c>
      <c r="AR532" s="436"/>
      <c r="AS532" s="437">
        <f>AP532+AQ532-AR532</f>
        <v>0</v>
      </c>
    </row>
    <row r="533" spans="1:45" s="438" customFormat="1" ht="24.95" customHeight="1">
      <c r="A533" s="1134"/>
      <c r="B533" s="1134"/>
      <c r="C533" s="1139" t="s">
        <v>767</v>
      </c>
      <c r="D533" s="1134"/>
      <c r="E533" s="1134"/>
      <c r="F533" s="1134"/>
      <c r="G533" s="1112"/>
      <c r="H533" s="1112"/>
      <c r="I533" s="1112"/>
      <c r="J533" s="1112"/>
      <c r="K533" s="1112"/>
      <c r="L533" s="1112"/>
      <c r="M533" s="1112"/>
      <c r="N533" s="1112">
        <f>G533+H534+L534</f>
        <v>0</v>
      </c>
      <c r="O533" s="1112"/>
      <c r="P533" s="1112"/>
      <c r="Q533" s="1112"/>
      <c r="R533" s="1138">
        <v>0.1</v>
      </c>
      <c r="S533" s="1112">
        <f>N533*R533</f>
        <v>0</v>
      </c>
      <c r="T533" s="1134"/>
      <c r="U533" s="1138"/>
      <c r="V533" s="1112"/>
      <c r="W533" s="1112">
        <f>AD533</f>
        <v>0</v>
      </c>
      <c r="X533" s="1112">
        <f>(N533+V533+Q534+S533)*O533+W533</f>
        <v>0</v>
      </c>
      <c r="Y533" s="1112"/>
      <c r="Z533" s="1112">
        <f>X533+Y533</f>
        <v>0</v>
      </c>
      <c r="AA533" s="1109">
        <f t="shared" si="215"/>
        <v>0</v>
      </c>
      <c r="AB533" s="1109">
        <f>AA533-X533</f>
        <v>0</v>
      </c>
      <c r="AC533" s="1112">
        <f>6700*O533</f>
        <v>0</v>
      </c>
      <c r="AD533" s="1112">
        <f>AC533-(N533*O533)</f>
        <v>0</v>
      </c>
      <c r="AE533" s="436">
        <f t="shared" si="207"/>
        <v>0</v>
      </c>
      <c r="AF533" s="436">
        <f t="shared" si="208"/>
        <v>0</v>
      </c>
      <c r="AG533" s="436">
        <f t="shared" si="209"/>
        <v>0</v>
      </c>
      <c r="AH533" s="436">
        <f t="shared" si="210"/>
        <v>0</v>
      </c>
      <c r="AI533" s="436">
        <f t="shared" si="211"/>
        <v>0</v>
      </c>
      <c r="AJ533" s="436">
        <f t="shared" si="211"/>
        <v>0</v>
      </c>
      <c r="AK533" s="437">
        <f t="shared" si="212"/>
        <v>0</v>
      </c>
      <c r="AL533" s="437">
        <f t="shared" si="213"/>
        <v>0</v>
      </c>
      <c r="AM533" s="437">
        <f t="shared" si="214"/>
        <v>0</v>
      </c>
      <c r="AN533" s="437">
        <f t="shared" si="199"/>
        <v>0</v>
      </c>
      <c r="AO533" s="437">
        <f t="shared" si="200"/>
        <v>0</v>
      </c>
      <c r="AP533" s="437">
        <f t="shared" si="216"/>
        <v>0</v>
      </c>
      <c r="AQ533" s="437">
        <f t="shared" si="216"/>
        <v>0</v>
      </c>
      <c r="AR533" s="436"/>
      <c r="AS533" s="437">
        <f t="shared" si="195"/>
        <v>0</v>
      </c>
    </row>
    <row r="534" spans="1:45" s="438" customFormat="1" ht="24.95" customHeight="1">
      <c r="A534" s="1134"/>
      <c r="B534" s="1134"/>
      <c r="C534" s="1139"/>
      <c r="D534" s="1134"/>
      <c r="E534" s="1134"/>
      <c r="F534" s="1134"/>
      <c r="G534" s="1112"/>
      <c r="H534" s="1112"/>
      <c r="I534" s="1112"/>
      <c r="J534" s="1112"/>
      <c r="K534" s="1112"/>
      <c r="L534" s="1112"/>
      <c r="M534" s="1112"/>
      <c r="N534" s="1112"/>
      <c r="O534" s="1112"/>
      <c r="P534" s="1112"/>
      <c r="Q534" s="1112"/>
      <c r="R534" s="1138"/>
      <c r="S534" s="1112"/>
      <c r="T534" s="1134"/>
      <c r="U534" s="1138"/>
      <c r="V534" s="1112"/>
      <c r="W534" s="1112"/>
      <c r="X534" s="1112"/>
      <c r="Y534" s="1112"/>
      <c r="Z534" s="1112"/>
      <c r="AA534" s="1109"/>
      <c r="AB534" s="1109"/>
      <c r="AC534" s="1112"/>
      <c r="AD534" s="1112"/>
      <c r="AE534" s="436">
        <f t="shared" si="207"/>
        <v>0</v>
      </c>
      <c r="AF534" s="436">
        <f t="shared" si="208"/>
        <v>0</v>
      </c>
      <c r="AG534" s="436">
        <f t="shared" si="209"/>
        <v>0</v>
      </c>
      <c r="AH534" s="436">
        <f t="shared" si="210"/>
        <v>0</v>
      </c>
      <c r="AI534" s="436">
        <f t="shared" si="211"/>
        <v>0</v>
      </c>
      <c r="AJ534" s="436">
        <f t="shared" si="211"/>
        <v>0</v>
      </c>
      <c r="AK534" s="437">
        <f t="shared" si="212"/>
        <v>0</v>
      </c>
      <c r="AL534" s="437">
        <f t="shared" si="213"/>
        <v>0</v>
      </c>
      <c r="AM534" s="437">
        <f t="shared" si="214"/>
        <v>0</v>
      </c>
      <c r="AN534" s="437">
        <f t="shared" si="199"/>
        <v>0</v>
      </c>
      <c r="AO534" s="437">
        <f t="shared" si="200"/>
        <v>0</v>
      </c>
      <c r="AP534" s="437">
        <f t="shared" si="216"/>
        <v>0</v>
      </c>
      <c r="AQ534" s="437">
        <f t="shared" si="216"/>
        <v>0</v>
      </c>
      <c r="AR534" s="436"/>
      <c r="AS534" s="437">
        <f t="shared" ref="AS534:AS601" si="217">AP534+AQ534-AR534</f>
        <v>0</v>
      </c>
    </row>
    <row r="535" spans="1:45" s="446" customFormat="1" ht="24.95" customHeight="1">
      <c r="A535" s="441"/>
      <c r="B535" s="441"/>
      <c r="C535" s="442" t="s">
        <v>318</v>
      </c>
      <c r="D535" s="443"/>
      <c r="E535" s="441"/>
      <c r="F535" s="441"/>
      <c r="G535" s="444">
        <f>SUM(G527:G534)</f>
        <v>7574</v>
      </c>
      <c r="H535" s="441"/>
      <c r="I535" s="441"/>
      <c r="J535" s="441"/>
      <c r="K535" s="441"/>
      <c r="L535" s="441"/>
      <c r="M535" s="441"/>
      <c r="N535" s="444">
        <f>SUM(N527:N534)</f>
        <v>7574</v>
      </c>
      <c r="O535" s="444">
        <f>SUM(O527:O534)</f>
        <v>2</v>
      </c>
      <c r="P535" s="444">
        <f>SUM(P527:P534)</f>
        <v>0</v>
      </c>
      <c r="Q535" s="444"/>
      <c r="R535" s="444"/>
      <c r="S535" s="444">
        <f>SUM(S527:S534)</f>
        <v>757.40000000000009</v>
      </c>
      <c r="T535" s="444"/>
      <c r="U535" s="444"/>
      <c r="V535" s="444"/>
      <c r="W535" s="444">
        <f t="shared" ref="W535:AD535" si="218">SUM(W527:W534)</f>
        <v>5826</v>
      </c>
      <c r="X535" s="444">
        <f t="shared" si="218"/>
        <v>14157.4</v>
      </c>
      <c r="Y535" s="444">
        <f t="shared" si="218"/>
        <v>0</v>
      </c>
      <c r="Z535" s="444">
        <f t="shared" si="218"/>
        <v>14157.4</v>
      </c>
      <c r="AA535" s="499">
        <f t="shared" si="218"/>
        <v>14157.4</v>
      </c>
      <c r="AB535" s="499">
        <f t="shared" si="218"/>
        <v>0</v>
      </c>
      <c r="AC535" s="444">
        <f t="shared" si="218"/>
        <v>13400</v>
      </c>
      <c r="AD535" s="444">
        <f t="shared" si="218"/>
        <v>5826</v>
      </c>
      <c r="AE535" s="436"/>
      <c r="AF535" s="436"/>
      <c r="AG535" s="436"/>
      <c r="AH535" s="436"/>
      <c r="AI535" s="436"/>
      <c r="AJ535" s="436"/>
      <c r="AK535" s="437"/>
      <c r="AL535" s="437"/>
      <c r="AM535" s="437"/>
      <c r="AN535" s="437"/>
      <c r="AO535" s="437"/>
      <c r="AP535" s="437">
        <f t="shared" si="216"/>
        <v>0</v>
      </c>
      <c r="AQ535" s="437">
        <f t="shared" si="216"/>
        <v>0</v>
      </c>
      <c r="AR535" s="436"/>
      <c r="AS535" s="437">
        <f t="shared" si="217"/>
        <v>0</v>
      </c>
    </row>
    <row r="536" spans="1:45" s="456" customFormat="1" ht="24.95" customHeight="1">
      <c r="A536" s="455"/>
      <c r="B536" s="455"/>
      <c r="C536" s="1136" t="s">
        <v>533</v>
      </c>
      <c r="D536" s="1136"/>
      <c r="E536" s="455"/>
      <c r="F536" s="455"/>
      <c r="G536" s="455"/>
      <c r="H536" s="455"/>
      <c r="I536" s="455"/>
      <c r="J536" s="455"/>
      <c r="K536" s="455"/>
      <c r="L536" s="455"/>
      <c r="M536" s="455"/>
      <c r="N536" s="455"/>
      <c r="O536" s="455"/>
      <c r="P536" s="455"/>
      <c r="Q536" s="455"/>
      <c r="R536" s="455"/>
      <c r="S536" s="455"/>
      <c r="T536" s="455"/>
      <c r="U536" s="455"/>
      <c r="V536" s="455"/>
      <c r="W536" s="455"/>
      <c r="X536" s="455"/>
      <c r="Y536" s="455"/>
      <c r="Z536" s="455"/>
      <c r="AA536" s="504"/>
      <c r="AB536" s="504"/>
      <c r="AC536" s="455"/>
      <c r="AD536" s="455"/>
      <c r="AE536" s="436">
        <f t="shared" si="207"/>
        <v>0</v>
      </c>
      <c r="AF536" s="436">
        <f t="shared" si="208"/>
        <v>0</v>
      </c>
      <c r="AG536" s="436">
        <f t="shared" si="209"/>
        <v>0</v>
      </c>
      <c r="AH536" s="436">
        <f t="shared" si="210"/>
        <v>0</v>
      </c>
      <c r="AI536" s="436">
        <f t="shared" si="211"/>
        <v>0</v>
      </c>
      <c r="AJ536" s="436">
        <f t="shared" si="211"/>
        <v>0</v>
      </c>
      <c r="AK536" s="437">
        <f t="shared" si="212"/>
        <v>0</v>
      </c>
      <c r="AL536" s="437">
        <f t="shared" si="213"/>
        <v>0</v>
      </c>
      <c r="AM536" s="437">
        <f t="shared" si="214"/>
        <v>0</v>
      </c>
      <c r="AN536" s="437">
        <f t="shared" si="199"/>
        <v>0</v>
      </c>
      <c r="AO536" s="437">
        <f t="shared" si="200"/>
        <v>0</v>
      </c>
      <c r="AP536" s="437">
        <f t="shared" si="216"/>
        <v>0</v>
      </c>
      <c r="AQ536" s="437">
        <f t="shared" si="216"/>
        <v>0</v>
      </c>
      <c r="AR536" s="436"/>
      <c r="AS536" s="437">
        <f t="shared" si="217"/>
        <v>0</v>
      </c>
    </row>
    <row r="537" spans="1:45" s="456" customFormat="1" ht="24.95" customHeight="1">
      <c r="A537" s="455"/>
      <c r="B537" s="455"/>
      <c r="C537" s="1136" t="s">
        <v>545</v>
      </c>
      <c r="D537" s="1136"/>
      <c r="E537" s="455"/>
      <c r="F537" s="455"/>
      <c r="G537" s="455"/>
      <c r="H537" s="455"/>
      <c r="I537" s="455"/>
      <c r="J537" s="455"/>
      <c r="K537" s="455"/>
      <c r="L537" s="455"/>
      <c r="M537" s="455"/>
      <c r="N537" s="455"/>
      <c r="O537" s="455"/>
      <c r="P537" s="455"/>
      <c r="Q537" s="455"/>
      <c r="R537" s="455"/>
      <c r="S537" s="455"/>
      <c r="T537" s="455"/>
      <c r="U537" s="455"/>
      <c r="V537" s="455"/>
      <c r="W537" s="455"/>
      <c r="X537" s="455"/>
      <c r="Y537" s="455"/>
      <c r="Z537" s="455"/>
      <c r="AA537" s="504"/>
      <c r="AB537" s="504"/>
      <c r="AC537" s="455"/>
      <c r="AD537" s="455"/>
      <c r="AE537" s="436">
        <f>G537*O537</f>
        <v>0</v>
      </c>
      <c r="AF537" s="436">
        <f>G537*P537</f>
        <v>0</v>
      </c>
      <c r="AG537" s="436">
        <f>N537*O537</f>
        <v>0</v>
      </c>
      <c r="AH537" s="436">
        <f>N537*P537</f>
        <v>0</v>
      </c>
      <c r="AI537" s="436">
        <f t="shared" si="211"/>
        <v>0</v>
      </c>
      <c r="AJ537" s="436">
        <f t="shared" si="211"/>
        <v>0</v>
      </c>
      <c r="AK537" s="437">
        <f>V537*O537</f>
        <v>0</v>
      </c>
      <c r="AL537" s="437">
        <f>V537*P537</f>
        <v>0</v>
      </c>
      <c r="AM537" s="437">
        <f>W537</f>
        <v>0</v>
      </c>
      <c r="AN537" s="437">
        <f>S537*O537</f>
        <v>0</v>
      </c>
      <c r="AO537" s="437">
        <f>S537*P537</f>
        <v>0</v>
      </c>
      <c r="AP537" s="437">
        <f t="shared" si="216"/>
        <v>0</v>
      </c>
      <c r="AQ537" s="437">
        <f t="shared" si="216"/>
        <v>0</v>
      </c>
      <c r="AR537" s="436"/>
      <c r="AS537" s="437">
        <f>AP537+AQ537-AR537</f>
        <v>0</v>
      </c>
    </row>
    <row r="538" spans="1:45" s="191" customFormat="1" ht="24.95" customHeight="1">
      <c r="A538" s="1129"/>
      <c r="B538" s="1129"/>
      <c r="C538" s="1128" t="s">
        <v>767</v>
      </c>
      <c r="D538" s="1129"/>
      <c r="E538" s="1129" t="s">
        <v>1068</v>
      </c>
      <c r="F538" s="1129">
        <v>3</v>
      </c>
      <c r="G538" s="1127">
        <v>3519</v>
      </c>
      <c r="H538" s="1127"/>
      <c r="I538" s="1126"/>
      <c r="J538" s="1126"/>
      <c r="K538" s="1126"/>
      <c r="L538" s="1126"/>
      <c r="M538" s="1126"/>
      <c r="N538" s="1127">
        <f>G538+H539+K539</f>
        <v>3519</v>
      </c>
      <c r="O538" s="1127">
        <v>1</v>
      </c>
      <c r="P538" s="1126"/>
      <c r="Q538" s="1126"/>
      <c r="R538" s="1130">
        <v>0.1</v>
      </c>
      <c r="S538" s="1127">
        <f>N538*R538</f>
        <v>351.90000000000003</v>
      </c>
      <c r="T538" s="1129"/>
      <c r="U538" s="1130"/>
      <c r="V538" s="1127"/>
      <c r="W538" s="1127">
        <f>AD538</f>
        <v>3181</v>
      </c>
      <c r="X538" s="1127">
        <f>(N538+V538+Q539+S538)*O538+W538</f>
        <v>7051.9</v>
      </c>
      <c r="Y538" s="1112"/>
      <c r="Z538" s="1112">
        <f>X538+Y538</f>
        <v>7051.9</v>
      </c>
      <c r="AA538" s="1109">
        <f>Z538</f>
        <v>7051.9</v>
      </c>
      <c r="AB538" s="1109">
        <f>AA538-X538</f>
        <v>0</v>
      </c>
      <c r="AC538" s="1127">
        <f>6700*O538</f>
        <v>6700</v>
      </c>
      <c r="AD538" s="1127">
        <f>AC538-(N538*O538)</f>
        <v>3181</v>
      </c>
      <c r="AE538" s="190">
        <f>G538*O538</f>
        <v>3519</v>
      </c>
      <c r="AF538" s="190">
        <f>G538*P538</f>
        <v>0</v>
      </c>
      <c r="AG538" s="190">
        <f>N538*O538</f>
        <v>3519</v>
      </c>
      <c r="AH538" s="190">
        <f>N538*P538</f>
        <v>0</v>
      </c>
      <c r="AI538" s="190">
        <f t="shared" si="211"/>
        <v>0</v>
      </c>
      <c r="AJ538" s="190">
        <f t="shared" si="211"/>
        <v>0</v>
      </c>
      <c r="AK538" s="464">
        <f>V538*O538</f>
        <v>0</v>
      </c>
      <c r="AL538" s="464">
        <f>V538*P538</f>
        <v>0</v>
      </c>
      <c r="AM538" s="464">
        <f>W538</f>
        <v>3181</v>
      </c>
      <c r="AN538" s="464">
        <f>S538*O538</f>
        <v>351.90000000000003</v>
      </c>
      <c r="AO538" s="464">
        <f>S538*P538</f>
        <v>0</v>
      </c>
      <c r="AP538" s="464">
        <f t="shared" si="216"/>
        <v>3519</v>
      </c>
      <c r="AQ538" s="464">
        <f t="shared" si="216"/>
        <v>0</v>
      </c>
      <c r="AR538" s="190"/>
      <c r="AS538" s="464">
        <f>AP538+AQ538-AR538</f>
        <v>3519</v>
      </c>
    </row>
    <row r="539" spans="1:45" s="191" customFormat="1" ht="24.95" customHeight="1">
      <c r="A539" s="1129"/>
      <c r="B539" s="1129"/>
      <c r="C539" s="1128"/>
      <c r="D539" s="1129"/>
      <c r="E539" s="1129"/>
      <c r="F539" s="1129"/>
      <c r="G539" s="1127"/>
      <c r="H539" s="1127"/>
      <c r="I539" s="1126"/>
      <c r="J539" s="1126"/>
      <c r="K539" s="1126"/>
      <c r="L539" s="1126"/>
      <c r="M539" s="1126"/>
      <c r="N539" s="1127"/>
      <c r="O539" s="1127"/>
      <c r="P539" s="1126"/>
      <c r="Q539" s="1126"/>
      <c r="R539" s="1130"/>
      <c r="S539" s="1127"/>
      <c r="T539" s="1129"/>
      <c r="U539" s="1130"/>
      <c r="V539" s="1127"/>
      <c r="W539" s="1127"/>
      <c r="X539" s="1127"/>
      <c r="Y539" s="1112"/>
      <c r="Z539" s="1112"/>
      <c r="AA539" s="1109"/>
      <c r="AB539" s="1109"/>
      <c r="AC539" s="1127"/>
      <c r="AD539" s="1127"/>
      <c r="AE539" s="190">
        <f>G539*O539</f>
        <v>0</v>
      </c>
      <c r="AF539" s="190">
        <f>G539*P539</f>
        <v>0</v>
      </c>
      <c r="AG539" s="190">
        <f>N539*O539</f>
        <v>0</v>
      </c>
      <c r="AH539" s="190">
        <f>N539*P539</f>
        <v>0</v>
      </c>
      <c r="AI539" s="190">
        <f t="shared" si="211"/>
        <v>0</v>
      </c>
      <c r="AJ539" s="190">
        <f t="shared" si="211"/>
        <v>0</v>
      </c>
      <c r="AK539" s="464">
        <f>V539*O539</f>
        <v>0</v>
      </c>
      <c r="AL539" s="464">
        <f>V539*P539</f>
        <v>0</v>
      </c>
      <c r="AM539" s="464">
        <f>W539</f>
        <v>0</v>
      </c>
      <c r="AN539" s="464">
        <f>S539*O539</f>
        <v>0</v>
      </c>
      <c r="AO539" s="464">
        <f>S539*P539</f>
        <v>0</v>
      </c>
      <c r="AP539" s="464">
        <f t="shared" si="216"/>
        <v>0</v>
      </c>
      <c r="AQ539" s="464">
        <f t="shared" si="216"/>
        <v>0</v>
      </c>
      <c r="AR539" s="190"/>
      <c r="AS539" s="464">
        <f>AP539+AQ539-AR539</f>
        <v>0</v>
      </c>
    </row>
    <row r="540" spans="1:45" s="446" customFormat="1" ht="24.95" customHeight="1">
      <c r="A540" s="441"/>
      <c r="B540" s="441"/>
      <c r="C540" s="442" t="s">
        <v>318</v>
      </c>
      <c r="D540" s="443"/>
      <c r="E540" s="441"/>
      <c r="F540" s="441"/>
      <c r="G540" s="444">
        <f>SUM(G538:G539)</f>
        <v>3519</v>
      </c>
      <c r="H540" s="441"/>
      <c r="I540" s="441"/>
      <c r="J540" s="441"/>
      <c r="K540" s="441"/>
      <c r="L540" s="441"/>
      <c r="M540" s="441"/>
      <c r="N540" s="444">
        <f>SUM(N538:N539)</f>
        <v>3519</v>
      </c>
      <c r="O540" s="444">
        <f>SUM(O538:O539)</f>
        <v>1</v>
      </c>
      <c r="P540" s="444">
        <f>SUM(P538:P539)</f>
        <v>0</v>
      </c>
      <c r="Q540" s="444"/>
      <c r="R540" s="444"/>
      <c r="S540" s="444">
        <f>SUM(S538:S539)</f>
        <v>351.90000000000003</v>
      </c>
      <c r="T540" s="444"/>
      <c r="U540" s="444"/>
      <c r="V540" s="444"/>
      <c r="W540" s="444">
        <f t="shared" ref="W540:AD540" si="219">SUM(W538:W539)</f>
        <v>3181</v>
      </c>
      <c r="X540" s="444">
        <f t="shared" si="219"/>
        <v>7051.9</v>
      </c>
      <c r="Y540" s="444">
        <f t="shared" si="219"/>
        <v>0</v>
      </c>
      <c r="Z540" s="444">
        <f t="shared" si="219"/>
        <v>7051.9</v>
      </c>
      <c r="AA540" s="499">
        <f t="shared" si="219"/>
        <v>7051.9</v>
      </c>
      <c r="AB540" s="499">
        <f t="shared" si="219"/>
        <v>0</v>
      </c>
      <c r="AC540" s="444">
        <f t="shared" si="219"/>
        <v>6700</v>
      </c>
      <c r="AD540" s="444">
        <f t="shared" si="219"/>
        <v>3181</v>
      </c>
      <c r="AE540" s="436"/>
      <c r="AF540" s="436"/>
      <c r="AG540" s="436"/>
      <c r="AH540" s="436"/>
      <c r="AI540" s="436"/>
      <c r="AJ540" s="436"/>
      <c r="AK540" s="437"/>
      <c r="AL540" s="437"/>
      <c r="AM540" s="437"/>
      <c r="AN540" s="437"/>
      <c r="AO540" s="437"/>
      <c r="AP540" s="437">
        <f t="shared" si="216"/>
        <v>0</v>
      </c>
      <c r="AQ540" s="437">
        <f t="shared" si="216"/>
        <v>0</v>
      </c>
      <c r="AR540" s="436"/>
      <c r="AS540" s="437">
        <f>AP540+AQ540-AR540</f>
        <v>0</v>
      </c>
    </row>
    <row r="541" spans="1:45" s="456" customFormat="1" ht="24.95" customHeight="1">
      <c r="A541" s="455"/>
      <c r="B541" s="455"/>
      <c r="C541" s="1136" t="s">
        <v>548</v>
      </c>
      <c r="D541" s="1136"/>
      <c r="E541" s="455"/>
      <c r="F541" s="455"/>
      <c r="G541" s="455"/>
      <c r="H541" s="455"/>
      <c r="I541" s="455"/>
      <c r="J541" s="455"/>
      <c r="K541" s="455"/>
      <c r="L541" s="455"/>
      <c r="M541" s="455"/>
      <c r="N541" s="455"/>
      <c r="O541" s="455"/>
      <c r="P541" s="455"/>
      <c r="Q541" s="455"/>
      <c r="R541" s="455"/>
      <c r="S541" s="455"/>
      <c r="T541" s="455"/>
      <c r="U541" s="455"/>
      <c r="V541" s="455"/>
      <c r="W541" s="455"/>
      <c r="X541" s="455"/>
      <c r="Y541" s="455"/>
      <c r="Z541" s="455"/>
      <c r="AA541" s="504"/>
      <c r="AB541" s="504"/>
      <c r="AC541" s="455"/>
      <c r="AD541" s="455"/>
      <c r="AE541" s="436">
        <f t="shared" si="207"/>
        <v>0</v>
      </c>
      <c r="AF541" s="436">
        <f t="shared" si="208"/>
        <v>0</v>
      </c>
      <c r="AG541" s="436">
        <f t="shared" si="209"/>
        <v>0</v>
      </c>
      <c r="AH541" s="436">
        <f t="shared" si="210"/>
        <v>0</v>
      </c>
      <c r="AI541" s="436">
        <f t="shared" si="211"/>
        <v>0</v>
      </c>
      <c r="AJ541" s="436">
        <f t="shared" si="211"/>
        <v>0</v>
      </c>
      <c r="AK541" s="437">
        <f t="shared" si="212"/>
        <v>0</v>
      </c>
      <c r="AL541" s="437">
        <f t="shared" si="213"/>
        <v>0</v>
      </c>
      <c r="AM541" s="437">
        <f t="shared" si="214"/>
        <v>0</v>
      </c>
      <c r="AN541" s="437">
        <f t="shared" si="199"/>
        <v>0</v>
      </c>
      <c r="AO541" s="437">
        <f t="shared" si="200"/>
        <v>0</v>
      </c>
      <c r="AP541" s="437">
        <f t="shared" si="216"/>
        <v>0</v>
      </c>
      <c r="AQ541" s="437">
        <f t="shared" si="216"/>
        <v>0</v>
      </c>
      <c r="AR541" s="436"/>
      <c r="AS541" s="437">
        <f t="shared" si="217"/>
        <v>0</v>
      </c>
    </row>
    <row r="542" spans="1:45" s="191" customFormat="1" ht="24.95" customHeight="1">
      <c r="A542" s="1129"/>
      <c r="B542" s="1129"/>
      <c r="C542" s="1128" t="s">
        <v>767</v>
      </c>
      <c r="D542" s="1129"/>
      <c r="E542" s="1129" t="s">
        <v>770</v>
      </c>
      <c r="F542" s="1129">
        <v>3</v>
      </c>
      <c r="G542" s="1127">
        <v>3519</v>
      </c>
      <c r="H542" s="1127"/>
      <c r="I542" s="1126"/>
      <c r="J542" s="1126"/>
      <c r="K542" s="1126"/>
      <c r="L542" s="1126"/>
      <c r="M542" s="1126"/>
      <c r="N542" s="1127">
        <f>G542+H543+K543</f>
        <v>3519</v>
      </c>
      <c r="O542" s="1127">
        <v>1</v>
      </c>
      <c r="P542" s="1126"/>
      <c r="Q542" s="1126"/>
      <c r="R542" s="1130">
        <v>0.1</v>
      </c>
      <c r="S542" s="1127">
        <f>N542*R542</f>
        <v>351.90000000000003</v>
      </c>
      <c r="T542" s="1129"/>
      <c r="U542" s="1130"/>
      <c r="V542" s="1127"/>
      <c r="W542" s="1127">
        <f>AD542</f>
        <v>3181</v>
      </c>
      <c r="X542" s="1127">
        <f>(N542+V542+Q543+S542)*O542+W542</f>
        <v>7051.9</v>
      </c>
      <c r="Y542" s="1112"/>
      <c r="Z542" s="1112">
        <f>X542+Y542</f>
        <v>7051.9</v>
      </c>
      <c r="AA542" s="1109">
        <f t="shared" ref="AA542:AA550" si="220">Z542</f>
        <v>7051.9</v>
      </c>
      <c r="AB542" s="1109">
        <f>AA542-X542</f>
        <v>0</v>
      </c>
      <c r="AC542" s="1127">
        <f>6700*O542</f>
        <v>6700</v>
      </c>
      <c r="AD542" s="1127">
        <f>AC542-(N542*O542)</f>
        <v>3181</v>
      </c>
      <c r="AE542" s="190">
        <f t="shared" si="207"/>
        <v>3519</v>
      </c>
      <c r="AF542" s="190">
        <f t="shared" si="208"/>
        <v>0</v>
      </c>
      <c r="AG542" s="190">
        <f t="shared" si="209"/>
        <v>3519</v>
      </c>
      <c r="AH542" s="190">
        <f t="shared" si="210"/>
        <v>0</v>
      </c>
      <c r="AI542" s="190">
        <f t="shared" si="211"/>
        <v>0</v>
      </c>
      <c r="AJ542" s="190">
        <f t="shared" si="211"/>
        <v>0</v>
      </c>
      <c r="AK542" s="464">
        <f t="shared" si="212"/>
        <v>0</v>
      </c>
      <c r="AL542" s="464">
        <f t="shared" si="213"/>
        <v>0</v>
      </c>
      <c r="AM542" s="464">
        <f t="shared" si="214"/>
        <v>3181</v>
      </c>
      <c r="AN542" s="464">
        <f t="shared" si="199"/>
        <v>351.90000000000003</v>
      </c>
      <c r="AO542" s="464">
        <f t="shared" si="200"/>
        <v>0</v>
      </c>
      <c r="AP542" s="464">
        <f t="shared" si="216"/>
        <v>3519</v>
      </c>
      <c r="AQ542" s="464">
        <f t="shared" si="216"/>
        <v>0</v>
      </c>
      <c r="AR542" s="190"/>
      <c r="AS542" s="464">
        <f t="shared" si="217"/>
        <v>3519</v>
      </c>
    </row>
    <row r="543" spans="1:45" s="191" customFormat="1" ht="24.95" customHeight="1">
      <c r="A543" s="1129"/>
      <c r="B543" s="1129"/>
      <c r="C543" s="1128"/>
      <c r="D543" s="1129"/>
      <c r="E543" s="1129"/>
      <c r="F543" s="1129"/>
      <c r="G543" s="1127"/>
      <c r="H543" s="1127"/>
      <c r="I543" s="1126"/>
      <c r="J543" s="1126"/>
      <c r="K543" s="1126"/>
      <c r="L543" s="1126"/>
      <c r="M543" s="1126"/>
      <c r="N543" s="1127"/>
      <c r="O543" s="1127"/>
      <c r="P543" s="1126"/>
      <c r="Q543" s="1126"/>
      <c r="R543" s="1130"/>
      <c r="S543" s="1127"/>
      <c r="T543" s="1129"/>
      <c r="U543" s="1130"/>
      <c r="V543" s="1127"/>
      <c r="W543" s="1127"/>
      <c r="X543" s="1127"/>
      <c r="Y543" s="1112"/>
      <c r="Z543" s="1112"/>
      <c r="AA543" s="1109"/>
      <c r="AB543" s="1109"/>
      <c r="AC543" s="1127"/>
      <c r="AD543" s="1127"/>
      <c r="AE543" s="190">
        <f t="shared" si="207"/>
        <v>0</v>
      </c>
      <c r="AF543" s="190">
        <f t="shared" si="208"/>
        <v>0</v>
      </c>
      <c r="AG543" s="190">
        <f t="shared" si="209"/>
        <v>0</v>
      </c>
      <c r="AH543" s="190">
        <f t="shared" si="210"/>
        <v>0</v>
      </c>
      <c r="AI543" s="190">
        <f t="shared" si="211"/>
        <v>0</v>
      </c>
      <c r="AJ543" s="190">
        <f t="shared" si="211"/>
        <v>0</v>
      </c>
      <c r="AK543" s="464">
        <f t="shared" si="212"/>
        <v>0</v>
      </c>
      <c r="AL543" s="464">
        <f t="shared" si="213"/>
        <v>0</v>
      </c>
      <c r="AM543" s="464">
        <f t="shared" si="214"/>
        <v>0</v>
      </c>
      <c r="AN543" s="464">
        <f t="shared" si="199"/>
        <v>0</v>
      </c>
      <c r="AO543" s="464">
        <f t="shared" si="200"/>
        <v>0</v>
      </c>
      <c r="AP543" s="464">
        <f t="shared" si="216"/>
        <v>0</v>
      </c>
      <c r="AQ543" s="464">
        <f t="shared" si="216"/>
        <v>0</v>
      </c>
      <c r="AR543" s="190"/>
      <c r="AS543" s="464">
        <f t="shared" si="217"/>
        <v>0</v>
      </c>
    </row>
    <row r="544" spans="1:45" s="191" customFormat="1" ht="24.95" customHeight="1">
      <c r="A544" s="1129"/>
      <c r="B544" s="1129"/>
      <c r="C544" s="1128" t="s">
        <v>767</v>
      </c>
      <c r="D544" s="1129"/>
      <c r="E544" s="1129" t="s">
        <v>771</v>
      </c>
      <c r="F544" s="1129">
        <v>3</v>
      </c>
      <c r="G544" s="1127">
        <v>3519</v>
      </c>
      <c r="H544" s="1127"/>
      <c r="I544" s="1127"/>
      <c r="J544" s="1127"/>
      <c r="K544" s="1127"/>
      <c r="L544" s="1127"/>
      <c r="M544" s="1127"/>
      <c r="N544" s="1127">
        <f>G544+H545</f>
        <v>3519</v>
      </c>
      <c r="O544" s="1127">
        <v>1</v>
      </c>
      <c r="P544" s="1126"/>
      <c r="Q544" s="1126"/>
      <c r="R544" s="1130">
        <v>0.1</v>
      </c>
      <c r="S544" s="1127">
        <f>N544*R544</f>
        <v>351.90000000000003</v>
      </c>
      <c r="T544" s="1129"/>
      <c r="U544" s="1130"/>
      <c r="V544" s="1127"/>
      <c r="W544" s="1127">
        <f>AD544</f>
        <v>3181</v>
      </c>
      <c r="X544" s="1127">
        <f>(N544+V544+Q545+S544)*O544+W544</f>
        <v>7051.9</v>
      </c>
      <c r="Y544" s="1112"/>
      <c r="Z544" s="1112">
        <f>X544+Y544</f>
        <v>7051.9</v>
      </c>
      <c r="AA544" s="1109">
        <f t="shared" si="220"/>
        <v>7051.9</v>
      </c>
      <c r="AB544" s="1109">
        <f>AA544-X544</f>
        <v>0</v>
      </c>
      <c r="AC544" s="1127">
        <f>6700*O544</f>
        <v>6700</v>
      </c>
      <c r="AD544" s="1127">
        <f>AC544-(N544*O544)</f>
        <v>3181</v>
      </c>
      <c r="AE544" s="190">
        <f t="shared" si="207"/>
        <v>3519</v>
      </c>
      <c r="AF544" s="190">
        <f t="shared" si="208"/>
        <v>0</v>
      </c>
      <c r="AG544" s="190">
        <f t="shared" si="209"/>
        <v>3519</v>
      </c>
      <c r="AH544" s="190">
        <f t="shared" si="210"/>
        <v>0</v>
      </c>
      <c r="AI544" s="190">
        <f t="shared" si="211"/>
        <v>0</v>
      </c>
      <c r="AJ544" s="190">
        <f t="shared" si="211"/>
        <v>0</v>
      </c>
      <c r="AK544" s="464">
        <f t="shared" si="212"/>
        <v>0</v>
      </c>
      <c r="AL544" s="464">
        <f t="shared" si="213"/>
        <v>0</v>
      </c>
      <c r="AM544" s="464">
        <f t="shared" si="214"/>
        <v>3181</v>
      </c>
      <c r="AN544" s="464">
        <f t="shared" si="199"/>
        <v>351.90000000000003</v>
      </c>
      <c r="AO544" s="464">
        <f t="shared" si="200"/>
        <v>0</v>
      </c>
      <c r="AP544" s="464">
        <f t="shared" si="216"/>
        <v>3519</v>
      </c>
      <c r="AQ544" s="464">
        <f t="shared" si="216"/>
        <v>0</v>
      </c>
      <c r="AR544" s="190"/>
      <c r="AS544" s="464">
        <f t="shared" si="217"/>
        <v>3519</v>
      </c>
    </row>
    <row r="545" spans="1:45" s="191" customFormat="1" ht="24.95" customHeight="1">
      <c r="A545" s="1129"/>
      <c r="B545" s="1129"/>
      <c r="C545" s="1128"/>
      <c r="D545" s="1129"/>
      <c r="E545" s="1129"/>
      <c r="F545" s="1129"/>
      <c r="G545" s="1127"/>
      <c r="H545" s="1127"/>
      <c r="I545" s="1127"/>
      <c r="J545" s="1127"/>
      <c r="K545" s="1127"/>
      <c r="L545" s="1127"/>
      <c r="M545" s="1127"/>
      <c r="N545" s="1127"/>
      <c r="O545" s="1127"/>
      <c r="P545" s="1126"/>
      <c r="Q545" s="1126"/>
      <c r="R545" s="1130"/>
      <c r="S545" s="1127"/>
      <c r="T545" s="1129"/>
      <c r="U545" s="1130"/>
      <c r="V545" s="1127"/>
      <c r="W545" s="1127"/>
      <c r="X545" s="1127"/>
      <c r="Y545" s="1112"/>
      <c r="Z545" s="1112"/>
      <c r="AA545" s="1109"/>
      <c r="AB545" s="1109"/>
      <c r="AC545" s="1127"/>
      <c r="AD545" s="1127"/>
      <c r="AE545" s="190">
        <f t="shared" si="207"/>
        <v>0</v>
      </c>
      <c r="AF545" s="190">
        <f t="shared" si="208"/>
        <v>0</v>
      </c>
      <c r="AG545" s="190">
        <f t="shared" si="209"/>
        <v>0</v>
      </c>
      <c r="AH545" s="190">
        <f t="shared" si="210"/>
        <v>0</v>
      </c>
      <c r="AI545" s="190">
        <f t="shared" si="211"/>
        <v>0</v>
      </c>
      <c r="AJ545" s="190">
        <f t="shared" si="211"/>
        <v>0</v>
      </c>
      <c r="AK545" s="464">
        <f t="shared" si="212"/>
        <v>0</v>
      </c>
      <c r="AL545" s="464">
        <f t="shared" si="213"/>
        <v>0</v>
      </c>
      <c r="AM545" s="464">
        <f t="shared" si="214"/>
        <v>0</v>
      </c>
      <c r="AN545" s="464">
        <f t="shared" si="199"/>
        <v>0</v>
      </c>
      <c r="AO545" s="464">
        <f t="shared" si="200"/>
        <v>0</v>
      </c>
      <c r="AP545" s="464">
        <f t="shared" si="216"/>
        <v>0</v>
      </c>
      <c r="AQ545" s="464">
        <f t="shared" si="216"/>
        <v>0</v>
      </c>
      <c r="AR545" s="190"/>
      <c r="AS545" s="464">
        <f t="shared" si="217"/>
        <v>0</v>
      </c>
    </row>
    <row r="546" spans="1:45" s="191" customFormat="1" ht="24.95" customHeight="1">
      <c r="A546" s="1129"/>
      <c r="B546" s="1129"/>
      <c r="C546" s="1128" t="s">
        <v>767</v>
      </c>
      <c r="D546" s="1129"/>
      <c r="E546" s="1129" t="s">
        <v>772</v>
      </c>
      <c r="F546" s="1129">
        <v>3</v>
      </c>
      <c r="G546" s="1127">
        <v>3519</v>
      </c>
      <c r="H546" s="1127"/>
      <c r="I546" s="1127"/>
      <c r="J546" s="1127"/>
      <c r="K546" s="1127"/>
      <c r="L546" s="1127"/>
      <c r="M546" s="1127"/>
      <c r="N546" s="1127">
        <f>G546+H547</f>
        <v>3519</v>
      </c>
      <c r="O546" s="1127">
        <v>1</v>
      </c>
      <c r="P546" s="1127"/>
      <c r="Q546" s="1127"/>
      <c r="R546" s="1130">
        <v>0.1</v>
      </c>
      <c r="S546" s="1127">
        <f>N546*R546</f>
        <v>351.90000000000003</v>
      </c>
      <c r="T546" s="1129"/>
      <c r="U546" s="1130"/>
      <c r="V546" s="1127"/>
      <c r="W546" s="1127">
        <f>AD546</f>
        <v>3181</v>
      </c>
      <c r="X546" s="1127">
        <f>(N546+V546+Q547+S546)*O546+W546</f>
        <v>7051.9</v>
      </c>
      <c r="Y546" s="1112"/>
      <c r="Z546" s="1112">
        <f>X546+Y546</f>
        <v>7051.9</v>
      </c>
      <c r="AA546" s="1109">
        <f t="shared" si="220"/>
        <v>7051.9</v>
      </c>
      <c r="AB546" s="1109">
        <f>AA546-X546</f>
        <v>0</v>
      </c>
      <c r="AC546" s="1127">
        <f>6700*O546</f>
        <v>6700</v>
      </c>
      <c r="AD546" s="1127">
        <f>AC546-(N546*O546)</f>
        <v>3181</v>
      </c>
      <c r="AE546" s="190">
        <f t="shared" si="207"/>
        <v>3519</v>
      </c>
      <c r="AF546" s="190">
        <f t="shared" si="208"/>
        <v>0</v>
      </c>
      <c r="AG546" s="190">
        <f t="shared" si="209"/>
        <v>3519</v>
      </c>
      <c r="AH546" s="190">
        <f t="shared" si="210"/>
        <v>0</v>
      </c>
      <c r="AI546" s="190">
        <f t="shared" si="211"/>
        <v>0</v>
      </c>
      <c r="AJ546" s="190">
        <f t="shared" si="211"/>
        <v>0</v>
      </c>
      <c r="AK546" s="464">
        <f t="shared" si="212"/>
        <v>0</v>
      </c>
      <c r="AL546" s="464">
        <f t="shared" si="213"/>
        <v>0</v>
      </c>
      <c r="AM546" s="464">
        <f t="shared" si="214"/>
        <v>3181</v>
      </c>
      <c r="AN546" s="464">
        <f t="shared" si="199"/>
        <v>351.90000000000003</v>
      </c>
      <c r="AO546" s="464">
        <f t="shared" si="200"/>
        <v>0</v>
      </c>
      <c r="AP546" s="464">
        <f t="shared" si="216"/>
        <v>3519</v>
      </c>
      <c r="AQ546" s="464">
        <f t="shared" si="216"/>
        <v>0</v>
      </c>
      <c r="AR546" s="190"/>
      <c r="AS546" s="464">
        <f t="shared" si="217"/>
        <v>3519</v>
      </c>
    </row>
    <row r="547" spans="1:45" s="191" customFormat="1" ht="24.95" customHeight="1">
      <c r="A547" s="1129"/>
      <c r="B547" s="1129"/>
      <c r="C547" s="1128"/>
      <c r="D547" s="1129"/>
      <c r="E547" s="1129"/>
      <c r="F547" s="1129"/>
      <c r="G547" s="1127"/>
      <c r="H547" s="1127"/>
      <c r="I547" s="1127"/>
      <c r="J547" s="1127"/>
      <c r="K547" s="1127"/>
      <c r="L547" s="1127"/>
      <c r="M547" s="1127"/>
      <c r="N547" s="1127"/>
      <c r="O547" s="1127"/>
      <c r="P547" s="1127"/>
      <c r="Q547" s="1127"/>
      <c r="R547" s="1130"/>
      <c r="S547" s="1127"/>
      <c r="T547" s="1129"/>
      <c r="U547" s="1130"/>
      <c r="V547" s="1127"/>
      <c r="W547" s="1127"/>
      <c r="X547" s="1127"/>
      <c r="Y547" s="1112"/>
      <c r="Z547" s="1112"/>
      <c r="AA547" s="1109"/>
      <c r="AB547" s="1109"/>
      <c r="AC547" s="1127"/>
      <c r="AD547" s="1127"/>
      <c r="AE547" s="190">
        <f t="shared" si="207"/>
        <v>0</v>
      </c>
      <c r="AF547" s="190">
        <f t="shared" si="208"/>
        <v>0</v>
      </c>
      <c r="AG547" s="190">
        <f t="shared" si="209"/>
        <v>0</v>
      </c>
      <c r="AH547" s="190">
        <f t="shared" si="210"/>
        <v>0</v>
      </c>
      <c r="AI547" s="190">
        <f t="shared" si="211"/>
        <v>0</v>
      </c>
      <c r="AJ547" s="190">
        <f t="shared" si="211"/>
        <v>0</v>
      </c>
      <c r="AK547" s="464">
        <f t="shared" si="212"/>
        <v>0</v>
      </c>
      <c r="AL547" s="464">
        <f t="shared" si="213"/>
        <v>0</v>
      </c>
      <c r="AM547" s="464">
        <f t="shared" si="214"/>
        <v>0</v>
      </c>
      <c r="AN547" s="464">
        <f t="shared" si="199"/>
        <v>0</v>
      </c>
      <c r="AO547" s="464">
        <f t="shared" si="200"/>
        <v>0</v>
      </c>
      <c r="AP547" s="464">
        <f t="shared" si="216"/>
        <v>0</v>
      </c>
      <c r="AQ547" s="464">
        <f t="shared" si="216"/>
        <v>0</v>
      </c>
      <c r="AR547" s="190"/>
      <c r="AS547" s="464">
        <f t="shared" si="217"/>
        <v>0</v>
      </c>
    </row>
    <row r="548" spans="1:45" s="191" customFormat="1" ht="24.95" customHeight="1">
      <c r="A548" s="1129"/>
      <c r="B548" s="1129"/>
      <c r="C548" s="1128" t="s">
        <v>767</v>
      </c>
      <c r="D548" s="1129"/>
      <c r="E548" s="1129" t="s">
        <v>773</v>
      </c>
      <c r="F548" s="1129">
        <v>3</v>
      </c>
      <c r="G548" s="1127">
        <v>3519</v>
      </c>
      <c r="H548" s="1127"/>
      <c r="I548" s="1127"/>
      <c r="J548" s="1127"/>
      <c r="K548" s="1127"/>
      <c r="L548" s="1127"/>
      <c r="M548" s="1127"/>
      <c r="N548" s="1127">
        <f>G548+H549</f>
        <v>3519</v>
      </c>
      <c r="O548" s="1127">
        <v>1</v>
      </c>
      <c r="P548" s="1127"/>
      <c r="Q548" s="1127"/>
      <c r="R548" s="1130">
        <v>0.1</v>
      </c>
      <c r="S548" s="1127">
        <f>N548*R548</f>
        <v>351.90000000000003</v>
      </c>
      <c r="T548" s="1129"/>
      <c r="U548" s="1130"/>
      <c r="V548" s="1127"/>
      <c r="W548" s="1127">
        <f>AD548</f>
        <v>3181</v>
      </c>
      <c r="X548" s="1127">
        <f>(N548+V548+Q549+S548)*O548+W548</f>
        <v>7051.9</v>
      </c>
      <c r="Y548" s="1112"/>
      <c r="Z548" s="1112">
        <f>X548+Y548</f>
        <v>7051.9</v>
      </c>
      <c r="AA548" s="1109">
        <f t="shared" si="220"/>
        <v>7051.9</v>
      </c>
      <c r="AB548" s="1109">
        <f>AA548-X548</f>
        <v>0</v>
      </c>
      <c r="AC548" s="1127">
        <f>6700*O548</f>
        <v>6700</v>
      </c>
      <c r="AD548" s="1127">
        <f>AC548-(N548*O548)</f>
        <v>3181</v>
      </c>
      <c r="AE548" s="190">
        <f t="shared" si="207"/>
        <v>3519</v>
      </c>
      <c r="AF548" s="190">
        <f t="shared" si="208"/>
        <v>0</v>
      </c>
      <c r="AG548" s="190">
        <f t="shared" si="209"/>
        <v>3519</v>
      </c>
      <c r="AH548" s="190">
        <f t="shared" si="210"/>
        <v>0</v>
      </c>
      <c r="AI548" s="190">
        <f t="shared" si="211"/>
        <v>0</v>
      </c>
      <c r="AJ548" s="190">
        <f t="shared" si="211"/>
        <v>0</v>
      </c>
      <c r="AK548" s="464">
        <f t="shared" si="212"/>
        <v>0</v>
      </c>
      <c r="AL548" s="464">
        <f t="shared" si="213"/>
        <v>0</v>
      </c>
      <c r="AM548" s="464">
        <f t="shared" si="214"/>
        <v>3181</v>
      </c>
      <c r="AN548" s="464">
        <f t="shared" ref="AN548:AN601" si="221">S548*O548</f>
        <v>351.90000000000003</v>
      </c>
      <c r="AO548" s="464">
        <f t="shared" ref="AO548:AO601" si="222">S548*P548</f>
        <v>0</v>
      </c>
      <c r="AP548" s="464">
        <f t="shared" si="216"/>
        <v>3519</v>
      </c>
      <c r="AQ548" s="464">
        <f t="shared" si="216"/>
        <v>0</v>
      </c>
      <c r="AR548" s="190"/>
      <c r="AS548" s="464">
        <f t="shared" si="217"/>
        <v>3519</v>
      </c>
    </row>
    <row r="549" spans="1:45" s="191" customFormat="1" ht="24.95" customHeight="1">
      <c r="A549" s="1129"/>
      <c r="B549" s="1129"/>
      <c r="C549" s="1128"/>
      <c r="D549" s="1129"/>
      <c r="E549" s="1129"/>
      <c r="F549" s="1129"/>
      <c r="G549" s="1127"/>
      <c r="H549" s="1127"/>
      <c r="I549" s="1127"/>
      <c r="J549" s="1127"/>
      <c r="K549" s="1127"/>
      <c r="L549" s="1127"/>
      <c r="M549" s="1127"/>
      <c r="N549" s="1127"/>
      <c r="O549" s="1127"/>
      <c r="P549" s="1127"/>
      <c r="Q549" s="1127"/>
      <c r="R549" s="1130"/>
      <c r="S549" s="1127"/>
      <c r="T549" s="1129"/>
      <c r="U549" s="1130"/>
      <c r="V549" s="1127"/>
      <c r="W549" s="1127"/>
      <c r="X549" s="1127"/>
      <c r="Y549" s="1112"/>
      <c r="Z549" s="1112"/>
      <c r="AA549" s="1109"/>
      <c r="AB549" s="1109"/>
      <c r="AC549" s="1127"/>
      <c r="AD549" s="1127"/>
      <c r="AE549" s="190">
        <f t="shared" si="207"/>
        <v>0</v>
      </c>
      <c r="AF549" s="190">
        <f t="shared" si="208"/>
        <v>0</v>
      </c>
      <c r="AG549" s="190">
        <f t="shared" si="209"/>
        <v>0</v>
      </c>
      <c r="AH549" s="190">
        <f t="shared" si="210"/>
        <v>0</v>
      </c>
      <c r="AI549" s="190">
        <f t="shared" si="211"/>
        <v>0</v>
      </c>
      <c r="AJ549" s="190">
        <f t="shared" si="211"/>
        <v>0</v>
      </c>
      <c r="AK549" s="464">
        <f t="shared" si="212"/>
        <v>0</v>
      </c>
      <c r="AL549" s="464">
        <f t="shared" si="213"/>
        <v>0</v>
      </c>
      <c r="AM549" s="464">
        <f t="shared" si="214"/>
        <v>0</v>
      </c>
      <c r="AN549" s="464">
        <f t="shared" si="221"/>
        <v>0</v>
      </c>
      <c r="AO549" s="464">
        <f t="shared" si="222"/>
        <v>0</v>
      </c>
      <c r="AP549" s="464">
        <f t="shared" si="216"/>
        <v>0</v>
      </c>
      <c r="AQ549" s="464">
        <f t="shared" si="216"/>
        <v>0</v>
      </c>
      <c r="AR549" s="190"/>
      <c r="AS549" s="464">
        <f t="shared" si="217"/>
        <v>0</v>
      </c>
    </row>
    <row r="550" spans="1:45" s="191" customFormat="1" ht="24.95" customHeight="1">
      <c r="A550" s="1129"/>
      <c r="B550" s="1129"/>
      <c r="C550" s="1128" t="s">
        <v>767</v>
      </c>
      <c r="D550" s="1129"/>
      <c r="E550" s="1129" t="s">
        <v>656</v>
      </c>
      <c r="F550" s="1129">
        <v>3</v>
      </c>
      <c r="G550" s="1127">
        <v>3519</v>
      </c>
      <c r="H550" s="1127"/>
      <c r="I550" s="1127"/>
      <c r="J550" s="1127"/>
      <c r="K550" s="1127"/>
      <c r="L550" s="1127"/>
      <c r="M550" s="1127"/>
      <c r="N550" s="1127">
        <f>G550+H551</f>
        <v>3519</v>
      </c>
      <c r="O550" s="1127">
        <v>1</v>
      </c>
      <c r="P550" s="1127"/>
      <c r="Q550" s="1127"/>
      <c r="R550" s="1130">
        <v>0.1</v>
      </c>
      <c r="S550" s="1127">
        <f>N550*R550</f>
        <v>351.90000000000003</v>
      </c>
      <c r="T550" s="1129"/>
      <c r="U550" s="1130"/>
      <c r="V550" s="1127"/>
      <c r="W550" s="1127">
        <f>AD550</f>
        <v>3181</v>
      </c>
      <c r="X550" s="1127">
        <f>(N550+V550+Q551+S550)*O550+W550</f>
        <v>7051.9</v>
      </c>
      <c r="Y550" s="1112"/>
      <c r="Z550" s="1112">
        <f>X550+Y550</f>
        <v>7051.9</v>
      </c>
      <c r="AA550" s="1109">
        <f t="shared" si="220"/>
        <v>7051.9</v>
      </c>
      <c r="AB550" s="1109">
        <f>AA550-X550</f>
        <v>0</v>
      </c>
      <c r="AC550" s="1127">
        <f>6700*O550</f>
        <v>6700</v>
      </c>
      <c r="AD550" s="1127">
        <f>AC550-(N550*O550)</f>
        <v>3181</v>
      </c>
      <c r="AE550" s="190">
        <f t="shared" si="207"/>
        <v>3519</v>
      </c>
      <c r="AF550" s="190">
        <f t="shared" si="208"/>
        <v>0</v>
      </c>
      <c r="AG550" s="190">
        <f t="shared" si="209"/>
        <v>3519</v>
      </c>
      <c r="AH550" s="190">
        <f t="shared" si="210"/>
        <v>0</v>
      </c>
      <c r="AI550" s="190">
        <f t="shared" si="211"/>
        <v>0</v>
      </c>
      <c r="AJ550" s="190">
        <f t="shared" si="211"/>
        <v>0</v>
      </c>
      <c r="AK550" s="464">
        <f t="shared" si="212"/>
        <v>0</v>
      </c>
      <c r="AL550" s="464">
        <f t="shared" si="213"/>
        <v>0</v>
      </c>
      <c r="AM550" s="464">
        <f t="shared" si="214"/>
        <v>3181</v>
      </c>
      <c r="AN550" s="464">
        <f t="shared" si="221"/>
        <v>351.90000000000003</v>
      </c>
      <c r="AO550" s="464">
        <f t="shared" si="222"/>
        <v>0</v>
      </c>
      <c r="AP550" s="464">
        <f t="shared" si="216"/>
        <v>3519</v>
      </c>
      <c r="AQ550" s="464">
        <f t="shared" si="216"/>
        <v>0</v>
      </c>
      <c r="AR550" s="190"/>
      <c r="AS550" s="464">
        <f t="shared" si="217"/>
        <v>3519</v>
      </c>
    </row>
    <row r="551" spans="1:45" s="191" customFormat="1" ht="24.95" customHeight="1">
      <c r="A551" s="1129"/>
      <c r="B551" s="1129"/>
      <c r="C551" s="1128"/>
      <c r="D551" s="1129"/>
      <c r="E551" s="1129"/>
      <c r="F551" s="1129"/>
      <c r="G551" s="1127"/>
      <c r="H551" s="1127"/>
      <c r="I551" s="1127"/>
      <c r="J551" s="1127"/>
      <c r="K551" s="1127"/>
      <c r="L551" s="1127"/>
      <c r="M551" s="1127"/>
      <c r="N551" s="1127"/>
      <c r="O551" s="1127"/>
      <c r="P551" s="1127"/>
      <c r="Q551" s="1127"/>
      <c r="R551" s="1130"/>
      <c r="S551" s="1127"/>
      <c r="T551" s="1129"/>
      <c r="U551" s="1130"/>
      <c r="V551" s="1127"/>
      <c r="W551" s="1127"/>
      <c r="X551" s="1127"/>
      <c r="Y551" s="1112"/>
      <c r="Z551" s="1112"/>
      <c r="AA551" s="1109"/>
      <c r="AB551" s="1109"/>
      <c r="AC551" s="1127"/>
      <c r="AD551" s="1127"/>
      <c r="AE551" s="190">
        <f t="shared" si="207"/>
        <v>0</v>
      </c>
      <c r="AF551" s="190">
        <f t="shared" si="208"/>
        <v>0</v>
      </c>
      <c r="AG551" s="190">
        <f t="shared" si="209"/>
        <v>0</v>
      </c>
      <c r="AH551" s="190">
        <f t="shared" si="210"/>
        <v>0</v>
      </c>
      <c r="AI551" s="190">
        <f t="shared" si="211"/>
        <v>0</v>
      </c>
      <c r="AJ551" s="190">
        <f t="shared" si="211"/>
        <v>0</v>
      </c>
      <c r="AK551" s="464">
        <f t="shared" si="212"/>
        <v>0</v>
      </c>
      <c r="AL551" s="464">
        <f t="shared" si="213"/>
        <v>0</v>
      </c>
      <c r="AM551" s="464">
        <f t="shared" si="214"/>
        <v>0</v>
      </c>
      <c r="AN551" s="464">
        <f t="shared" si="221"/>
        <v>0</v>
      </c>
      <c r="AO551" s="464">
        <f t="shared" si="222"/>
        <v>0</v>
      </c>
      <c r="AP551" s="464">
        <f t="shared" si="216"/>
        <v>0</v>
      </c>
      <c r="AQ551" s="464">
        <f t="shared" si="216"/>
        <v>0</v>
      </c>
      <c r="AR551" s="190"/>
      <c r="AS551" s="464">
        <f t="shared" si="217"/>
        <v>0</v>
      </c>
    </row>
    <row r="552" spans="1:45" s="446" customFormat="1" ht="24.95" customHeight="1">
      <c r="A552" s="441"/>
      <c r="B552" s="441"/>
      <c r="C552" s="442" t="s">
        <v>318</v>
      </c>
      <c r="D552" s="443"/>
      <c r="E552" s="441"/>
      <c r="F552" s="441"/>
      <c r="G552" s="444">
        <f>SUM(G542:G551)</f>
        <v>17595</v>
      </c>
      <c r="H552" s="441"/>
      <c r="I552" s="441"/>
      <c r="J552" s="441"/>
      <c r="K552" s="441"/>
      <c r="L552" s="441"/>
      <c r="M552" s="441"/>
      <c r="N552" s="444">
        <f>SUM(N542:N551)</f>
        <v>17595</v>
      </c>
      <c r="O552" s="444">
        <f>SUM(O542:O551)</f>
        <v>5</v>
      </c>
      <c r="P552" s="444">
        <f>SUM(P542:P551)</f>
        <v>0</v>
      </c>
      <c r="Q552" s="444"/>
      <c r="R552" s="444"/>
      <c r="S552" s="444">
        <f>SUM(S542:S551)</f>
        <v>1759.5000000000002</v>
      </c>
      <c r="T552" s="444"/>
      <c r="U552" s="444"/>
      <c r="V552" s="444"/>
      <c r="W552" s="444">
        <f t="shared" ref="W552:AD552" si="223">SUM(W542:W551)</f>
        <v>15905</v>
      </c>
      <c r="X552" s="444">
        <f t="shared" si="223"/>
        <v>35259.5</v>
      </c>
      <c r="Y552" s="444">
        <f t="shared" si="223"/>
        <v>0</v>
      </c>
      <c r="Z552" s="444">
        <f t="shared" si="223"/>
        <v>35259.5</v>
      </c>
      <c r="AA552" s="499">
        <f t="shared" si="223"/>
        <v>35259.5</v>
      </c>
      <c r="AB552" s="499">
        <f t="shared" si="223"/>
        <v>0</v>
      </c>
      <c r="AC552" s="444">
        <f t="shared" si="223"/>
        <v>33500</v>
      </c>
      <c r="AD552" s="444">
        <f t="shared" si="223"/>
        <v>15905</v>
      </c>
      <c r="AE552" s="436"/>
      <c r="AF552" s="436"/>
      <c r="AG552" s="436"/>
      <c r="AH552" s="436"/>
      <c r="AI552" s="436"/>
      <c r="AJ552" s="436"/>
      <c r="AK552" s="437"/>
      <c r="AL552" s="437"/>
      <c r="AM552" s="437"/>
      <c r="AN552" s="437"/>
      <c r="AO552" s="437"/>
      <c r="AP552" s="437">
        <f t="shared" si="216"/>
        <v>0</v>
      </c>
      <c r="AQ552" s="437">
        <f t="shared" si="216"/>
        <v>0</v>
      </c>
      <c r="AR552" s="436"/>
      <c r="AS552" s="437">
        <f t="shared" si="217"/>
        <v>0</v>
      </c>
    </row>
    <row r="553" spans="1:45" s="446" customFormat="1" ht="24.95" customHeight="1">
      <c r="A553" s="441"/>
      <c r="B553" s="441"/>
      <c r="C553" s="1136" t="s">
        <v>774</v>
      </c>
      <c r="D553" s="1137"/>
      <c r="E553" s="441"/>
      <c r="F553" s="441"/>
      <c r="G553" s="451">
        <f>G445+G469+G481+G495+G507+G521+G525+G535+G552</f>
        <v>134258</v>
      </c>
      <c r="H553" s="441"/>
      <c r="I553" s="441"/>
      <c r="J553" s="441"/>
      <c r="K553" s="441"/>
      <c r="L553" s="451">
        <f>L445+L469+L481+L495+L507+L521+L525+L535+L552</f>
        <v>5806.3500000000013</v>
      </c>
      <c r="M553" s="441"/>
      <c r="N553" s="444">
        <f>N445+N469+N481+N495+N507+N521+N525+N535+N552+N540</f>
        <v>143583.34999999998</v>
      </c>
      <c r="O553" s="444">
        <f>O445+O469+O481+O495+O507+O521+O525+O535+O552+O540</f>
        <v>39</v>
      </c>
      <c r="P553" s="444">
        <f>P445+P469+P481+P495+P507+P521+P525+P535+P552+P540</f>
        <v>0</v>
      </c>
      <c r="Q553" s="444"/>
      <c r="R553" s="444"/>
      <c r="S553" s="444">
        <f>S445+S469+S481+S495+S507+S521+S525+S535+S552+S540</f>
        <v>14358.334999999999</v>
      </c>
      <c r="T553" s="444"/>
      <c r="U553" s="444"/>
      <c r="V553" s="444"/>
      <c r="W553" s="444">
        <f t="shared" ref="W553:AB553" si="224">W445+W469+W481+W495+W507+W521+W525+W535+W552+W540</f>
        <v>117716.65000000001</v>
      </c>
      <c r="X553" s="444">
        <f t="shared" si="224"/>
        <v>275658.33499999996</v>
      </c>
      <c r="Y553" s="444">
        <f t="shared" si="224"/>
        <v>0</v>
      </c>
      <c r="Z553" s="444">
        <f t="shared" si="224"/>
        <v>275658.33499999996</v>
      </c>
      <c r="AA553" s="499">
        <f t="shared" si="224"/>
        <v>275658.33499999996</v>
      </c>
      <c r="AB553" s="499">
        <f t="shared" si="224"/>
        <v>0</v>
      </c>
      <c r="AC553" s="444">
        <f>AC445+AC469+AC481+AC495+AC507+AC521+AC525+AC535+AC552</f>
        <v>254600</v>
      </c>
      <c r="AD553" s="444">
        <f>AD445+AD469+AD481+AD495+AD507+AD521+AD525+AD535+AD552</f>
        <v>114535.65000000001</v>
      </c>
      <c r="AE553" s="436"/>
      <c r="AF553" s="436"/>
      <c r="AG553" s="436"/>
      <c r="AH553" s="436"/>
      <c r="AI553" s="436"/>
      <c r="AJ553" s="436"/>
      <c r="AK553" s="437"/>
      <c r="AL553" s="437"/>
      <c r="AM553" s="437"/>
      <c r="AN553" s="437"/>
      <c r="AO553" s="437"/>
      <c r="AP553" s="437">
        <f t="shared" si="216"/>
        <v>0</v>
      </c>
      <c r="AQ553" s="437">
        <f t="shared" si="216"/>
        <v>0</v>
      </c>
      <c r="AR553" s="436"/>
      <c r="AS553" s="437">
        <f t="shared" si="217"/>
        <v>0</v>
      </c>
    </row>
    <row r="554" spans="1:45" s="456" customFormat="1" ht="24.95" customHeight="1">
      <c r="A554" s="455"/>
      <c r="B554" s="455"/>
      <c r="C554" s="1135" t="s">
        <v>775</v>
      </c>
      <c r="D554" s="1135"/>
      <c r="E554" s="455"/>
      <c r="F554" s="455"/>
      <c r="G554" s="455"/>
      <c r="H554" s="455"/>
      <c r="I554" s="455"/>
      <c r="J554" s="455"/>
      <c r="K554" s="455"/>
      <c r="L554" s="455"/>
      <c r="M554" s="455"/>
      <c r="N554" s="455"/>
      <c r="O554" s="455"/>
      <c r="P554" s="455"/>
      <c r="Q554" s="455"/>
      <c r="R554" s="455"/>
      <c r="S554" s="455"/>
      <c r="T554" s="455"/>
      <c r="U554" s="455"/>
      <c r="V554" s="455"/>
      <c r="W554" s="455"/>
      <c r="X554" s="455"/>
      <c r="Y554" s="455"/>
      <c r="Z554" s="455"/>
      <c r="AA554" s="504"/>
      <c r="AB554" s="504"/>
      <c r="AC554" s="455"/>
      <c r="AD554" s="455"/>
      <c r="AE554" s="436">
        <f t="shared" si="207"/>
        <v>0</v>
      </c>
      <c r="AF554" s="436">
        <f t="shared" si="208"/>
        <v>0</v>
      </c>
      <c r="AG554" s="436">
        <f t="shared" si="209"/>
        <v>0</v>
      </c>
      <c r="AH554" s="436">
        <f t="shared" si="210"/>
        <v>0</v>
      </c>
      <c r="AI554" s="436">
        <f t="shared" si="211"/>
        <v>0</v>
      </c>
      <c r="AJ554" s="436">
        <f t="shared" si="211"/>
        <v>0</v>
      </c>
      <c r="AK554" s="437">
        <f t="shared" si="212"/>
        <v>0</v>
      </c>
      <c r="AL554" s="437">
        <f t="shared" si="213"/>
        <v>0</v>
      </c>
      <c r="AM554" s="437">
        <f t="shared" si="214"/>
        <v>0</v>
      </c>
      <c r="AN554" s="437">
        <f t="shared" si="221"/>
        <v>0</v>
      </c>
      <c r="AO554" s="437">
        <f t="shared" si="222"/>
        <v>0</v>
      </c>
      <c r="AP554" s="437">
        <f t="shared" si="216"/>
        <v>0</v>
      </c>
      <c r="AQ554" s="437">
        <f t="shared" si="216"/>
        <v>0</v>
      </c>
      <c r="AR554" s="436"/>
      <c r="AS554" s="437">
        <f t="shared" si="217"/>
        <v>0</v>
      </c>
    </row>
    <row r="555" spans="1:45" s="191" customFormat="1" ht="24.95" customHeight="1">
      <c r="A555" s="1129"/>
      <c r="B555" s="1129"/>
      <c r="C555" s="1128" t="s">
        <v>776</v>
      </c>
      <c r="D555" s="1126"/>
      <c r="E555" s="1129" t="s">
        <v>777</v>
      </c>
      <c r="F555" s="1126">
        <v>5</v>
      </c>
      <c r="G555" s="1127">
        <v>4056</v>
      </c>
      <c r="H555" s="1127"/>
      <c r="I555" s="1127"/>
      <c r="J555" s="1127"/>
      <c r="K555" s="1127"/>
      <c r="L555" s="1127"/>
      <c r="M555" s="1127"/>
      <c r="N555" s="1127">
        <f>G555+H556</f>
        <v>4056</v>
      </c>
      <c r="O555" s="1127">
        <v>1</v>
      </c>
      <c r="P555" s="1127"/>
      <c r="Q555" s="1127"/>
      <c r="R555" s="1127"/>
      <c r="S555" s="1127"/>
      <c r="T555" s="1129"/>
      <c r="U555" s="1130"/>
      <c r="V555" s="1127"/>
      <c r="W555" s="1127">
        <f>AD555</f>
        <v>2644</v>
      </c>
      <c r="X555" s="1127">
        <f>(N555+V555+Q556+S555)*O555+W555</f>
        <v>6700</v>
      </c>
      <c r="Y555" s="1112"/>
      <c r="Z555" s="1112">
        <f>X555+Y555</f>
        <v>6700</v>
      </c>
      <c r="AA555" s="1109"/>
      <c r="AB555" s="1109"/>
      <c r="AC555" s="1127">
        <f>6700*O555</f>
        <v>6700</v>
      </c>
      <c r="AD555" s="1127">
        <f>AC555-(N555*O555)</f>
        <v>2644</v>
      </c>
      <c r="AE555" s="190">
        <f t="shared" si="207"/>
        <v>4056</v>
      </c>
      <c r="AF555" s="190">
        <f t="shared" si="208"/>
        <v>0</v>
      </c>
      <c r="AG555" s="190">
        <f t="shared" si="209"/>
        <v>4056</v>
      </c>
      <c r="AH555" s="190">
        <f t="shared" si="210"/>
        <v>0</v>
      </c>
      <c r="AI555" s="190">
        <f t="shared" si="211"/>
        <v>0</v>
      </c>
      <c r="AJ555" s="190">
        <f t="shared" si="211"/>
        <v>0</v>
      </c>
      <c r="AK555" s="464">
        <f t="shared" si="212"/>
        <v>0</v>
      </c>
      <c r="AL555" s="464">
        <f t="shared" si="213"/>
        <v>0</v>
      </c>
      <c r="AM555" s="464">
        <f t="shared" si="214"/>
        <v>2644</v>
      </c>
      <c r="AN555" s="464">
        <f t="shared" si="221"/>
        <v>0</v>
      </c>
      <c r="AO555" s="464">
        <f t="shared" si="222"/>
        <v>0</v>
      </c>
      <c r="AP555" s="464">
        <f t="shared" si="216"/>
        <v>4056</v>
      </c>
      <c r="AQ555" s="464">
        <f t="shared" si="216"/>
        <v>0</v>
      </c>
      <c r="AR555" s="190"/>
      <c r="AS555" s="464">
        <f t="shared" si="217"/>
        <v>4056</v>
      </c>
    </row>
    <row r="556" spans="1:45" s="191" customFormat="1" ht="24.95" customHeight="1">
      <c r="A556" s="1129"/>
      <c r="B556" s="1129"/>
      <c r="C556" s="1128"/>
      <c r="D556" s="1126"/>
      <c r="E556" s="1129"/>
      <c r="F556" s="1126"/>
      <c r="G556" s="1127"/>
      <c r="H556" s="1127"/>
      <c r="I556" s="1127"/>
      <c r="J556" s="1127"/>
      <c r="K556" s="1127"/>
      <c r="L556" s="1127"/>
      <c r="M556" s="1127"/>
      <c r="N556" s="1127"/>
      <c r="O556" s="1127"/>
      <c r="P556" s="1127"/>
      <c r="Q556" s="1127"/>
      <c r="R556" s="1127"/>
      <c r="S556" s="1127"/>
      <c r="T556" s="1129"/>
      <c r="U556" s="1130"/>
      <c r="V556" s="1127"/>
      <c r="W556" s="1127"/>
      <c r="X556" s="1127"/>
      <c r="Y556" s="1112"/>
      <c r="Z556" s="1112"/>
      <c r="AA556" s="1109"/>
      <c r="AB556" s="1109"/>
      <c r="AC556" s="1127"/>
      <c r="AD556" s="1127"/>
      <c r="AE556" s="190">
        <f t="shared" si="207"/>
        <v>0</v>
      </c>
      <c r="AF556" s="190">
        <f t="shared" si="208"/>
        <v>0</v>
      </c>
      <c r="AG556" s="190">
        <f t="shared" si="209"/>
        <v>0</v>
      </c>
      <c r="AH556" s="190">
        <f t="shared" si="210"/>
        <v>0</v>
      </c>
      <c r="AI556" s="190">
        <f t="shared" si="211"/>
        <v>0</v>
      </c>
      <c r="AJ556" s="190">
        <f t="shared" si="211"/>
        <v>0</v>
      </c>
      <c r="AK556" s="464">
        <f t="shared" si="212"/>
        <v>0</v>
      </c>
      <c r="AL556" s="464">
        <f t="shared" si="213"/>
        <v>0</v>
      </c>
      <c r="AM556" s="464">
        <f t="shared" si="214"/>
        <v>0</v>
      </c>
      <c r="AN556" s="464">
        <f t="shared" si="221"/>
        <v>0</v>
      </c>
      <c r="AO556" s="464">
        <f t="shared" si="222"/>
        <v>0</v>
      </c>
      <c r="AP556" s="464">
        <f t="shared" si="216"/>
        <v>0</v>
      </c>
      <c r="AQ556" s="464">
        <f t="shared" si="216"/>
        <v>0</v>
      </c>
      <c r="AR556" s="190"/>
      <c r="AS556" s="464">
        <f t="shared" si="217"/>
        <v>0</v>
      </c>
    </row>
    <row r="557" spans="1:45" s="446" customFormat="1" ht="24.95" customHeight="1">
      <c r="A557" s="441"/>
      <c r="B557" s="441"/>
      <c r="C557" s="442" t="s">
        <v>318</v>
      </c>
      <c r="D557" s="443"/>
      <c r="E557" s="441"/>
      <c r="F557" s="441"/>
      <c r="G557" s="444">
        <f>SUM(G555:G556)</f>
        <v>4056</v>
      </c>
      <c r="H557" s="441"/>
      <c r="I557" s="441"/>
      <c r="J557" s="441"/>
      <c r="K557" s="441"/>
      <c r="L557" s="441"/>
      <c r="M557" s="441"/>
      <c r="N557" s="444">
        <f>SUM(N555:N556)</f>
        <v>4056</v>
      </c>
      <c r="O557" s="444">
        <f>SUM(O555:O556)</f>
        <v>1</v>
      </c>
      <c r="P557" s="444">
        <f>SUM(P555:P556)</f>
        <v>0</v>
      </c>
      <c r="Q557" s="444"/>
      <c r="R557" s="444"/>
      <c r="S557" s="444">
        <f>SUM(S555:S556)</f>
        <v>0</v>
      </c>
      <c r="T557" s="444"/>
      <c r="U557" s="444"/>
      <c r="V557" s="444"/>
      <c r="W557" s="444">
        <f t="shared" ref="W557:AD557" si="225">SUM(W555:W556)</f>
        <v>2644</v>
      </c>
      <c r="X557" s="444">
        <f t="shared" si="225"/>
        <v>6700</v>
      </c>
      <c r="Y557" s="444">
        <f t="shared" si="225"/>
        <v>0</v>
      </c>
      <c r="Z557" s="444">
        <f t="shared" si="225"/>
        <v>6700</v>
      </c>
      <c r="AA557" s="499">
        <f t="shared" si="225"/>
        <v>0</v>
      </c>
      <c r="AB557" s="499">
        <f t="shared" si="225"/>
        <v>0</v>
      </c>
      <c r="AC557" s="444">
        <f t="shared" si="225"/>
        <v>6700</v>
      </c>
      <c r="AD557" s="444">
        <f t="shared" si="225"/>
        <v>2644</v>
      </c>
      <c r="AE557" s="436"/>
      <c r="AF557" s="436"/>
      <c r="AG557" s="436"/>
      <c r="AH557" s="436"/>
      <c r="AI557" s="436"/>
      <c r="AJ557" s="436"/>
      <c r="AK557" s="437"/>
      <c r="AL557" s="437"/>
      <c r="AM557" s="437"/>
      <c r="AN557" s="437"/>
      <c r="AO557" s="437"/>
      <c r="AP557" s="437">
        <f t="shared" si="216"/>
        <v>0</v>
      </c>
      <c r="AQ557" s="437">
        <f t="shared" si="216"/>
        <v>0</v>
      </c>
      <c r="AR557" s="436"/>
      <c r="AS557" s="437">
        <f t="shared" si="217"/>
        <v>0</v>
      </c>
    </row>
    <row r="558" spans="1:45" s="456" customFormat="1" ht="24.95" customHeight="1">
      <c r="A558" s="455"/>
      <c r="B558" s="455"/>
      <c r="C558" s="1135" t="s">
        <v>778</v>
      </c>
      <c r="D558" s="1135"/>
      <c r="E558" s="455"/>
      <c r="F558" s="455"/>
      <c r="G558" s="455"/>
      <c r="H558" s="455"/>
      <c r="I558" s="455"/>
      <c r="J558" s="455"/>
      <c r="K558" s="455"/>
      <c r="L558" s="455"/>
      <c r="M558" s="455"/>
      <c r="N558" s="455"/>
      <c r="O558" s="455"/>
      <c r="P558" s="455"/>
      <c r="Q558" s="455"/>
      <c r="R558" s="455"/>
      <c r="S558" s="455"/>
      <c r="T558" s="455"/>
      <c r="U558" s="455"/>
      <c r="V558" s="455"/>
      <c r="W558" s="455"/>
      <c r="X558" s="455"/>
      <c r="Y558" s="455"/>
      <c r="Z558" s="455"/>
      <c r="AA558" s="504"/>
      <c r="AB558" s="504"/>
      <c r="AC558" s="455"/>
      <c r="AD558" s="455"/>
      <c r="AE558" s="436">
        <f t="shared" si="207"/>
        <v>0</v>
      </c>
      <c r="AF558" s="436">
        <f t="shared" si="208"/>
        <v>0</v>
      </c>
      <c r="AG558" s="436">
        <f t="shared" si="209"/>
        <v>0</v>
      </c>
      <c r="AH558" s="436">
        <f t="shared" si="210"/>
        <v>0</v>
      </c>
      <c r="AI558" s="436">
        <f t="shared" si="211"/>
        <v>0</v>
      </c>
      <c r="AJ558" s="436">
        <f t="shared" si="211"/>
        <v>0</v>
      </c>
      <c r="AK558" s="437">
        <f t="shared" si="212"/>
        <v>0</v>
      </c>
      <c r="AL558" s="437">
        <f t="shared" si="213"/>
        <v>0</v>
      </c>
      <c r="AM558" s="437">
        <f t="shared" si="214"/>
        <v>0</v>
      </c>
      <c r="AN558" s="437">
        <f t="shared" si="221"/>
        <v>0</v>
      </c>
      <c r="AO558" s="437">
        <f t="shared" si="222"/>
        <v>0</v>
      </c>
      <c r="AP558" s="437">
        <f t="shared" si="216"/>
        <v>0</v>
      </c>
      <c r="AQ558" s="437">
        <f t="shared" si="216"/>
        <v>0</v>
      </c>
      <c r="AR558" s="436"/>
      <c r="AS558" s="437">
        <f t="shared" si="217"/>
        <v>0</v>
      </c>
    </row>
    <row r="559" spans="1:45" s="456" customFormat="1" ht="24.95" customHeight="1">
      <c r="A559" s="455"/>
      <c r="B559" s="455"/>
      <c r="C559" s="1135" t="s">
        <v>779</v>
      </c>
      <c r="D559" s="1135"/>
      <c r="E559" s="455"/>
      <c r="F559" s="455"/>
      <c r="G559" s="455"/>
      <c r="H559" s="455"/>
      <c r="I559" s="455"/>
      <c r="J559" s="455"/>
      <c r="K559" s="455"/>
      <c r="L559" s="455"/>
      <c r="M559" s="455"/>
      <c r="N559" s="455"/>
      <c r="O559" s="455"/>
      <c r="P559" s="455"/>
      <c r="Q559" s="455"/>
      <c r="R559" s="455"/>
      <c r="S559" s="455"/>
      <c r="T559" s="455"/>
      <c r="U559" s="455"/>
      <c r="V559" s="455"/>
      <c r="W559" s="455"/>
      <c r="X559" s="455"/>
      <c r="Y559" s="455"/>
      <c r="Z559" s="455"/>
      <c r="AA559" s="504"/>
      <c r="AB559" s="504"/>
      <c r="AC559" s="455"/>
      <c r="AD559" s="455"/>
      <c r="AE559" s="436">
        <f t="shared" si="207"/>
        <v>0</v>
      </c>
      <c r="AF559" s="436">
        <f t="shared" si="208"/>
        <v>0</v>
      </c>
      <c r="AG559" s="436">
        <f t="shared" si="209"/>
        <v>0</v>
      </c>
      <c r="AH559" s="436">
        <f t="shared" si="210"/>
        <v>0</v>
      </c>
      <c r="AI559" s="436">
        <f t="shared" si="211"/>
        <v>0</v>
      </c>
      <c r="AJ559" s="436">
        <f t="shared" si="211"/>
        <v>0</v>
      </c>
      <c r="AK559" s="437">
        <f t="shared" si="212"/>
        <v>0</v>
      </c>
      <c r="AL559" s="437">
        <f t="shared" si="213"/>
        <v>0</v>
      </c>
      <c r="AM559" s="437">
        <f t="shared" si="214"/>
        <v>0</v>
      </c>
      <c r="AN559" s="437">
        <f t="shared" si="221"/>
        <v>0</v>
      </c>
      <c r="AO559" s="437">
        <f t="shared" si="222"/>
        <v>0</v>
      </c>
      <c r="AP559" s="437">
        <f t="shared" si="216"/>
        <v>0</v>
      </c>
      <c r="AQ559" s="437">
        <f t="shared" si="216"/>
        <v>0</v>
      </c>
      <c r="AR559" s="436"/>
      <c r="AS559" s="437">
        <f t="shared" si="217"/>
        <v>0</v>
      </c>
    </row>
    <row r="560" spans="1:45" s="191" customFormat="1" ht="24.95" customHeight="1">
      <c r="A560" s="1129"/>
      <c r="B560" s="1129"/>
      <c r="C560" s="1128" t="s">
        <v>780</v>
      </c>
      <c r="D560" s="1129" t="s">
        <v>314</v>
      </c>
      <c r="E560" s="1129" t="s">
        <v>781</v>
      </c>
      <c r="F560" s="1126">
        <v>15</v>
      </c>
      <c r="G560" s="1127">
        <f>G15*90%</f>
        <v>11365.2</v>
      </c>
      <c r="H560" s="1127"/>
      <c r="I560" s="1126"/>
      <c r="J560" s="1126"/>
      <c r="K560" s="302">
        <v>0.15</v>
      </c>
      <c r="L560" s="1126"/>
      <c r="M560" s="1126"/>
      <c r="N560" s="1127">
        <f>G560+H561+K561</f>
        <v>13069.980000000001</v>
      </c>
      <c r="O560" s="1127">
        <v>1</v>
      </c>
      <c r="P560" s="1126"/>
      <c r="Q560" s="1126"/>
      <c r="R560" s="1126"/>
      <c r="S560" s="1126"/>
      <c r="T560" s="1129"/>
      <c r="U560" s="1130"/>
      <c r="V560" s="1127"/>
      <c r="W560" s="1127"/>
      <c r="X560" s="1127">
        <f>(N560+V560)*O560</f>
        <v>13069.980000000001</v>
      </c>
      <c r="Y560" s="1112"/>
      <c r="Z560" s="1112">
        <f>X560+Y560</f>
        <v>13069.980000000001</v>
      </c>
      <c r="AA560" s="1109">
        <f>Z560</f>
        <v>13069.980000000001</v>
      </c>
      <c r="AB560" s="1109">
        <f>AA560-X560</f>
        <v>0</v>
      </c>
      <c r="AC560" s="1127">
        <f>6700*O560</f>
        <v>6700</v>
      </c>
      <c r="AD560" s="1127"/>
      <c r="AE560" s="465">
        <f t="shared" si="207"/>
        <v>11365.2</v>
      </c>
      <c r="AF560" s="465">
        <f t="shared" si="208"/>
        <v>0</v>
      </c>
      <c r="AG560" s="465">
        <f t="shared" si="209"/>
        <v>13069.980000000001</v>
      </c>
      <c r="AH560" s="465">
        <f t="shared" si="210"/>
        <v>0</v>
      </c>
      <c r="AI560" s="465">
        <f t="shared" si="211"/>
        <v>1704.7800000000007</v>
      </c>
      <c r="AJ560" s="465">
        <f t="shared" si="211"/>
        <v>0</v>
      </c>
      <c r="AK560" s="465">
        <f t="shared" si="212"/>
        <v>0</v>
      </c>
      <c r="AL560" s="465">
        <f t="shared" si="213"/>
        <v>0</v>
      </c>
      <c r="AM560" s="464">
        <f t="shared" si="214"/>
        <v>0</v>
      </c>
      <c r="AN560" s="464">
        <f t="shared" si="221"/>
        <v>0</v>
      </c>
      <c r="AO560" s="464">
        <f t="shared" si="222"/>
        <v>0</v>
      </c>
      <c r="AP560" s="464">
        <f t="shared" si="216"/>
        <v>13069.980000000001</v>
      </c>
      <c r="AQ560" s="464">
        <f t="shared" si="216"/>
        <v>0</v>
      </c>
      <c r="AR560" s="465"/>
      <c r="AS560" s="464">
        <f t="shared" si="217"/>
        <v>13069.980000000001</v>
      </c>
    </row>
    <row r="561" spans="1:45" s="191" customFormat="1" ht="24.95" customHeight="1">
      <c r="A561" s="1129"/>
      <c r="B561" s="1129"/>
      <c r="C561" s="1128"/>
      <c r="D561" s="1129"/>
      <c r="E561" s="1129"/>
      <c r="F561" s="1126"/>
      <c r="G561" s="1127"/>
      <c r="H561" s="1127"/>
      <c r="I561" s="1126"/>
      <c r="J561" s="1126"/>
      <c r="K561" s="466">
        <f>G560*K560</f>
        <v>1704.78</v>
      </c>
      <c r="L561" s="1126"/>
      <c r="M561" s="1126"/>
      <c r="N561" s="1127"/>
      <c r="O561" s="1127"/>
      <c r="P561" s="1126"/>
      <c r="Q561" s="1126"/>
      <c r="R561" s="1126"/>
      <c r="S561" s="1126"/>
      <c r="T561" s="1129"/>
      <c r="U561" s="1130"/>
      <c r="V561" s="1127"/>
      <c r="W561" s="1127"/>
      <c r="X561" s="1127"/>
      <c r="Y561" s="1112"/>
      <c r="Z561" s="1112"/>
      <c r="AA561" s="1109"/>
      <c r="AB561" s="1109"/>
      <c r="AC561" s="1127"/>
      <c r="AD561" s="1127"/>
      <c r="AE561" s="465">
        <f t="shared" si="207"/>
        <v>0</v>
      </c>
      <c r="AF561" s="465">
        <f t="shared" si="208"/>
        <v>0</v>
      </c>
      <c r="AG561" s="465">
        <f t="shared" si="209"/>
        <v>0</v>
      </c>
      <c r="AH561" s="465">
        <f t="shared" si="210"/>
        <v>0</v>
      </c>
      <c r="AI561" s="465">
        <f t="shared" si="211"/>
        <v>0</v>
      </c>
      <c r="AJ561" s="465">
        <f t="shared" si="211"/>
        <v>0</v>
      </c>
      <c r="AK561" s="465">
        <f t="shared" si="212"/>
        <v>0</v>
      </c>
      <c r="AL561" s="465">
        <f t="shared" si="213"/>
        <v>0</v>
      </c>
      <c r="AM561" s="464">
        <f t="shared" si="214"/>
        <v>0</v>
      </c>
      <c r="AN561" s="464">
        <f t="shared" si="221"/>
        <v>0</v>
      </c>
      <c r="AO561" s="464">
        <f t="shared" si="222"/>
        <v>0</v>
      </c>
      <c r="AP561" s="464">
        <f t="shared" si="216"/>
        <v>0</v>
      </c>
      <c r="AQ561" s="464">
        <f t="shared" si="216"/>
        <v>0</v>
      </c>
      <c r="AR561" s="465"/>
      <c r="AS561" s="464">
        <f t="shared" si="217"/>
        <v>0</v>
      </c>
    </row>
    <row r="562" spans="1:45" s="191" customFormat="1" ht="24.95" customHeight="1">
      <c r="A562" s="1129"/>
      <c r="B562" s="1129"/>
      <c r="C562" s="1128" t="s">
        <v>782</v>
      </c>
      <c r="D562" s="1129" t="s">
        <v>314</v>
      </c>
      <c r="E562" s="1129" t="s">
        <v>783</v>
      </c>
      <c r="F562" s="1126">
        <v>15</v>
      </c>
      <c r="G562" s="1127">
        <f>G560*90%</f>
        <v>10228.68</v>
      </c>
      <c r="H562" s="1127"/>
      <c r="I562" s="1127"/>
      <c r="J562" s="1127"/>
      <c r="K562" s="302">
        <v>0.15</v>
      </c>
      <c r="L562" s="1127"/>
      <c r="M562" s="1127"/>
      <c r="N562" s="1127">
        <f>G562+H563+K563</f>
        <v>11762.982</v>
      </c>
      <c r="O562" s="1127">
        <v>1</v>
      </c>
      <c r="P562" s="1126"/>
      <c r="Q562" s="1126"/>
      <c r="R562" s="1126"/>
      <c r="S562" s="1126"/>
      <c r="T562" s="1129"/>
      <c r="U562" s="1130"/>
      <c r="V562" s="1127"/>
      <c r="W562" s="1127"/>
      <c r="X562" s="1127">
        <f>(N562+V562)*O562</f>
        <v>11762.982</v>
      </c>
      <c r="Y562" s="1112"/>
      <c r="Z562" s="1112">
        <f>X562+Y562</f>
        <v>11762.982</v>
      </c>
      <c r="AA562" s="1109">
        <f>Z562</f>
        <v>11762.982</v>
      </c>
      <c r="AB562" s="1109">
        <f>AA562-X562</f>
        <v>0</v>
      </c>
      <c r="AC562" s="1127">
        <f>6700*O562</f>
        <v>6700</v>
      </c>
      <c r="AD562" s="1127"/>
      <c r="AE562" s="465">
        <f t="shared" si="207"/>
        <v>10228.68</v>
      </c>
      <c r="AF562" s="465">
        <f t="shared" si="208"/>
        <v>0</v>
      </c>
      <c r="AG562" s="465">
        <f t="shared" si="209"/>
        <v>11762.982</v>
      </c>
      <c r="AH562" s="465">
        <f t="shared" si="210"/>
        <v>0</v>
      </c>
      <c r="AI562" s="465">
        <f t="shared" si="211"/>
        <v>1534.3019999999997</v>
      </c>
      <c r="AJ562" s="465">
        <f t="shared" si="211"/>
        <v>0</v>
      </c>
      <c r="AK562" s="465">
        <f t="shared" si="212"/>
        <v>0</v>
      </c>
      <c r="AL562" s="465">
        <f t="shared" si="213"/>
        <v>0</v>
      </c>
      <c r="AM562" s="464">
        <f t="shared" si="214"/>
        <v>0</v>
      </c>
      <c r="AN562" s="464">
        <f t="shared" si="221"/>
        <v>0</v>
      </c>
      <c r="AO562" s="464">
        <f t="shared" si="222"/>
        <v>0</v>
      </c>
      <c r="AP562" s="464">
        <f t="shared" si="216"/>
        <v>11762.982</v>
      </c>
      <c r="AQ562" s="464">
        <f t="shared" si="216"/>
        <v>0</v>
      </c>
      <c r="AR562" s="465"/>
      <c r="AS562" s="464">
        <f t="shared" si="217"/>
        <v>11762.982</v>
      </c>
    </row>
    <row r="563" spans="1:45" s="191" customFormat="1" ht="24.95" customHeight="1">
      <c r="A563" s="1129"/>
      <c r="B563" s="1129"/>
      <c r="C563" s="1128"/>
      <c r="D563" s="1129"/>
      <c r="E563" s="1129"/>
      <c r="F563" s="1126"/>
      <c r="G563" s="1127"/>
      <c r="H563" s="1127"/>
      <c r="I563" s="1127"/>
      <c r="J563" s="1127"/>
      <c r="K563" s="466">
        <f>G562*K562</f>
        <v>1534.3019999999999</v>
      </c>
      <c r="L563" s="1127"/>
      <c r="M563" s="1127"/>
      <c r="N563" s="1127"/>
      <c r="O563" s="1127"/>
      <c r="P563" s="1126"/>
      <c r="Q563" s="1126"/>
      <c r="R563" s="1126"/>
      <c r="S563" s="1126"/>
      <c r="T563" s="1129"/>
      <c r="U563" s="1130"/>
      <c r="V563" s="1127"/>
      <c r="W563" s="1127"/>
      <c r="X563" s="1127"/>
      <c r="Y563" s="1112"/>
      <c r="Z563" s="1112"/>
      <c r="AA563" s="1109"/>
      <c r="AB563" s="1109"/>
      <c r="AC563" s="1127"/>
      <c r="AD563" s="1127"/>
      <c r="AE563" s="190">
        <f t="shared" si="207"/>
        <v>0</v>
      </c>
      <c r="AF563" s="190">
        <f t="shared" si="208"/>
        <v>0</v>
      </c>
      <c r="AG563" s="190">
        <f t="shared" si="209"/>
        <v>0</v>
      </c>
      <c r="AH563" s="190">
        <f t="shared" si="210"/>
        <v>0</v>
      </c>
      <c r="AI563" s="190">
        <f t="shared" si="211"/>
        <v>0</v>
      </c>
      <c r="AJ563" s="190">
        <f t="shared" si="211"/>
        <v>0</v>
      </c>
      <c r="AK563" s="464">
        <f t="shared" si="212"/>
        <v>0</v>
      </c>
      <c r="AL563" s="464">
        <f t="shared" si="213"/>
        <v>0</v>
      </c>
      <c r="AM563" s="464">
        <f t="shared" si="214"/>
        <v>0</v>
      </c>
      <c r="AN563" s="464">
        <f t="shared" si="221"/>
        <v>0</v>
      </c>
      <c r="AO563" s="464">
        <f t="shared" si="222"/>
        <v>0</v>
      </c>
      <c r="AP563" s="464">
        <f t="shared" si="216"/>
        <v>0</v>
      </c>
      <c r="AQ563" s="464">
        <f t="shared" si="216"/>
        <v>0</v>
      </c>
      <c r="AR563" s="190"/>
      <c r="AS563" s="464">
        <f t="shared" si="217"/>
        <v>0</v>
      </c>
    </row>
    <row r="564" spans="1:45" s="191" customFormat="1" ht="24.95" customHeight="1">
      <c r="A564" s="1129"/>
      <c r="B564" s="1129"/>
      <c r="C564" s="1128" t="s">
        <v>784</v>
      </c>
      <c r="D564" s="1129" t="s">
        <v>785</v>
      </c>
      <c r="E564" s="1129" t="s">
        <v>786</v>
      </c>
      <c r="F564" s="1129">
        <v>8</v>
      </c>
      <c r="G564" s="1127">
        <v>4890</v>
      </c>
      <c r="H564" s="1127"/>
      <c r="I564" s="1127"/>
      <c r="J564" s="1127"/>
      <c r="K564" s="1127"/>
      <c r="L564" s="1127"/>
      <c r="M564" s="1127"/>
      <c r="N564" s="1127">
        <f>G564+H565</f>
        <v>4890</v>
      </c>
      <c r="O564" s="1127">
        <v>1</v>
      </c>
      <c r="P564" s="1127"/>
      <c r="Q564" s="1126"/>
      <c r="R564" s="1126"/>
      <c r="S564" s="1126"/>
      <c r="T564" s="1129"/>
      <c r="U564" s="1130"/>
      <c r="V564" s="1127"/>
      <c r="W564" s="1127">
        <f>AD564</f>
        <v>1810</v>
      </c>
      <c r="X564" s="1127">
        <f>(N564+V564+Q565+S564)*O564+W564</f>
        <v>6700</v>
      </c>
      <c r="Y564" s="1112"/>
      <c r="Z564" s="1112">
        <f>X564+Y564</f>
        <v>6700</v>
      </c>
      <c r="AA564" s="1109">
        <f>Z564</f>
        <v>6700</v>
      </c>
      <c r="AB564" s="1109">
        <f>AA564-X564</f>
        <v>0</v>
      </c>
      <c r="AC564" s="1127">
        <f>6700*O564</f>
        <v>6700</v>
      </c>
      <c r="AD564" s="1127">
        <f>AC564-(N564*O564)</f>
        <v>1810</v>
      </c>
      <c r="AE564" s="190">
        <f>G564*O564</f>
        <v>4890</v>
      </c>
      <c r="AF564" s="190">
        <f>G564*P564</f>
        <v>0</v>
      </c>
      <c r="AG564" s="190">
        <f>N564*O564</f>
        <v>4890</v>
      </c>
      <c r="AH564" s="190">
        <f>N564*P564</f>
        <v>0</v>
      </c>
      <c r="AI564" s="190">
        <f t="shared" ref="AI564:AJ579" si="226">AG564-AE564</f>
        <v>0</v>
      </c>
      <c r="AJ564" s="190">
        <f t="shared" si="226"/>
        <v>0</v>
      </c>
      <c r="AK564" s="464">
        <f>V564*O564</f>
        <v>0</v>
      </c>
      <c r="AL564" s="464">
        <f>V564*P564</f>
        <v>0</v>
      </c>
      <c r="AM564" s="464">
        <f>W564</f>
        <v>1810</v>
      </c>
      <c r="AN564" s="464">
        <f>S564*O564</f>
        <v>0</v>
      </c>
      <c r="AO564" s="464">
        <f>S564*P564</f>
        <v>0</v>
      </c>
      <c r="AP564" s="464">
        <f t="shared" si="216"/>
        <v>4890</v>
      </c>
      <c r="AQ564" s="464">
        <f t="shared" si="216"/>
        <v>0</v>
      </c>
      <c r="AR564" s="190"/>
      <c r="AS564" s="464">
        <f>AP564+AQ564-AR564</f>
        <v>4890</v>
      </c>
    </row>
    <row r="565" spans="1:45" s="191" customFormat="1" ht="24.95" customHeight="1">
      <c r="A565" s="1129"/>
      <c r="B565" s="1129"/>
      <c r="C565" s="1128"/>
      <c r="D565" s="1129"/>
      <c r="E565" s="1129"/>
      <c r="F565" s="1129"/>
      <c r="G565" s="1127"/>
      <c r="H565" s="1127"/>
      <c r="I565" s="1127"/>
      <c r="J565" s="1127"/>
      <c r="K565" s="1127"/>
      <c r="L565" s="1127"/>
      <c r="M565" s="1127"/>
      <c r="N565" s="1127"/>
      <c r="O565" s="1127"/>
      <c r="P565" s="1126"/>
      <c r="Q565" s="1126"/>
      <c r="R565" s="1126"/>
      <c r="S565" s="1126"/>
      <c r="T565" s="1129"/>
      <c r="U565" s="1130"/>
      <c r="V565" s="1127"/>
      <c r="W565" s="1127"/>
      <c r="X565" s="1127"/>
      <c r="Y565" s="1112"/>
      <c r="Z565" s="1112"/>
      <c r="AA565" s="1109"/>
      <c r="AB565" s="1109"/>
      <c r="AC565" s="1127"/>
      <c r="AD565" s="1127"/>
      <c r="AE565" s="190">
        <f>G565*O565</f>
        <v>0</v>
      </c>
      <c r="AF565" s="190">
        <f>G565*P565</f>
        <v>0</v>
      </c>
      <c r="AG565" s="190">
        <f>N565*O565</f>
        <v>0</v>
      </c>
      <c r="AH565" s="190">
        <f>N565*P565</f>
        <v>0</v>
      </c>
      <c r="AI565" s="190">
        <f t="shared" si="226"/>
        <v>0</v>
      </c>
      <c r="AJ565" s="190">
        <f t="shared" si="226"/>
        <v>0</v>
      </c>
      <c r="AK565" s="464">
        <f>V565*O565</f>
        <v>0</v>
      </c>
      <c r="AL565" s="464">
        <f>V565*P565</f>
        <v>0</v>
      </c>
      <c r="AM565" s="464">
        <f>W565</f>
        <v>0</v>
      </c>
      <c r="AN565" s="464">
        <f>S565*O565</f>
        <v>0</v>
      </c>
      <c r="AO565" s="464">
        <f>S565*P565</f>
        <v>0</v>
      </c>
      <c r="AP565" s="464">
        <f t="shared" si="216"/>
        <v>0</v>
      </c>
      <c r="AQ565" s="464">
        <f t="shared" si="216"/>
        <v>0</v>
      </c>
      <c r="AR565" s="190"/>
      <c r="AS565" s="464">
        <f>AP565+AQ565-AR565</f>
        <v>0</v>
      </c>
    </row>
    <row r="566" spans="1:45" s="191" customFormat="1" ht="24.95" customHeight="1">
      <c r="A566" s="1129"/>
      <c r="B566" s="1129"/>
      <c r="C566" s="1128" t="s">
        <v>784</v>
      </c>
      <c r="D566" s="1129"/>
      <c r="E566" s="1129" t="s">
        <v>787</v>
      </c>
      <c r="F566" s="1129">
        <v>7</v>
      </c>
      <c r="G566" s="1127">
        <v>4592</v>
      </c>
      <c r="H566" s="1127"/>
      <c r="I566" s="1127"/>
      <c r="J566" s="1127"/>
      <c r="K566" s="1127"/>
      <c r="L566" s="1127"/>
      <c r="M566" s="1127"/>
      <c r="N566" s="1127">
        <f>G566+H567</f>
        <v>4592</v>
      </c>
      <c r="O566" s="1127">
        <v>1</v>
      </c>
      <c r="P566" s="1127"/>
      <c r="Q566" s="1126"/>
      <c r="R566" s="1126"/>
      <c r="S566" s="1126"/>
      <c r="T566" s="1129"/>
      <c r="U566" s="1130"/>
      <c r="V566" s="1127"/>
      <c r="W566" s="1127">
        <f>AD566</f>
        <v>2108</v>
      </c>
      <c r="X566" s="1127">
        <f>(N566+V566+Q567+S566)*O566+W566</f>
        <v>6700</v>
      </c>
      <c r="Y566" s="1112"/>
      <c r="Z566" s="1112">
        <f>X566+Y566</f>
        <v>6700</v>
      </c>
      <c r="AA566" s="1109">
        <f>Z566</f>
        <v>6700</v>
      </c>
      <c r="AB566" s="1109">
        <f>AA566-X566</f>
        <v>0</v>
      </c>
      <c r="AC566" s="1127">
        <f>6700*O566</f>
        <v>6700</v>
      </c>
      <c r="AD566" s="1127">
        <f>AC566-(N566*O566)</f>
        <v>2108</v>
      </c>
      <c r="AE566" s="190">
        <f>G566*O566</f>
        <v>4592</v>
      </c>
      <c r="AF566" s="190">
        <f>G566*P566</f>
        <v>0</v>
      </c>
      <c r="AG566" s="190">
        <f>N566*O566</f>
        <v>4592</v>
      </c>
      <c r="AH566" s="190">
        <f>N566*P566</f>
        <v>0</v>
      </c>
      <c r="AI566" s="190">
        <f t="shared" si="226"/>
        <v>0</v>
      </c>
      <c r="AJ566" s="190">
        <f t="shared" si="226"/>
        <v>0</v>
      </c>
      <c r="AK566" s="464">
        <f>V566*O566</f>
        <v>0</v>
      </c>
      <c r="AL566" s="464">
        <f>V566*P566</f>
        <v>0</v>
      </c>
      <c r="AM566" s="464">
        <f>W566</f>
        <v>2108</v>
      </c>
      <c r="AN566" s="464">
        <f>S566*O566</f>
        <v>0</v>
      </c>
      <c r="AO566" s="464">
        <f>S566*P566</f>
        <v>0</v>
      </c>
      <c r="AP566" s="464">
        <f t="shared" si="216"/>
        <v>4592</v>
      </c>
      <c r="AQ566" s="464">
        <f t="shared" si="216"/>
        <v>0</v>
      </c>
      <c r="AR566" s="190"/>
      <c r="AS566" s="464">
        <f>AP566+AQ566-AR566</f>
        <v>4592</v>
      </c>
    </row>
    <row r="567" spans="1:45" s="191" customFormat="1" ht="24.95" customHeight="1">
      <c r="A567" s="1129"/>
      <c r="B567" s="1129"/>
      <c r="C567" s="1128"/>
      <c r="D567" s="1129"/>
      <c r="E567" s="1129"/>
      <c r="F567" s="1129"/>
      <c r="G567" s="1127"/>
      <c r="H567" s="1127"/>
      <c r="I567" s="1127"/>
      <c r="J567" s="1127"/>
      <c r="K567" s="1127"/>
      <c r="L567" s="1127"/>
      <c r="M567" s="1127"/>
      <c r="N567" s="1127"/>
      <c r="O567" s="1127"/>
      <c r="P567" s="1126"/>
      <c r="Q567" s="1126"/>
      <c r="R567" s="1126"/>
      <c r="S567" s="1126"/>
      <c r="T567" s="1129"/>
      <c r="U567" s="1130"/>
      <c r="V567" s="1127"/>
      <c r="W567" s="1127"/>
      <c r="X567" s="1127"/>
      <c r="Y567" s="1112"/>
      <c r="Z567" s="1112"/>
      <c r="AA567" s="1109"/>
      <c r="AB567" s="1109"/>
      <c r="AC567" s="1127"/>
      <c r="AD567" s="1127"/>
      <c r="AE567" s="190">
        <f>G567*O567</f>
        <v>0</v>
      </c>
      <c r="AF567" s="190">
        <f>G567*P567</f>
        <v>0</v>
      </c>
      <c r="AG567" s="190">
        <f>N567*O567</f>
        <v>0</v>
      </c>
      <c r="AH567" s="190">
        <f>N567*P567</f>
        <v>0</v>
      </c>
      <c r="AI567" s="190">
        <f t="shared" si="226"/>
        <v>0</v>
      </c>
      <c r="AJ567" s="190">
        <f t="shared" si="226"/>
        <v>0</v>
      </c>
      <c r="AK567" s="464">
        <f>V567*O567</f>
        <v>0</v>
      </c>
      <c r="AL567" s="464">
        <f>V567*P567</f>
        <v>0</v>
      </c>
      <c r="AM567" s="464">
        <f>W567</f>
        <v>0</v>
      </c>
      <c r="AN567" s="464">
        <f>S567*O567</f>
        <v>0</v>
      </c>
      <c r="AO567" s="464">
        <f>S567*P567</f>
        <v>0</v>
      </c>
      <c r="AP567" s="464">
        <f t="shared" si="216"/>
        <v>0</v>
      </c>
      <c r="AQ567" s="464">
        <f t="shared" si="216"/>
        <v>0</v>
      </c>
      <c r="AR567" s="190"/>
      <c r="AS567" s="464">
        <f>AP567+AQ567-AR567</f>
        <v>0</v>
      </c>
    </row>
    <row r="568" spans="1:45" s="191" customFormat="1" ht="24.95" customHeight="1">
      <c r="A568" s="1129"/>
      <c r="B568" s="1129"/>
      <c r="C568" s="1128" t="s">
        <v>789</v>
      </c>
      <c r="D568" s="1129" t="s">
        <v>788</v>
      </c>
      <c r="E568" s="1129" t="s">
        <v>790</v>
      </c>
      <c r="F568" s="1129">
        <v>10</v>
      </c>
      <c r="G568" s="1127">
        <v>5427</v>
      </c>
      <c r="H568" s="1127"/>
      <c r="I568" s="1127"/>
      <c r="J568" s="1127"/>
      <c r="K568" s="1127"/>
      <c r="L568" s="1127"/>
      <c r="M568" s="1127"/>
      <c r="N568" s="1127">
        <f>G568+H569</f>
        <v>5427</v>
      </c>
      <c r="O568" s="1127"/>
      <c r="P568" s="1126">
        <v>0.5</v>
      </c>
      <c r="Q568" s="1126"/>
      <c r="R568" s="1126"/>
      <c r="S568" s="1126"/>
      <c r="T568" s="1129"/>
      <c r="U568" s="1130"/>
      <c r="V568" s="1127"/>
      <c r="W568" s="1127">
        <f>AD568</f>
        <v>636.5</v>
      </c>
      <c r="X568" s="1127">
        <f>(N568+V568+Q569+S568)*P568+W568</f>
        <v>3350</v>
      </c>
      <c r="Y568" s="1112"/>
      <c r="Z568" s="1112">
        <f>X568+Y568</f>
        <v>3350</v>
      </c>
      <c r="AA568" s="1109">
        <f>Z568</f>
        <v>3350</v>
      </c>
      <c r="AB568" s="1109">
        <f>AA568-X568</f>
        <v>0</v>
      </c>
      <c r="AC568" s="1127">
        <f>6700*P568</f>
        <v>3350</v>
      </c>
      <c r="AD568" s="1127">
        <f>AC568-(N568*P568)</f>
        <v>636.5</v>
      </c>
      <c r="AE568" s="190">
        <f t="shared" ref="AE568:AE601" si="227">G568*O568</f>
        <v>0</v>
      </c>
      <c r="AF568" s="190">
        <f t="shared" ref="AF568:AF601" si="228">G568*P568</f>
        <v>2713.5</v>
      </c>
      <c r="AG568" s="190">
        <f t="shared" ref="AG568:AG601" si="229">N568*O568</f>
        <v>0</v>
      </c>
      <c r="AH568" s="190">
        <f t="shared" ref="AH568:AH601" si="230">N568*P568</f>
        <v>2713.5</v>
      </c>
      <c r="AI568" s="190">
        <f t="shared" si="226"/>
        <v>0</v>
      </c>
      <c r="AJ568" s="190">
        <f t="shared" si="226"/>
        <v>0</v>
      </c>
      <c r="AK568" s="464">
        <f t="shared" ref="AK568:AK601" si="231">V568*O568</f>
        <v>0</v>
      </c>
      <c r="AL568" s="464">
        <f t="shared" ref="AL568:AL601" si="232">V568*P568</f>
        <v>0</v>
      </c>
      <c r="AM568" s="464">
        <f t="shared" ref="AM568:AM601" si="233">W568</f>
        <v>636.5</v>
      </c>
      <c r="AN568" s="464">
        <f t="shared" si="221"/>
        <v>0</v>
      </c>
      <c r="AO568" s="464">
        <f t="shared" si="222"/>
        <v>0</v>
      </c>
      <c r="AP568" s="464">
        <f t="shared" si="216"/>
        <v>0</v>
      </c>
      <c r="AQ568" s="464">
        <f t="shared" si="216"/>
        <v>2713.5</v>
      </c>
      <c r="AR568" s="190"/>
      <c r="AS568" s="464">
        <f t="shared" si="217"/>
        <v>2713.5</v>
      </c>
    </row>
    <row r="569" spans="1:45" s="191" customFormat="1" ht="24.95" customHeight="1">
      <c r="A569" s="1129"/>
      <c r="B569" s="1129"/>
      <c r="C569" s="1128"/>
      <c r="D569" s="1129"/>
      <c r="E569" s="1129"/>
      <c r="F569" s="1129"/>
      <c r="G569" s="1127"/>
      <c r="H569" s="1127"/>
      <c r="I569" s="1127"/>
      <c r="J569" s="1127"/>
      <c r="K569" s="1127"/>
      <c r="L569" s="1127"/>
      <c r="M569" s="1127"/>
      <c r="N569" s="1127"/>
      <c r="O569" s="1127"/>
      <c r="P569" s="1126"/>
      <c r="Q569" s="1126"/>
      <c r="R569" s="1126"/>
      <c r="S569" s="1126"/>
      <c r="T569" s="1129"/>
      <c r="U569" s="1130"/>
      <c r="V569" s="1127"/>
      <c r="W569" s="1127"/>
      <c r="X569" s="1127"/>
      <c r="Y569" s="1112"/>
      <c r="Z569" s="1112"/>
      <c r="AA569" s="1109"/>
      <c r="AB569" s="1109"/>
      <c r="AC569" s="1127"/>
      <c r="AD569" s="1127"/>
      <c r="AE569" s="190">
        <f t="shared" si="227"/>
        <v>0</v>
      </c>
      <c r="AF569" s="190">
        <f t="shared" si="228"/>
        <v>0</v>
      </c>
      <c r="AG569" s="190">
        <f t="shared" si="229"/>
        <v>0</v>
      </c>
      <c r="AH569" s="190">
        <f t="shared" si="230"/>
        <v>0</v>
      </c>
      <c r="AI569" s="190">
        <f t="shared" si="226"/>
        <v>0</v>
      </c>
      <c r="AJ569" s="190">
        <f t="shared" si="226"/>
        <v>0</v>
      </c>
      <c r="AK569" s="464">
        <f t="shared" si="231"/>
        <v>0</v>
      </c>
      <c r="AL569" s="464">
        <f t="shared" si="232"/>
        <v>0</v>
      </c>
      <c r="AM569" s="464">
        <f t="shared" si="233"/>
        <v>0</v>
      </c>
      <c r="AN569" s="464">
        <f t="shared" si="221"/>
        <v>0</v>
      </c>
      <c r="AO569" s="464">
        <f t="shared" si="222"/>
        <v>0</v>
      </c>
      <c r="AP569" s="464">
        <f t="shared" si="216"/>
        <v>0</v>
      </c>
      <c r="AQ569" s="464">
        <f t="shared" si="216"/>
        <v>0</v>
      </c>
      <c r="AR569" s="190"/>
      <c r="AS569" s="464">
        <f t="shared" si="217"/>
        <v>0</v>
      </c>
    </row>
    <row r="570" spans="1:45" s="191" customFormat="1" ht="24.95" customHeight="1">
      <c r="A570" s="1129"/>
      <c r="B570" s="1129"/>
      <c r="C570" s="1128" t="s">
        <v>791</v>
      </c>
      <c r="D570" s="1129" t="s">
        <v>788</v>
      </c>
      <c r="E570" s="1129" t="s">
        <v>792</v>
      </c>
      <c r="F570" s="1126">
        <v>10</v>
      </c>
      <c r="G570" s="1127">
        <v>5427</v>
      </c>
      <c r="H570" s="1127"/>
      <c r="I570" s="1127"/>
      <c r="J570" s="1127"/>
      <c r="K570" s="1127"/>
      <c r="L570" s="1127"/>
      <c r="M570" s="1127"/>
      <c r="N570" s="1127">
        <f>G570+H571</f>
        <v>5427</v>
      </c>
      <c r="O570" s="1127"/>
      <c r="P570" s="1126"/>
      <c r="Q570" s="1126"/>
      <c r="R570" s="1126"/>
      <c r="S570" s="1126"/>
      <c r="T570" s="1129"/>
      <c r="U570" s="1130"/>
      <c r="V570" s="1127"/>
      <c r="W570" s="1127">
        <f>AD570</f>
        <v>0</v>
      </c>
      <c r="X570" s="1127">
        <f>(N570+V570)*O570+W570</f>
        <v>0</v>
      </c>
      <c r="Y570" s="1112"/>
      <c r="Z570" s="1112">
        <f>X570+Y570</f>
        <v>0</v>
      </c>
      <c r="AA570" s="1109">
        <f>Z570</f>
        <v>0</v>
      </c>
      <c r="AB570" s="1109">
        <f>AA570-X570</f>
        <v>0</v>
      </c>
      <c r="AC570" s="1127">
        <f>6700*O570</f>
        <v>0</v>
      </c>
      <c r="AD570" s="1127">
        <f>AC570-(N570*O570)</f>
        <v>0</v>
      </c>
      <c r="AE570" s="190">
        <f t="shared" si="227"/>
        <v>0</v>
      </c>
      <c r="AF570" s="190">
        <f t="shared" si="228"/>
        <v>0</v>
      </c>
      <c r="AG570" s="190">
        <f t="shared" si="229"/>
        <v>0</v>
      </c>
      <c r="AH570" s="190">
        <f t="shared" si="230"/>
        <v>0</v>
      </c>
      <c r="AI570" s="190">
        <f t="shared" si="226"/>
        <v>0</v>
      </c>
      <c r="AJ570" s="190">
        <f t="shared" si="226"/>
        <v>0</v>
      </c>
      <c r="AK570" s="464">
        <f t="shared" si="231"/>
        <v>0</v>
      </c>
      <c r="AL570" s="464">
        <f t="shared" si="232"/>
        <v>0</v>
      </c>
      <c r="AM570" s="464">
        <f t="shared" si="233"/>
        <v>0</v>
      </c>
      <c r="AN570" s="464">
        <f t="shared" si="221"/>
        <v>0</v>
      </c>
      <c r="AO570" s="464">
        <f t="shared" si="222"/>
        <v>0</v>
      </c>
      <c r="AP570" s="464">
        <f t="shared" ref="AP570:AQ607" si="234">AG570</f>
        <v>0</v>
      </c>
      <c r="AQ570" s="464">
        <f t="shared" si="234"/>
        <v>0</v>
      </c>
      <c r="AR570" s="190"/>
      <c r="AS570" s="464">
        <f t="shared" si="217"/>
        <v>0</v>
      </c>
    </row>
    <row r="571" spans="1:45" s="191" customFormat="1" ht="24.95" customHeight="1">
      <c r="A571" s="1129"/>
      <c r="B571" s="1129"/>
      <c r="C571" s="1128"/>
      <c r="D571" s="1129"/>
      <c r="E571" s="1129"/>
      <c r="F571" s="1126"/>
      <c r="G571" s="1127"/>
      <c r="H571" s="1127"/>
      <c r="I571" s="1127"/>
      <c r="J571" s="1127"/>
      <c r="K571" s="1127"/>
      <c r="L571" s="1127"/>
      <c r="M571" s="1127"/>
      <c r="N571" s="1127"/>
      <c r="O571" s="1127"/>
      <c r="P571" s="1126"/>
      <c r="Q571" s="1126"/>
      <c r="R571" s="1126"/>
      <c r="S571" s="1126"/>
      <c r="T571" s="1129"/>
      <c r="U571" s="1130"/>
      <c r="V571" s="1127"/>
      <c r="W571" s="1127"/>
      <c r="X571" s="1127"/>
      <c r="Y571" s="1112"/>
      <c r="Z571" s="1112"/>
      <c r="AA571" s="1109"/>
      <c r="AB571" s="1109"/>
      <c r="AC571" s="1127"/>
      <c r="AD571" s="1127"/>
      <c r="AE571" s="190">
        <f t="shared" si="227"/>
        <v>0</v>
      </c>
      <c r="AF571" s="190">
        <f t="shared" si="228"/>
        <v>0</v>
      </c>
      <c r="AG571" s="190">
        <f t="shared" si="229"/>
        <v>0</v>
      </c>
      <c r="AH571" s="190">
        <f t="shared" si="230"/>
        <v>0</v>
      </c>
      <c r="AI571" s="190">
        <f t="shared" si="226"/>
        <v>0</v>
      </c>
      <c r="AJ571" s="190">
        <f t="shared" si="226"/>
        <v>0</v>
      </c>
      <c r="AK571" s="464">
        <f t="shared" si="231"/>
        <v>0</v>
      </c>
      <c r="AL571" s="464">
        <f t="shared" si="232"/>
        <v>0</v>
      </c>
      <c r="AM571" s="464">
        <f t="shared" si="233"/>
        <v>0</v>
      </c>
      <c r="AN571" s="464">
        <f t="shared" si="221"/>
        <v>0</v>
      </c>
      <c r="AO571" s="464">
        <f t="shared" si="222"/>
        <v>0</v>
      </c>
      <c r="AP571" s="464">
        <f t="shared" si="234"/>
        <v>0</v>
      </c>
      <c r="AQ571" s="464">
        <f t="shared" si="234"/>
        <v>0</v>
      </c>
      <c r="AR571" s="190"/>
      <c r="AS571" s="464">
        <f t="shared" si="217"/>
        <v>0</v>
      </c>
    </row>
    <row r="572" spans="1:45" s="191" customFormat="1" ht="24.95" customHeight="1">
      <c r="A572" s="1129"/>
      <c r="B572" s="1129"/>
      <c r="C572" s="1128" t="s">
        <v>793</v>
      </c>
      <c r="D572" s="1129"/>
      <c r="E572" s="1129" t="s">
        <v>794</v>
      </c>
      <c r="F572" s="1129">
        <v>7</v>
      </c>
      <c r="G572" s="1127">
        <v>4592</v>
      </c>
      <c r="H572" s="1127"/>
      <c r="I572" s="1127"/>
      <c r="J572" s="1127"/>
      <c r="K572" s="1127"/>
      <c r="L572" s="1127"/>
      <c r="M572" s="1127"/>
      <c r="N572" s="1127">
        <f>G572+H573+K573</f>
        <v>4592</v>
      </c>
      <c r="O572" s="1127">
        <v>1</v>
      </c>
      <c r="P572" s="1126"/>
      <c r="Q572" s="1126"/>
      <c r="R572" s="1126"/>
      <c r="S572" s="1126"/>
      <c r="T572" s="1129"/>
      <c r="U572" s="1130"/>
      <c r="V572" s="1127"/>
      <c r="W572" s="1127">
        <f>AD572</f>
        <v>2108</v>
      </c>
      <c r="X572" s="1127">
        <f>(N572+V572+Q573+S572)*O572+W572</f>
        <v>6700</v>
      </c>
      <c r="Y572" s="1112"/>
      <c r="Z572" s="1112">
        <f>X572+Y572</f>
        <v>6700</v>
      </c>
      <c r="AA572" s="1109">
        <f>Z572</f>
        <v>6700</v>
      </c>
      <c r="AB572" s="1109">
        <f>AA572-X572</f>
        <v>0</v>
      </c>
      <c r="AC572" s="1127">
        <f>6700*O572</f>
        <v>6700</v>
      </c>
      <c r="AD572" s="1127">
        <f>AC572-(N572*O572)</f>
        <v>2108</v>
      </c>
      <c r="AE572" s="190">
        <f t="shared" si="227"/>
        <v>4592</v>
      </c>
      <c r="AF572" s="190">
        <f t="shared" si="228"/>
        <v>0</v>
      </c>
      <c r="AG572" s="190">
        <f t="shared" si="229"/>
        <v>4592</v>
      </c>
      <c r="AH572" s="190">
        <f t="shared" si="230"/>
        <v>0</v>
      </c>
      <c r="AI572" s="190">
        <f t="shared" si="226"/>
        <v>0</v>
      </c>
      <c r="AJ572" s="190">
        <f t="shared" si="226"/>
        <v>0</v>
      </c>
      <c r="AK572" s="464">
        <f t="shared" si="231"/>
        <v>0</v>
      </c>
      <c r="AL572" s="464">
        <f t="shared" si="232"/>
        <v>0</v>
      </c>
      <c r="AM572" s="464">
        <f t="shared" si="233"/>
        <v>2108</v>
      </c>
      <c r="AN572" s="464">
        <f t="shared" si="221"/>
        <v>0</v>
      </c>
      <c r="AO572" s="464">
        <f t="shared" si="222"/>
        <v>0</v>
      </c>
      <c r="AP572" s="464">
        <f t="shared" si="234"/>
        <v>4592</v>
      </c>
      <c r="AQ572" s="464">
        <f t="shared" si="234"/>
        <v>0</v>
      </c>
      <c r="AR572" s="190"/>
      <c r="AS572" s="464">
        <f t="shared" si="217"/>
        <v>4592</v>
      </c>
    </row>
    <row r="573" spans="1:45" s="191" customFormat="1" ht="24.95" customHeight="1">
      <c r="A573" s="1129"/>
      <c r="B573" s="1129"/>
      <c r="C573" s="1128"/>
      <c r="D573" s="1129"/>
      <c r="E573" s="1129"/>
      <c r="F573" s="1129"/>
      <c r="G573" s="1127"/>
      <c r="H573" s="1127"/>
      <c r="I573" s="1127"/>
      <c r="J573" s="1127"/>
      <c r="K573" s="1127"/>
      <c r="L573" s="1127"/>
      <c r="M573" s="1127"/>
      <c r="N573" s="1127"/>
      <c r="O573" s="1127"/>
      <c r="P573" s="1126"/>
      <c r="Q573" s="1126"/>
      <c r="R573" s="1126"/>
      <c r="S573" s="1126"/>
      <c r="T573" s="1129"/>
      <c r="U573" s="1130"/>
      <c r="V573" s="1127"/>
      <c r="W573" s="1127"/>
      <c r="X573" s="1127"/>
      <c r="Y573" s="1112"/>
      <c r="Z573" s="1112"/>
      <c r="AA573" s="1109"/>
      <c r="AB573" s="1109"/>
      <c r="AC573" s="1127"/>
      <c r="AD573" s="1127"/>
      <c r="AE573" s="190">
        <f t="shared" si="227"/>
        <v>0</v>
      </c>
      <c r="AF573" s="190">
        <f t="shared" si="228"/>
        <v>0</v>
      </c>
      <c r="AG573" s="190">
        <f t="shared" si="229"/>
        <v>0</v>
      </c>
      <c r="AH573" s="190">
        <f t="shared" si="230"/>
        <v>0</v>
      </c>
      <c r="AI573" s="190">
        <f t="shared" si="226"/>
        <v>0</v>
      </c>
      <c r="AJ573" s="190">
        <f t="shared" si="226"/>
        <v>0</v>
      </c>
      <c r="AK573" s="464">
        <f t="shared" si="231"/>
        <v>0</v>
      </c>
      <c r="AL573" s="464">
        <f t="shared" si="232"/>
        <v>0</v>
      </c>
      <c r="AM573" s="464">
        <f t="shared" si="233"/>
        <v>0</v>
      </c>
      <c r="AN573" s="464">
        <f t="shared" si="221"/>
        <v>0</v>
      </c>
      <c r="AO573" s="464">
        <f t="shared" si="222"/>
        <v>0</v>
      </c>
      <c r="AP573" s="464">
        <f t="shared" si="234"/>
        <v>0</v>
      </c>
      <c r="AQ573" s="464">
        <f t="shared" si="234"/>
        <v>0</v>
      </c>
      <c r="AR573" s="190"/>
      <c r="AS573" s="464">
        <f t="shared" si="217"/>
        <v>0</v>
      </c>
    </row>
    <row r="574" spans="1:45" s="191" customFormat="1" ht="24.95" customHeight="1">
      <c r="A574" s="1129"/>
      <c r="B574" s="1129"/>
      <c r="C574" s="1128" t="s">
        <v>795</v>
      </c>
      <c r="D574" s="1129"/>
      <c r="E574" s="1129" t="s">
        <v>1069</v>
      </c>
      <c r="F574" s="1129">
        <v>6</v>
      </c>
      <c r="G574" s="1127">
        <v>4324</v>
      </c>
      <c r="H574" s="1127"/>
      <c r="I574" s="1127"/>
      <c r="J574" s="1127"/>
      <c r="K574" s="1127"/>
      <c r="L574" s="1127"/>
      <c r="M574" s="1127"/>
      <c r="N574" s="1127">
        <f>G574+H575</f>
        <v>4324</v>
      </c>
      <c r="O574" s="1127">
        <v>1</v>
      </c>
      <c r="P574" s="1126"/>
      <c r="Q574" s="1126"/>
      <c r="R574" s="1126"/>
      <c r="S574" s="1126"/>
      <c r="T574" s="1129"/>
      <c r="U574" s="1130"/>
      <c r="V574" s="1127"/>
      <c r="W574" s="1127">
        <f>AD574</f>
        <v>2376</v>
      </c>
      <c r="X574" s="1127">
        <f>(N574+V574+Q575+S574)*O574+W574</f>
        <v>6700</v>
      </c>
      <c r="Y574" s="1112"/>
      <c r="Z574" s="1112">
        <f>X574+Y574</f>
        <v>6700</v>
      </c>
      <c r="AA574" s="1109">
        <f>Z574</f>
        <v>6700</v>
      </c>
      <c r="AB574" s="1109">
        <f>AA574-X574</f>
        <v>0</v>
      </c>
      <c r="AC574" s="1127">
        <f>6700*O574</f>
        <v>6700</v>
      </c>
      <c r="AD574" s="1127">
        <f>AC574-(N574*O574)</f>
        <v>2376</v>
      </c>
      <c r="AE574" s="190">
        <f>G574*O574</f>
        <v>4324</v>
      </c>
      <c r="AF574" s="190">
        <f>G574*P574</f>
        <v>0</v>
      </c>
      <c r="AG574" s="190">
        <f>N574*O574</f>
        <v>4324</v>
      </c>
      <c r="AH574" s="190">
        <f>N574*P574</f>
        <v>0</v>
      </c>
      <c r="AI574" s="190">
        <f>AG574-AE574</f>
        <v>0</v>
      </c>
      <c r="AJ574" s="190">
        <f>AH574-AF574</f>
        <v>0</v>
      </c>
      <c r="AK574" s="464">
        <f>V574*O574</f>
        <v>0</v>
      </c>
      <c r="AL574" s="464">
        <f>V574*P574</f>
        <v>0</v>
      </c>
      <c r="AM574" s="464">
        <f>W574</f>
        <v>2376</v>
      </c>
      <c r="AN574" s="464">
        <f>S574*O574</f>
        <v>0</v>
      </c>
      <c r="AO574" s="464">
        <f>S574*P574</f>
        <v>0</v>
      </c>
      <c r="AP574" s="464">
        <f>AG574</f>
        <v>4324</v>
      </c>
      <c r="AQ574" s="464">
        <f>AH574</f>
        <v>0</v>
      </c>
      <c r="AR574" s="190"/>
      <c r="AS574" s="464">
        <f>AP574+AQ574-AR574</f>
        <v>4324</v>
      </c>
    </row>
    <row r="575" spans="1:45" s="191" customFormat="1" ht="24.95" customHeight="1">
      <c r="A575" s="1129"/>
      <c r="B575" s="1129"/>
      <c r="C575" s="1128"/>
      <c r="D575" s="1129"/>
      <c r="E575" s="1129"/>
      <c r="F575" s="1129"/>
      <c r="G575" s="1133"/>
      <c r="H575" s="1127"/>
      <c r="I575" s="1127"/>
      <c r="J575" s="1127"/>
      <c r="K575" s="1127"/>
      <c r="L575" s="1127"/>
      <c r="M575" s="1127"/>
      <c r="N575" s="1127"/>
      <c r="O575" s="1127"/>
      <c r="P575" s="1126"/>
      <c r="Q575" s="1126"/>
      <c r="R575" s="1126"/>
      <c r="S575" s="1126"/>
      <c r="T575" s="1129"/>
      <c r="U575" s="1130"/>
      <c r="V575" s="1127"/>
      <c r="W575" s="1127"/>
      <c r="X575" s="1127"/>
      <c r="Y575" s="1112"/>
      <c r="Z575" s="1112"/>
      <c r="AA575" s="1109"/>
      <c r="AB575" s="1109"/>
      <c r="AC575" s="1127"/>
      <c r="AD575" s="1127"/>
      <c r="AE575" s="190">
        <f>G575*O575</f>
        <v>0</v>
      </c>
      <c r="AF575" s="190">
        <f>G575*P575</f>
        <v>0</v>
      </c>
      <c r="AG575" s="190">
        <f>N575*O575</f>
        <v>0</v>
      </c>
      <c r="AH575" s="190">
        <f>N575*P575</f>
        <v>0</v>
      </c>
      <c r="AI575" s="190">
        <f>AG575-AE575</f>
        <v>0</v>
      </c>
      <c r="AJ575" s="190">
        <f>AH575-AF575</f>
        <v>0</v>
      </c>
      <c r="AK575" s="464">
        <f>V575*O575</f>
        <v>0</v>
      </c>
      <c r="AL575" s="464">
        <f>V575*P575</f>
        <v>0</v>
      </c>
      <c r="AM575" s="464">
        <f>W575</f>
        <v>0</v>
      </c>
      <c r="AN575" s="464">
        <f>S575*O575</f>
        <v>0</v>
      </c>
      <c r="AO575" s="464">
        <f>S575*P575</f>
        <v>0</v>
      </c>
      <c r="AP575" s="464">
        <f>AG575</f>
        <v>0</v>
      </c>
      <c r="AQ575" s="464">
        <f>AH575</f>
        <v>0</v>
      </c>
      <c r="AR575" s="190"/>
      <c r="AS575" s="464">
        <f>AP575+AQ575-AR575</f>
        <v>0</v>
      </c>
    </row>
    <row r="576" spans="1:45" s="191" customFormat="1" ht="24.95" customHeight="1">
      <c r="A576" s="1129"/>
      <c r="B576" s="1129"/>
      <c r="C576" s="1128" t="s">
        <v>795</v>
      </c>
      <c r="D576" s="1129"/>
      <c r="E576" s="1129" t="s">
        <v>796</v>
      </c>
      <c r="F576" s="1129">
        <v>6</v>
      </c>
      <c r="G576" s="1127">
        <v>4324</v>
      </c>
      <c r="H576" s="1127"/>
      <c r="I576" s="1127"/>
      <c r="J576" s="1127"/>
      <c r="K576" s="1127"/>
      <c r="L576" s="1127"/>
      <c r="M576" s="1127"/>
      <c r="N576" s="1127">
        <f>G576+H577</f>
        <v>4324</v>
      </c>
      <c r="O576" s="1127">
        <v>1</v>
      </c>
      <c r="P576" s="1126"/>
      <c r="Q576" s="1126"/>
      <c r="R576" s="1126"/>
      <c r="S576" s="1126"/>
      <c r="T576" s="1129"/>
      <c r="U576" s="1130"/>
      <c r="V576" s="1127"/>
      <c r="W576" s="1127">
        <f>AD576</f>
        <v>2376</v>
      </c>
      <c r="X576" s="1127">
        <f>(N576+V576+Q577+S576)*O576+W576</f>
        <v>6700</v>
      </c>
      <c r="Y576" s="1112"/>
      <c r="Z576" s="1112">
        <f>X576+Y576</f>
        <v>6700</v>
      </c>
      <c r="AA576" s="1109">
        <f>Z576</f>
        <v>6700</v>
      </c>
      <c r="AB576" s="1109">
        <f>AA576-X576</f>
        <v>0</v>
      </c>
      <c r="AC576" s="1127">
        <f>6700*O576</f>
        <v>6700</v>
      </c>
      <c r="AD576" s="1127">
        <f>AC576-(N576*O576)</f>
        <v>2376</v>
      </c>
      <c r="AE576" s="190">
        <f t="shared" si="227"/>
        <v>4324</v>
      </c>
      <c r="AF576" s="190">
        <f t="shared" si="228"/>
        <v>0</v>
      </c>
      <c r="AG576" s="190">
        <f t="shared" si="229"/>
        <v>4324</v>
      </c>
      <c r="AH576" s="190">
        <f t="shared" si="230"/>
        <v>0</v>
      </c>
      <c r="AI576" s="190">
        <f t="shared" si="226"/>
        <v>0</v>
      </c>
      <c r="AJ576" s="190">
        <f t="shared" si="226"/>
        <v>0</v>
      </c>
      <c r="AK576" s="464">
        <f t="shared" si="231"/>
        <v>0</v>
      </c>
      <c r="AL576" s="464">
        <f t="shared" si="232"/>
        <v>0</v>
      </c>
      <c r="AM576" s="464">
        <f t="shared" si="233"/>
        <v>2376</v>
      </c>
      <c r="AN576" s="464">
        <f t="shared" si="221"/>
        <v>0</v>
      </c>
      <c r="AO576" s="464">
        <f t="shared" si="222"/>
        <v>0</v>
      </c>
      <c r="AP576" s="464">
        <f t="shared" si="234"/>
        <v>4324</v>
      </c>
      <c r="AQ576" s="464">
        <f t="shared" si="234"/>
        <v>0</v>
      </c>
      <c r="AR576" s="190"/>
      <c r="AS576" s="464">
        <f t="shared" si="217"/>
        <v>4324</v>
      </c>
    </row>
    <row r="577" spans="1:45" s="191" customFormat="1" ht="24.95" customHeight="1">
      <c r="A577" s="1129"/>
      <c r="B577" s="1129"/>
      <c r="C577" s="1128"/>
      <c r="D577" s="1129"/>
      <c r="E577" s="1129"/>
      <c r="F577" s="1129"/>
      <c r="G577" s="1133"/>
      <c r="H577" s="1127"/>
      <c r="I577" s="1127"/>
      <c r="J577" s="1127"/>
      <c r="K577" s="1127"/>
      <c r="L577" s="1127"/>
      <c r="M577" s="1127"/>
      <c r="N577" s="1127"/>
      <c r="O577" s="1127"/>
      <c r="P577" s="1126"/>
      <c r="Q577" s="1126"/>
      <c r="R577" s="1126"/>
      <c r="S577" s="1126"/>
      <c r="T577" s="1129"/>
      <c r="U577" s="1130"/>
      <c r="V577" s="1127"/>
      <c r="W577" s="1127"/>
      <c r="X577" s="1127"/>
      <c r="Y577" s="1112"/>
      <c r="Z577" s="1112"/>
      <c r="AA577" s="1109"/>
      <c r="AB577" s="1109"/>
      <c r="AC577" s="1127"/>
      <c r="AD577" s="1127"/>
      <c r="AE577" s="190">
        <f t="shared" si="227"/>
        <v>0</v>
      </c>
      <c r="AF577" s="190">
        <f t="shared" si="228"/>
        <v>0</v>
      </c>
      <c r="AG577" s="190">
        <f t="shared" si="229"/>
        <v>0</v>
      </c>
      <c r="AH577" s="190">
        <f t="shared" si="230"/>
        <v>0</v>
      </c>
      <c r="AI577" s="190">
        <f t="shared" si="226"/>
        <v>0</v>
      </c>
      <c r="AJ577" s="190">
        <f t="shared" si="226"/>
        <v>0</v>
      </c>
      <c r="AK577" s="464">
        <f t="shared" si="231"/>
        <v>0</v>
      </c>
      <c r="AL577" s="464">
        <f t="shared" si="232"/>
        <v>0</v>
      </c>
      <c r="AM577" s="464">
        <f t="shared" si="233"/>
        <v>0</v>
      </c>
      <c r="AN577" s="464">
        <f t="shared" si="221"/>
        <v>0</v>
      </c>
      <c r="AO577" s="464">
        <f t="shared" si="222"/>
        <v>0</v>
      </c>
      <c r="AP577" s="464">
        <f t="shared" si="234"/>
        <v>0</v>
      </c>
      <c r="AQ577" s="464">
        <f t="shared" si="234"/>
        <v>0</v>
      </c>
      <c r="AR577" s="190"/>
      <c r="AS577" s="464">
        <f t="shared" si="217"/>
        <v>0</v>
      </c>
    </row>
    <row r="578" spans="1:45" s="191" customFormat="1" ht="24.95" customHeight="1">
      <c r="A578" s="1129"/>
      <c r="B578" s="1129"/>
      <c r="C578" s="1132" t="s">
        <v>797</v>
      </c>
      <c r="D578" s="1129"/>
      <c r="E578" s="1126" t="s">
        <v>1070</v>
      </c>
      <c r="F578" s="1129">
        <v>7</v>
      </c>
      <c r="G578" s="1127">
        <v>4592</v>
      </c>
      <c r="H578" s="1127"/>
      <c r="I578" s="1127"/>
      <c r="J578" s="1127"/>
      <c r="K578" s="1127"/>
      <c r="L578" s="1127"/>
      <c r="M578" s="1127"/>
      <c r="N578" s="1127">
        <f>G578+H579</f>
        <v>4592</v>
      </c>
      <c r="O578" s="1127">
        <v>1</v>
      </c>
      <c r="P578" s="1126"/>
      <c r="Q578" s="1126"/>
      <c r="R578" s="1126"/>
      <c r="S578" s="1126"/>
      <c r="T578" s="1129"/>
      <c r="U578" s="1130"/>
      <c r="V578" s="1127"/>
      <c r="W578" s="1127">
        <f>AD578</f>
        <v>2108</v>
      </c>
      <c r="X578" s="1127">
        <f>(N578+V578+Q579+S578)*O578+W578</f>
        <v>6700</v>
      </c>
      <c r="Y578" s="1112"/>
      <c r="Z578" s="1112">
        <f>X578+Y578</f>
        <v>6700</v>
      </c>
      <c r="AA578" s="1109">
        <f>Z578</f>
        <v>6700</v>
      </c>
      <c r="AB578" s="1109">
        <f>AA578-X578</f>
        <v>0</v>
      </c>
      <c r="AC578" s="1127">
        <f>6700*O578</f>
        <v>6700</v>
      </c>
      <c r="AD578" s="1127">
        <f>AC578-(N578*O578)</f>
        <v>2108</v>
      </c>
      <c r="AE578" s="190">
        <f t="shared" si="227"/>
        <v>4592</v>
      </c>
      <c r="AF578" s="190">
        <f t="shared" si="228"/>
        <v>0</v>
      </c>
      <c r="AG578" s="190">
        <f t="shared" si="229"/>
        <v>4592</v>
      </c>
      <c r="AH578" s="190">
        <f t="shared" si="230"/>
        <v>0</v>
      </c>
      <c r="AI578" s="190">
        <f t="shared" si="226"/>
        <v>0</v>
      </c>
      <c r="AJ578" s="190">
        <f t="shared" si="226"/>
        <v>0</v>
      </c>
      <c r="AK578" s="464">
        <f t="shared" si="231"/>
        <v>0</v>
      </c>
      <c r="AL578" s="464">
        <f t="shared" si="232"/>
        <v>0</v>
      </c>
      <c r="AM578" s="464">
        <f t="shared" si="233"/>
        <v>2108</v>
      </c>
      <c r="AN578" s="464">
        <f t="shared" si="221"/>
        <v>0</v>
      </c>
      <c r="AO578" s="464">
        <f t="shared" si="222"/>
        <v>0</v>
      </c>
      <c r="AP578" s="464">
        <f t="shared" si="234"/>
        <v>4592</v>
      </c>
      <c r="AQ578" s="464">
        <f t="shared" si="234"/>
        <v>0</v>
      </c>
      <c r="AR578" s="190"/>
      <c r="AS578" s="464">
        <f t="shared" si="217"/>
        <v>4592</v>
      </c>
    </row>
    <row r="579" spans="1:45" s="191" customFormat="1" ht="24.95" customHeight="1">
      <c r="A579" s="1129"/>
      <c r="B579" s="1129"/>
      <c r="C579" s="1132"/>
      <c r="D579" s="1129"/>
      <c r="E579" s="1126"/>
      <c r="F579" s="1129"/>
      <c r="G579" s="1127"/>
      <c r="H579" s="1127"/>
      <c r="I579" s="1127"/>
      <c r="J579" s="1127"/>
      <c r="K579" s="1127"/>
      <c r="L579" s="1127"/>
      <c r="M579" s="1127"/>
      <c r="N579" s="1127"/>
      <c r="O579" s="1127"/>
      <c r="P579" s="1126"/>
      <c r="Q579" s="1126"/>
      <c r="R579" s="1126"/>
      <c r="S579" s="1126"/>
      <c r="T579" s="1129"/>
      <c r="U579" s="1130"/>
      <c r="V579" s="1127"/>
      <c r="W579" s="1127"/>
      <c r="X579" s="1127"/>
      <c r="Y579" s="1112"/>
      <c r="Z579" s="1112"/>
      <c r="AA579" s="1109"/>
      <c r="AB579" s="1109"/>
      <c r="AC579" s="1127"/>
      <c r="AD579" s="1127"/>
      <c r="AE579" s="190">
        <f t="shared" si="227"/>
        <v>0</v>
      </c>
      <c r="AF579" s="190">
        <f t="shared" si="228"/>
        <v>0</v>
      </c>
      <c r="AG579" s="190">
        <f t="shared" si="229"/>
        <v>0</v>
      </c>
      <c r="AH579" s="190">
        <f t="shared" si="230"/>
        <v>0</v>
      </c>
      <c r="AI579" s="190">
        <f t="shared" si="226"/>
        <v>0</v>
      </c>
      <c r="AJ579" s="190">
        <f t="shared" si="226"/>
        <v>0</v>
      </c>
      <c r="AK579" s="464">
        <f t="shared" si="231"/>
        <v>0</v>
      </c>
      <c r="AL579" s="464">
        <f t="shared" si="232"/>
        <v>0</v>
      </c>
      <c r="AM579" s="464">
        <f t="shared" si="233"/>
        <v>0</v>
      </c>
      <c r="AN579" s="464">
        <f t="shared" si="221"/>
        <v>0</v>
      </c>
      <c r="AO579" s="464">
        <f t="shared" si="222"/>
        <v>0</v>
      </c>
      <c r="AP579" s="464">
        <f t="shared" si="234"/>
        <v>0</v>
      </c>
      <c r="AQ579" s="464">
        <f t="shared" si="234"/>
        <v>0</v>
      </c>
      <c r="AR579" s="190"/>
      <c r="AS579" s="464">
        <f t="shared" si="217"/>
        <v>0</v>
      </c>
    </row>
    <row r="580" spans="1:45" s="191" customFormat="1" ht="24.95" customHeight="1">
      <c r="A580" s="1129"/>
      <c r="B580" s="1129"/>
      <c r="C580" s="1128" t="s">
        <v>798</v>
      </c>
      <c r="D580" s="1129" t="s">
        <v>799</v>
      </c>
      <c r="E580" s="1129" t="s">
        <v>800</v>
      </c>
      <c r="F580" s="1129">
        <v>11</v>
      </c>
      <c r="G580" s="1127">
        <v>5875</v>
      </c>
      <c r="H580" s="1127"/>
      <c r="I580" s="1127"/>
      <c r="J580" s="1127"/>
      <c r="K580" s="1127"/>
      <c r="L580" s="1127"/>
      <c r="M580" s="1127"/>
      <c r="N580" s="1127">
        <f>G580+H581+K581</f>
        <v>5875</v>
      </c>
      <c r="O580" s="1127">
        <v>1</v>
      </c>
      <c r="P580" s="1126"/>
      <c r="Q580" s="1126"/>
      <c r="R580" s="1126"/>
      <c r="S580" s="1126"/>
      <c r="T580" s="1129"/>
      <c r="U580" s="1130"/>
      <c r="V580" s="1127"/>
      <c r="W580" s="1127">
        <f>AD580</f>
        <v>825</v>
      </c>
      <c r="X580" s="1127">
        <f>(N580+V580+Q581+S580)*O580+W580</f>
        <v>6700</v>
      </c>
      <c r="Y580" s="1112"/>
      <c r="Z580" s="1112">
        <f>X580+Y580</f>
        <v>6700</v>
      </c>
      <c r="AA580" s="1109">
        <f>Z580</f>
        <v>6700</v>
      </c>
      <c r="AB580" s="1109">
        <f>AA580-X580</f>
        <v>0</v>
      </c>
      <c r="AC580" s="1127">
        <f>6700*O580</f>
        <v>6700</v>
      </c>
      <c r="AD580" s="1127">
        <f>AC580-(N580*O580)</f>
        <v>825</v>
      </c>
      <c r="AE580" s="190">
        <f t="shared" si="227"/>
        <v>5875</v>
      </c>
      <c r="AF580" s="190">
        <f t="shared" si="228"/>
        <v>0</v>
      </c>
      <c r="AG580" s="190">
        <f t="shared" si="229"/>
        <v>5875</v>
      </c>
      <c r="AH580" s="190">
        <f t="shared" si="230"/>
        <v>0</v>
      </c>
      <c r="AI580" s="190">
        <f t="shared" ref="AI580:AJ601" si="235">AG580-AE580</f>
        <v>0</v>
      </c>
      <c r="AJ580" s="190">
        <f t="shared" si="235"/>
        <v>0</v>
      </c>
      <c r="AK580" s="464">
        <f t="shared" si="231"/>
        <v>0</v>
      </c>
      <c r="AL580" s="464">
        <f t="shared" si="232"/>
        <v>0</v>
      </c>
      <c r="AM580" s="464">
        <f t="shared" si="233"/>
        <v>825</v>
      </c>
      <c r="AN580" s="464">
        <f t="shared" si="221"/>
        <v>0</v>
      </c>
      <c r="AO580" s="464">
        <f t="shared" si="222"/>
        <v>0</v>
      </c>
      <c r="AP580" s="464">
        <f t="shared" si="234"/>
        <v>5875</v>
      </c>
      <c r="AQ580" s="464">
        <f t="shared" si="234"/>
        <v>0</v>
      </c>
      <c r="AR580" s="190"/>
      <c r="AS580" s="464">
        <f t="shared" si="217"/>
        <v>5875</v>
      </c>
    </row>
    <row r="581" spans="1:45" s="191" customFormat="1" ht="24.95" customHeight="1">
      <c r="A581" s="1129"/>
      <c r="B581" s="1129"/>
      <c r="C581" s="1128"/>
      <c r="D581" s="1129"/>
      <c r="E581" s="1129"/>
      <c r="F581" s="1129"/>
      <c r="G581" s="1133"/>
      <c r="H581" s="1127"/>
      <c r="I581" s="1127"/>
      <c r="J581" s="1127"/>
      <c r="K581" s="1127"/>
      <c r="L581" s="1127"/>
      <c r="M581" s="1127"/>
      <c r="N581" s="1127"/>
      <c r="O581" s="1127"/>
      <c r="P581" s="1126"/>
      <c r="Q581" s="1126"/>
      <c r="R581" s="1126"/>
      <c r="S581" s="1126"/>
      <c r="T581" s="1129"/>
      <c r="U581" s="1130"/>
      <c r="V581" s="1127"/>
      <c r="W581" s="1127"/>
      <c r="X581" s="1127"/>
      <c r="Y581" s="1112"/>
      <c r="Z581" s="1112"/>
      <c r="AA581" s="1109"/>
      <c r="AB581" s="1109"/>
      <c r="AC581" s="1127"/>
      <c r="AD581" s="1127"/>
      <c r="AE581" s="190">
        <f t="shared" si="227"/>
        <v>0</v>
      </c>
      <c r="AF581" s="190">
        <f t="shared" si="228"/>
        <v>0</v>
      </c>
      <c r="AG581" s="190">
        <f t="shared" si="229"/>
        <v>0</v>
      </c>
      <c r="AH581" s="190">
        <f t="shared" si="230"/>
        <v>0</v>
      </c>
      <c r="AI581" s="190">
        <f t="shared" si="235"/>
        <v>0</v>
      </c>
      <c r="AJ581" s="190">
        <f t="shared" si="235"/>
        <v>0</v>
      </c>
      <c r="AK581" s="464">
        <f t="shared" si="231"/>
        <v>0</v>
      </c>
      <c r="AL581" s="464">
        <f t="shared" si="232"/>
        <v>0</v>
      </c>
      <c r="AM581" s="464">
        <f t="shared" si="233"/>
        <v>0</v>
      </c>
      <c r="AN581" s="464">
        <f t="shared" si="221"/>
        <v>0</v>
      </c>
      <c r="AO581" s="464">
        <f t="shared" si="222"/>
        <v>0</v>
      </c>
      <c r="AP581" s="464">
        <f t="shared" si="234"/>
        <v>0</v>
      </c>
      <c r="AQ581" s="464">
        <f t="shared" si="234"/>
        <v>0</v>
      </c>
      <c r="AR581" s="190"/>
      <c r="AS581" s="464">
        <f t="shared" si="217"/>
        <v>0</v>
      </c>
    </row>
    <row r="582" spans="1:45" s="191" customFormat="1" ht="24.95" customHeight="1">
      <c r="A582" s="1129"/>
      <c r="B582" s="1129"/>
      <c r="C582" s="1132" t="s">
        <v>801</v>
      </c>
      <c r="D582" s="1129" t="s">
        <v>802</v>
      </c>
      <c r="E582" s="1126" t="s">
        <v>803</v>
      </c>
      <c r="F582" s="1129">
        <v>9</v>
      </c>
      <c r="G582" s="1127">
        <v>5159</v>
      </c>
      <c r="H582" s="1127"/>
      <c r="I582" s="1127"/>
      <c r="J582" s="1127"/>
      <c r="K582" s="1127"/>
      <c r="L582" s="1127"/>
      <c r="M582" s="1127"/>
      <c r="N582" s="1127">
        <f>G582+H583</f>
        <v>5159</v>
      </c>
      <c r="O582" s="1127">
        <v>1</v>
      </c>
      <c r="P582" s="1126"/>
      <c r="Q582" s="1126"/>
      <c r="R582" s="1126"/>
      <c r="S582" s="1126"/>
      <c r="T582" s="1129"/>
      <c r="U582" s="1130"/>
      <c r="V582" s="1127"/>
      <c r="W582" s="1127">
        <f>AD582</f>
        <v>1541</v>
      </c>
      <c r="X582" s="1127">
        <f>(N582+V582+Q583+S582)*O582+W582</f>
        <v>6700</v>
      </c>
      <c r="Y582" s="1112"/>
      <c r="Z582" s="1112">
        <f>X582+Y582</f>
        <v>6700</v>
      </c>
      <c r="AA582" s="1109">
        <f>Z582</f>
        <v>6700</v>
      </c>
      <c r="AB582" s="1109">
        <f>AA582-X582</f>
        <v>0</v>
      </c>
      <c r="AC582" s="1127">
        <f>6700*O582</f>
        <v>6700</v>
      </c>
      <c r="AD582" s="1127">
        <f>AC582-(N582*O582)</f>
        <v>1541</v>
      </c>
      <c r="AE582" s="190">
        <f t="shared" si="227"/>
        <v>5159</v>
      </c>
      <c r="AF582" s="190">
        <f t="shared" si="228"/>
        <v>0</v>
      </c>
      <c r="AG582" s="190">
        <f t="shared" si="229"/>
        <v>5159</v>
      </c>
      <c r="AH582" s="190">
        <f t="shared" si="230"/>
        <v>0</v>
      </c>
      <c r="AI582" s="190">
        <f t="shared" si="235"/>
        <v>0</v>
      </c>
      <c r="AJ582" s="190">
        <f t="shared" si="235"/>
        <v>0</v>
      </c>
      <c r="AK582" s="464">
        <f t="shared" si="231"/>
        <v>0</v>
      </c>
      <c r="AL582" s="464">
        <f t="shared" si="232"/>
        <v>0</v>
      </c>
      <c r="AM582" s="464">
        <f t="shared" si="233"/>
        <v>1541</v>
      </c>
      <c r="AN582" s="464">
        <f t="shared" si="221"/>
        <v>0</v>
      </c>
      <c r="AO582" s="464">
        <f t="shared" si="222"/>
        <v>0</v>
      </c>
      <c r="AP582" s="464">
        <f t="shared" si="234"/>
        <v>5159</v>
      </c>
      <c r="AQ582" s="464">
        <f t="shared" si="234"/>
        <v>0</v>
      </c>
      <c r="AR582" s="190"/>
      <c r="AS582" s="464">
        <f t="shared" si="217"/>
        <v>5159</v>
      </c>
    </row>
    <row r="583" spans="1:45" s="191" customFormat="1" ht="24.95" customHeight="1">
      <c r="A583" s="1129"/>
      <c r="B583" s="1129"/>
      <c r="C583" s="1132"/>
      <c r="D583" s="1129"/>
      <c r="E583" s="1126"/>
      <c r="F583" s="1129"/>
      <c r="G583" s="1127"/>
      <c r="H583" s="1127"/>
      <c r="I583" s="1127"/>
      <c r="J583" s="1127"/>
      <c r="K583" s="1127"/>
      <c r="L583" s="1127"/>
      <c r="M583" s="1127"/>
      <c r="N583" s="1127"/>
      <c r="O583" s="1127"/>
      <c r="P583" s="1126"/>
      <c r="Q583" s="1126"/>
      <c r="R583" s="1126"/>
      <c r="S583" s="1126"/>
      <c r="T583" s="1129"/>
      <c r="U583" s="1130"/>
      <c r="V583" s="1127"/>
      <c r="W583" s="1127"/>
      <c r="X583" s="1127"/>
      <c r="Y583" s="1112"/>
      <c r="Z583" s="1112"/>
      <c r="AA583" s="1109"/>
      <c r="AB583" s="1109"/>
      <c r="AC583" s="1127"/>
      <c r="AD583" s="1127"/>
      <c r="AE583" s="190">
        <f t="shared" si="227"/>
        <v>0</v>
      </c>
      <c r="AF583" s="190">
        <f t="shared" si="228"/>
        <v>0</v>
      </c>
      <c r="AG583" s="190">
        <f t="shared" si="229"/>
        <v>0</v>
      </c>
      <c r="AH583" s="190">
        <f t="shared" si="230"/>
        <v>0</v>
      </c>
      <c r="AI583" s="190">
        <f t="shared" si="235"/>
        <v>0</v>
      </c>
      <c r="AJ583" s="190">
        <f t="shared" si="235"/>
        <v>0</v>
      </c>
      <c r="AK583" s="464">
        <f t="shared" si="231"/>
        <v>0</v>
      </c>
      <c r="AL583" s="464">
        <f t="shared" si="232"/>
        <v>0</v>
      </c>
      <c r="AM583" s="464">
        <f t="shared" si="233"/>
        <v>0</v>
      </c>
      <c r="AN583" s="464">
        <f t="shared" si="221"/>
        <v>0</v>
      </c>
      <c r="AO583" s="464">
        <f t="shared" si="222"/>
        <v>0</v>
      </c>
      <c r="AP583" s="464">
        <f t="shared" si="234"/>
        <v>0</v>
      </c>
      <c r="AQ583" s="464">
        <f t="shared" si="234"/>
        <v>0</v>
      </c>
      <c r="AR583" s="190"/>
      <c r="AS583" s="464">
        <f t="shared" si="217"/>
        <v>0</v>
      </c>
    </row>
    <row r="584" spans="1:45" s="191" customFormat="1" ht="24.95" customHeight="1">
      <c r="A584" s="1129"/>
      <c r="B584" s="1129"/>
      <c r="C584" s="1128" t="s">
        <v>804</v>
      </c>
      <c r="D584" s="1129"/>
      <c r="E584" s="1129" t="s">
        <v>790</v>
      </c>
      <c r="F584" s="1129">
        <v>4</v>
      </c>
      <c r="G584" s="1127">
        <v>3787</v>
      </c>
      <c r="H584" s="1127"/>
      <c r="I584" s="1127"/>
      <c r="J584" s="1127"/>
      <c r="K584" s="1127"/>
      <c r="L584" s="1127"/>
      <c r="M584" s="1127"/>
      <c r="N584" s="1127">
        <f>G584+H585</f>
        <v>3787</v>
      </c>
      <c r="O584" s="1127">
        <v>1</v>
      </c>
      <c r="P584" s="1127"/>
      <c r="Q584" s="1126"/>
      <c r="R584" s="1126"/>
      <c r="S584" s="1126"/>
      <c r="T584" s="1129"/>
      <c r="U584" s="1130"/>
      <c r="V584" s="1127"/>
      <c r="W584" s="1127">
        <f>AD584</f>
        <v>2913</v>
      </c>
      <c r="X584" s="1127">
        <f>(N584+V584+Q585+S584)*O584+W584</f>
        <v>6700</v>
      </c>
      <c r="Y584" s="1112"/>
      <c r="Z584" s="1112">
        <f>X584+Y584</f>
        <v>6700</v>
      </c>
      <c r="AA584" s="1109">
        <f>Z584</f>
        <v>6700</v>
      </c>
      <c r="AB584" s="1109">
        <f>AA584-X584</f>
        <v>0</v>
      </c>
      <c r="AC584" s="1127">
        <f>6700*O584</f>
        <v>6700</v>
      </c>
      <c r="AD584" s="1127">
        <f>AC584-(N584*O584)</f>
        <v>2913</v>
      </c>
      <c r="AE584" s="190">
        <f t="shared" si="227"/>
        <v>3787</v>
      </c>
      <c r="AF584" s="190">
        <f t="shared" si="228"/>
        <v>0</v>
      </c>
      <c r="AG584" s="190">
        <f t="shared" si="229"/>
        <v>3787</v>
      </c>
      <c r="AH584" s="190">
        <f t="shared" si="230"/>
        <v>0</v>
      </c>
      <c r="AI584" s="190">
        <f t="shared" si="235"/>
        <v>0</v>
      </c>
      <c r="AJ584" s="190">
        <f t="shared" si="235"/>
        <v>0</v>
      </c>
      <c r="AK584" s="464">
        <f t="shared" si="231"/>
        <v>0</v>
      </c>
      <c r="AL584" s="464">
        <f t="shared" si="232"/>
        <v>0</v>
      </c>
      <c r="AM584" s="464">
        <f t="shared" si="233"/>
        <v>2913</v>
      </c>
      <c r="AN584" s="464">
        <f t="shared" si="221"/>
        <v>0</v>
      </c>
      <c r="AO584" s="464">
        <f t="shared" si="222"/>
        <v>0</v>
      </c>
      <c r="AP584" s="464">
        <f t="shared" si="234"/>
        <v>3787</v>
      </c>
      <c r="AQ584" s="464">
        <f t="shared" si="234"/>
        <v>0</v>
      </c>
      <c r="AR584" s="190"/>
      <c r="AS584" s="464">
        <f t="shared" si="217"/>
        <v>3787</v>
      </c>
    </row>
    <row r="585" spans="1:45" s="191" customFormat="1" ht="24.95" customHeight="1">
      <c r="A585" s="1129"/>
      <c r="B585" s="1129"/>
      <c r="C585" s="1128"/>
      <c r="D585" s="1129"/>
      <c r="E585" s="1129"/>
      <c r="F585" s="1129"/>
      <c r="G585" s="1127"/>
      <c r="H585" s="1127"/>
      <c r="I585" s="1127"/>
      <c r="J585" s="1127"/>
      <c r="K585" s="1127"/>
      <c r="L585" s="1127"/>
      <c r="M585" s="1127"/>
      <c r="N585" s="1127"/>
      <c r="O585" s="1127"/>
      <c r="P585" s="1126"/>
      <c r="Q585" s="1126"/>
      <c r="R585" s="1126"/>
      <c r="S585" s="1126"/>
      <c r="T585" s="1129"/>
      <c r="U585" s="1130"/>
      <c r="V585" s="1127"/>
      <c r="W585" s="1127"/>
      <c r="X585" s="1127"/>
      <c r="Y585" s="1112"/>
      <c r="Z585" s="1112"/>
      <c r="AA585" s="1109"/>
      <c r="AB585" s="1109"/>
      <c r="AC585" s="1127"/>
      <c r="AD585" s="1127"/>
      <c r="AE585" s="190">
        <f t="shared" si="227"/>
        <v>0</v>
      </c>
      <c r="AF585" s="190">
        <f t="shared" si="228"/>
        <v>0</v>
      </c>
      <c r="AG585" s="190">
        <f t="shared" si="229"/>
        <v>0</v>
      </c>
      <c r="AH585" s="190">
        <f t="shared" si="230"/>
        <v>0</v>
      </c>
      <c r="AI585" s="190">
        <f t="shared" si="235"/>
        <v>0</v>
      </c>
      <c r="AJ585" s="190">
        <f t="shared" si="235"/>
        <v>0</v>
      </c>
      <c r="AK585" s="464">
        <f t="shared" si="231"/>
        <v>0</v>
      </c>
      <c r="AL585" s="464">
        <f t="shared" si="232"/>
        <v>0</v>
      </c>
      <c r="AM585" s="464">
        <f t="shared" si="233"/>
        <v>0</v>
      </c>
      <c r="AN585" s="464">
        <f t="shared" si="221"/>
        <v>0</v>
      </c>
      <c r="AO585" s="464">
        <f t="shared" si="222"/>
        <v>0</v>
      </c>
      <c r="AP585" s="464">
        <f t="shared" si="234"/>
        <v>0</v>
      </c>
      <c r="AQ585" s="464">
        <f t="shared" si="234"/>
        <v>0</v>
      </c>
      <c r="AR585" s="190"/>
      <c r="AS585" s="464">
        <f t="shared" si="217"/>
        <v>0</v>
      </c>
    </row>
    <row r="586" spans="1:45" s="191" customFormat="1" ht="24.95" customHeight="1">
      <c r="A586" s="1129"/>
      <c r="B586" s="1129"/>
      <c r="C586" s="1128" t="s">
        <v>805</v>
      </c>
      <c r="D586" s="1129"/>
      <c r="E586" s="1129" t="s">
        <v>806</v>
      </c>
      <c r="F586" s="1129">
        <v>6</v>
      </c>
      <c r="G586" s="1127">
        <v>4324</v>
      </c>
      <c r="H586" s="1127"/>
      <c r="I586" s="1127"/>
      <c r="J586" s="1127"/>
      <c r="K586" s="1127"/>
      <c r="L586" s="1127"/>
      <c r="M586" s="1127"/>
      <c r="N586" s="1127">
        <f>G586+H587</f>
        <v>4324</v>
      </c>
      <c r="O586" s="1127">
        <v>1</v>
      </c>
      <c r="P586" s="1127"/>
      <c r="Q586" s="1126"/>
      <c r="R586" s="1126"/>
      <c r="S586" s="1126"/>
      <c r="T586" s="1129"/>
      <c r="U586" s="1130"/>
      <c r="V586" s="1127"/>
      <c r="W586" s="1127">
        <f>AD586</f>
        <v>2376</v>
      </c>
      <c r="X586" s="1127">
        <f>(N586+V586+Q587+S586)*O586+W586</f>
        <v>6700</v>
      </c>
      <c r="Y586" s="1112"/>
      <c r="Z586" s="1112">
        <f>X586+Y586</f>
        <v>6700</v>
      </c>
      <c r="AA586" s="1109">
        <f>Z586</f>
        <v>6700</v>
      </c>
      <c r="AB586" s="1109">
        <f>AA586-X586</f>
        <v>0</v>
      </c>
      <c r="AC586" s="1127">
        <f>6700*O586</f>
        <v>6700</v>
      </c>
      <c r="AD586" s="1127">
        <f>AC586-(N586*O586)</f>
        <v>2376</v>
      </c>
      <c r="AE586" s="190">
        <f t="shared" si="227"/>
        <v>4324</v>
      </c>
      <c r="AF586" s="190">
        <f t="shared" si="228"/>
        <v>0</v>
      </c>
      <c r="AG586" s="190">
        <f t="shared" si="229"/>
        <v>4324</v>
      </c>
      <c r="AH586" s="190">
        <f t="shared" si="230"/>
        <v>0</v>
      </c>
      <c r="AI586" s="190">
        <f t="shared" si="235"/>
        <v>0</v>
      </c>
      <c r="AJ586" s="190">
        <f t="shared" si="235"/>
        <v>0</v>
      </c>
      <c r="AK586" s="464">
        <f t="shared" si="231"/>
        <v>0</v>
      </c>
      <c r="AL586" s="464">
        <f t="shared" si="232"/>
        <v>0</v>
      </c>
      <c r="AM586" s="464">
        <f t="shared" si="233"/>
        <v>2376</v>
      </c>
      <c r="AN586" s="464">
        <f t="shared" si="221"/>
        <v>0</v>
      </c>
      <c r="AO586" s="464">
        <f t="shared" si="222"/>
        <v>0</v>
      </c>
      <c r="AP586" s="464">
        <f t="shared" si="234"/>
        <v>4324</v>
      </c>
      <c r="AQ586" s="464">
        <f t="shared" si="234"/>
        <v>0</v>
      </c>
      <c r="AR586" s="190"/>
      <c r="AS586" s="464">
        <f t="shared" si="217"/>
        <v>4324</v>
      </c>
    </row>
    <row r="587" spans="1:45" s="191" customFormat="1" ht="24.95" customHeight="1">
      <c r="A587" s="1129"/>
      <c r="B587" s="1129"/>
      <c r="C587" s="1128"/>
      <c r="D587" s="1129"/>
      <c r="E587" s="1129"/>
      <c r="F587" s="1129"/>
      <c r="G587" s="1127"/>
      <c r="H587" s="1127"/>
      <c r="I587" s="1127"/>
      <c r="J587" s="1127"/>
      <c r="K587" s="1127"/>
      <c r="L587" s="1127"/>
      <c r="M587" s="1127"/>
      <c r="N587" s="1127"/>
      <c r="O587" s="1127"/>
      <c r="P587" s="1127"/>
      <c r="Q587" s="1126"/>
      <c r="R587" s="1126"/>
      <c r="S587" s="1126"/>
      <c r="T587" s="1129"/>
      <c r="U587" s="1130"/>
      <c r="V587" s="1127"/>
      <c r="W587" s="1127"/>
      <c r="X587" s="1127"/>
      <c r="Y587" s="1112"/>
      <c r="Z587" s="1112"/>
      <c r="AA587" s="1109"/>
      <c r="AB587" s="1109"/>
      <c r="AC587" s="1127"/>
      <c r="AD587" s="1127"/>
      <c r="AE587" s="190">
        <f t="shared" si="227"/>
        <v>0</v>
      </c>
      <c r="AF587" s="190">
        <f t="shared" si="228"/>
        <v>0</v>
      </c>
      <c r="AG587" s="190">
        <f t="shared" si="229"/>
        <v>0</v>
      </c>
      <c r="AH587" s="190">
        <f t="shared" si="230"/>
        <v>0</v>
      </c>
      <c r="AI587" s="190">
        <f t="shared" si="235"/>
        <v>0</v>
      </c>
      <c r="AJ587" s="190">
        <f t="shared" si="235"/>
        <v>0</v>
      </c>
      <c r="AK587" s="464">
        <f t="shared" si="231"/>
        <v>0</v>
      </c>
      <c r="AL587" s="464">
        <f t="shared" si="232"/>
        <v>0</v>
      </c>
      <c r="AM587" s="464">
        <f t="shared" si="233"/>
        <v>0</v>
      </c>
      <c r="AN587" s="464">
        <f t="shared" si="221"/>
        <v>0</v>
      </c>
      <c r="AO587" s="464">
        <f t="shared" si="222"/>
        <v>0</v>
      </c>
      <c r="AP587" s="464">
        <f t="shared" si="234"/>
        <v>0</v>
      </c>
      <c r="AQ587" s="464">
        <f t="shared" si="234"/>
        <v>0</v>
      </c>
      <c r="AR587" s="190"/>
      <c r="AS587" s="464">
        <f t="shared" si="217"/>
        <v>0</v>
      </c>
    </row>
    <row r="588" spans="1:45" s="191" customFormat="1" ht="24.95" customHeight="1">
      <c r="A588" s="1129"/>
      <c r="B588" s="1129"/>
      <c r="C588" s="1128" t="s">
        <v>807</v>
      </c>
      <c r="D588" s="1129"/>
      <c r="E588" s="1129" t="s">
        <v>1071</v>
      </c>
      <c r="F588" s="1129">
        <v>7</v>
      </c>
      <c r="G588" s="1127">
        <v>4592</v>
      </c>
      <c r="H588" s="1127"/>
      <c r="I588" s="1127"/>
      <c r="J588" s="1127"/>
      <c r="K588" s="1127"/>
      <c r="L588" s="1127"/>
      <c r="M588" s="1127"/>
      <c r="N588" s="1127">
        <f>G588+H589</f>
        <v>4592</v>
      </c>
      <c r="O588" s="1127">
        <v>1</v>
      </c>
      <c r="P588" s="1126"/>
      <c r="Q588" s="1126"/>
      <c r="R588" s="1126"/>
      <c r="S588" s="1126"/>
      <c r="T588" s="1129"/>
      <c r="U588" s="1130"/>
      <c r="V588" s="1127"/>
      <c r="W588" s="1127">
        <f>AD588</f>
        <v>2108</v>
      </c>
      <c r="X588" s="1127">
        <f>(N588+V588+Q589+S588)*O588+W588</f>
        <v>6700</v>
      </c>
      <c r="Y588" s="1112"/>
      <c r="Z588" s="1112">
        <f>X588+Y588</f>
        <v>6700</v>
      </c>
      <c r="AA588" s="1109">
        <f>Z588</f>
        <v>6700</v>
      </c>
      <c r="AB588" s="1109">
        <f>AA588-X588</f>
        <v>0</v>
      </c>
      <c r="AC588" s="1127">
        <f>6700*O588</f>
        <v>6700</v>
      </c>
      <c r="AD588" s="1127">
        <f>AC588-(N588*O588)</f>
        <v>2108</v>
      </c>
      <c r="AE588" s="190">
        <f t="shared" si="227"/>
        <v>4592</v>
      </c>
      <c r="AF588" s="190">
        <f t="shared" si="228"/>
        <v>0</v>
      </c>
      <c r="AG588" s="190">
        <f t="shared" si="229"/>
        <v>4592</v>
      </c>
      <c r="AH588" s="190">
        <f t="shared" si="230"/>
        <v>0</v>
      </c>
      <c r="AI588" s="190">
        <f t="shared" si="235"/>
        <v>0</v>
      </c>
      <c r="AJ588" s="190">
        <f t="shared" si="235"/>
        <v>0</v>
      </c>
      <c r="AK588" s="464">
        <f t="shared" si="231"/>
        <v>0</v>
      </c>
      <c r="AL588" s="464">
        <f t="shared" si="232"/>
        <v>0</v>
      </c>
      <c r="AM588" s="464">
        <f t="shared" si="233"/>
        <v>2108</v>
      </c>
      <c r="AN588" s="464">
        <f t="shared" si="221"/>
        <v>0</v>
      </c>
      <c r="AO588" s="464">
        <f t="shared" si="222"/>
        <v>0</v>
      </c>
      <c r="AP588" s="464">
        <f t="shared" si="234"/>
        <v>4592</v>
      </c>
      <c r="AQ588" s="464">
        <f t="shared" si="234"/>
        <v>0</v>
      </c>
      <c r="AR588" s="190"/>
      <c r="AS588" s="464">
        <f t="shared" si="217"/>
        <v>4592</v>
      </c>
    </row>
    <row r="589" spans="1:45" s="191" customFormat="1" ht="24.95" customHeight="1">
      <c r="A589" s="1129"/>
      <c r="B589" s="1129"/>
      <c r="C589" s="1128"/>
      <c r="D589" s="1129"/>
      <c r="E589" s="1129"/>
      <c r="F589" s="1129"/>
      <c r="G589" s="1133"/>
      <c r="H589" s="1127"/>
      <c r="I589" s="1127"/>
      <c r="J589" s="1127"/>
      <c r="K589" s="1127"/>
      <c r="L589" s="1127"/>
      <c r="M589" s="1127"/>
      <c r="N589" s="1127"/>
      <c r="O589" s="1127"/>
      <c r="P589" s="1126"/>
      <c r="Q589" s="1126"/>
      <c r="R589" s="1126"/>
      <c r="S589" s="1126"/>
      <c r="T589" s="1129"/>
      <c r="U589" s="1130"/>
      <c r="V589" s="1127"/>
      <c r="W589" s="1127"/>
      <c r="X589" s="1127"/>
      <c r="Y589" s="1112"/>
      <c r="Z589" s="1112"/>
      <c r="AA589" s="1109"/>
      <c r="AB589" s="1109"/>
      <c r="AC589" s="1127"/>
      <c r="AD589" s="1127"/>
      <c r="AE589" s="190">
        <f t="shared" si="227"/>
        <v>0</v>
      </c>
      <c r="AF589" s="190">
        <f t="shared" si="228"/>
        <v>0</v>
      </c>
      <c r="AG589" s="190">
        <f t="shared" si="229"/>
        <v>0</v>
      </c>
      <c r="AH589" s="190">
        <f t="shared" si="230"/>
        <v>0</v>
      </c>
      <c r="AI589" s="190">
        <f t="shared" si="235"/>
        <v>0</v>
      </c>
      <c r="AJ589" s="190">
        <f t="shared" si="235"/>
        <v>0</v>
      </c>
      <c r="AK589" s="464">
        <f t="shared" si="231"/>
        <v>0</v>
      </c>
      <c r="AL589" s="464">
        <f t="shared" si="232"/>
        <v>0</v>
      </c>
      <c r="AM589" s="464">
        <f t="shared" si="233"/>
        <v>0</v>
      </c>
      <c r="AN589" s="464">
        <f t="shared" si="221"/>
        <v>0</v>
      </c>
      <c r="AO589" s="464">
        <f t="shared" si="222"/>
        <v>0</v>
      </c>
      <c r="AP589" s="464">
        <f t="shared" si="234"/>
        <v>0</v>
      </c>
      <c r="AQ589" s="464">
        <f t="shared" si="234"/>
        <v>0</v>
      </c>
      <c r="AR589" s="190"/>
      <c r="AS589" s="464">
        <f t="shared" si="217"/>
        <v>0</v>
      </c>
    </row>
    <row r="590" spans="1:45" s="191" customFormat="1" ht="24.95" customHeight="1">
      <c r="A590" s="1129"/>
      <c r="B590" s="1129"/>
      <c r="C590" s="1128" t="s">
        <v>808</v>
      </c>
      <c r="D590" s="1129"/>
      <c r="E590" s="1129" t="s">
        <v>809</v>
      </c>
      <c r="F590" s="1129">
        <v>6</v>
      </c>
      <c r="G590" s="1127">
        <v>4324</v>
      </c>
      <c r="H590" s="1127"/>
      <c r="I590" s="1127"/>
      <c r="J590" s="1127"/>
      <c r="K590" s="1127"/>
      <c r="L590" s="1127"/>
      <c r="M590" s="1127"/>
      <c r="N590" s="1127">
        <f>G590+H591+K591</f>
        <v>4324</v>
      </c>
      <c r="O590" s="1127">
        <v>1</v>
      </c>
      <c r="P590" s="1126"/>
      <c r="Q590" s="1126"/>
      <c r="R590" s="1126"/>
      <c r="S590" s="1126"/>
      <c r="T590" s="1129"/>
      <c r="U590" s="1130"/>
      <c r="V590" s="1127"/>
      <c r="W590" s="1127">
        <f>AD590</f>
        <v>2376</v>
      </c>
      <c r="X590" s="1127">
        <f>(N590+V590+Q591+S590)*O590+W590</f>
        <v>6700</v>
      </c>
      <c r="Y590" s="1112"/>
      <c r="Z590" s="1112">
        <f>X590+Y590</f>
        <v>6700</v>
      </c>
      <c r="AA590" s="1109">
        <f>Z590</f>
        <v>6700</v>
      </c>
      <c r="AB590" s="1109">
        <f>AA590-X590</f>
        <v>0</v>
      </c>
      <c r="AC590" s="1127">
        <f>6700*O590</f>
        <v>6700</v>
      </c>
      <c r="AD590" s="1127">
        <f>AC590-(N590*O590)</f>
        <v>2376</v>
      </c>
      <c r="AE590" s="190">
        <f t="shared" si="227"/>
        <v>4324</v>
      </c>
      <c r="AF590" s="190">
        <f t="shared" si="228"/>
        <v>0</v>
      </c>
      <c r="AG590" s="190">
        <f t="shared" si="229"/>
        <v>4324</v>
      </c>
      <c r="AH590" s="190">
        <f t="shared" si="230"/>
        <v>0</v>
      </c>
      <c r="AI590" s="190">
        <f t="shared" si="235"/>
        <v>0</v>
      </c>
      <c r="AJ590" s="190">
        <f t="shared" si="235"/>
        <v>0</v>
      </c>
      <c r="AK590" s="464">
        <f t="shared" si="231"/>
        <v>0</v>
      </c>
      <c r="AL590" s="464">
        <f t="shared" si="232"/>
        <v>0</v>
      </c>
      <c r="AM590" s="464">
        <f t="shared" si="233"/>
        <v>2376</v>
      </c>
      <c r="AN590" s="464">
        <f t="shared" si="221"/>
        <v>0</v>
      </c>
      <c r="AO590" s="464">
        <f t="shared" si="222"/>
        <v>0</v>
      </c>
      <c r="AP590" s="464">
        <f t="shared" si="234"/>
        <v>4324</v>
      </c>
      <c r="AQ590" s="464">
        <f t="shared" si="234"/>
        <v>0</v>
      </c>
      <c r="AR590" s="190"/>
      <c r="AS590" s="464">
        <f t="shared" si="217"/>
        <v>4324</v>
      </c>
    </row>
    <row r="591" spans="1:45" s="191" customFormat="1" ht="24.95" customHeight="1">
      <c r="A591" s="1129"/>
      <c r="B591" s="1129"/>
      <c r="C591" s="1128"/>
      <c r="D591" s="1129"/>
      <c r="E591" s="1129"/>
      <c r="F591" s="1129"/>
      <c r="G591" s="1133"/>
      <c r="H591" s="1127"/>
      <c r="I591" s="1127"/>
      <c r="J591" s="1127"/>
      <c r="K591" s="1127"/>
      <c r="L591" s="1127"/>
      <c r="M591" s="1127"/>
      <c r="N591" s="1127"/>
      <c r="O591" s="1127"/>
      <c r="P591" s="1126"/>
      <c r="Q591" s="1126"/>
      <c r="R591" s="1126"/>
      <c r="S591" s="1126"/>
      <c r="T591" s="1129"/>
      <c r="U591" s="1130"/>
      <c r="V591" s="1127"/>
      <c r="W591" s="1127"/>
      <c r="X591" s="1127"/>
      <c r="Y591" s="1112"/>
      <c r="Z591" s="1112"/>
      <c r="AA591" s="1109"/>
      <c r="AB591" s="1109"/>
      <c r="AC591" s="1127"/>
      <c r="AD591" s="1127"/>
      <c r="AE591" s="190">
        <f t="shared" si="227"/>
        <v>0</v>
      </c>
      <c r="AF591" s="190">
        <f t="shared" si="228"/>
        <v>0</v>
      </c>
      <c r="AG591" s="190">
        <f t="shared" si="229"/>
        <v>0</v>
      </c>
      <c r="AH591" s="190">
        <f t="shared" si="230"/>
        <v>0</v>
      </c>
      <c r="AI591" s="190">
        <f t="shared" si="235"/>
        <v>0</v>
      </c>
      <c r="AJ591" s="190">
        <f t="shared" si="235"/>
        <v>0</v>
      </c>
      <c r="AK591" s="464">
        <f t="shared" si="231"/>
        <v>0</v>
      </c>
      <c r="AL591" s="464">
        <f t="shared" si="232"/>
        <v>0</v>
      </c>
      <c r="AM591" s="464">
        <f t="shared" si="233"/>
        <v>0</v>
      </c>
      <c r="AN591" s="464">
        <f t="shared" si="221"/>
        <v>0</v>
      </c>
      <c r="AO591" s="464">
        <f t="shared" si="222"/>
        <v>0</v>
      </c>
      <c r="AP591" s="464">
        <f t="shared" si="234"/>
        <v>0</v>
      </c>
      <c r="AQ591" s="464">
        <f t="shared" si="234"/>
        <v>0</v>
      </c>
      <c r="AR591" s="190"/>
      <c r="AS591" s="464">
        <f t="shared" si="217"/>
        <v>0</v>
      </c>
    </row>
    <row r="592" spans="1:45" s="191" customFormat="1" ht="24.95" customHeight="1">
      <c r="A592" s="1129"/>
      <c r="B592" s="1129"/>
      <c r="C592" s="1128" t="s">
        <v>810</v>
      </c>
      <c r="D592" s="1129" t="s">
        <v>811</v>
      </c>
      <c r="E592" s="1129" t="s">
        <v>812</v>
      </c>
      <c r="F592" s="1129">
        <v>10</v>
      </c>
      <c r="G592" s="1127">
        <v>5427</v>
      </c>
      <c r="H592" s="1127"/>
      <c r="I592" s="1127"/>
      <c r="J592" s="1127"/>
      <c r="K592" s="1127"/>
      <c r="L592" s="1127"/>
      <c r="M592" s="1127"/>
      <c r="N592" s="1127">
        <f>G592+H593</f>
        <v>5427</v>
      </c>
      <c r="O592" s="1127">
        <v>1</v>
      </c>
      <c r="P592" s="1126"/>
      <c r="Q592" s="1126"/>
      <c r="R592" s="1126"/>
      <c r="S592" s="1126"/>
      <c r="T592" s="1129"/>
      <c r="U592" s="1130"/>
      <c r="V592" s="1127"/>
      <c r="W592" s="1127">
        <f>AD592</f>
        <v>1273</v>
      </c>
      <c r="X592" s="1127">
        <f>(N592+V592+Q593+S592)*O592+W592</f>
        <v>6700</v>
      </c>
      <c r="Y592" s="1112"/>
      <c r="Z592" s="1112">
        <f>X592+Y592</f>
        <v>6700</v>
      </c>
      <c r="AA592" s="1109">
        <f>Z592</f>
        <v>6700</v>
      </c>
      <c r="AB592" s="1109">
        <f>AA592-X592</f>
        <v>0</v>
      </c>
      <c r="AC592" s="1127">
        <f>6700*O592</f>
        <v>6700</v>
      </c>
      <c r="AD592" s="1127">
        <f>AC592-(N592*O592)</f>
        <v>1273</v>
      </c>
      <c r="AE592" s="190">
        <f t="shared" si="227"/>
        <v>5427</v>
      </c>
      <c r="AF592" s="190">
        <f t="shared" si="228"/>
        <v>0</v>
      </c>
      <c r="AG592" s="190">
        <f t="shared" si="229"/>
        <v>5427</v>
      </c>
      <c r="AH592" s="190">
        <f t="shared" si="230"/>
        <v>0</v>
      </c>
      <c r="AI592" s="190">
        <f t="shared" si="235"/>
        <v>0</v>
      </c>
      <c r="AJ592" s="190">
        <f t="shared" si="235"/>
        <v>0</v>
      </c>
      <c r="AK592" s="464">
        <f t="shared" si="231"/>
        <v>0</v>
      </c>
      <c r="AL592" s="464">
        <f t="shared" si="232"/>
        <v>0</v>
      </c>
      <c r="AM592" s="464">
        <f t="shared" si="233"/>
        <v>1273</v>
      </c>
      <c r="AN592" s="464">
        <f t="shared" si="221"/>
        <v>0</v>
      </c>
      <c r="AO592" s="464">
        <f t="shared" si="222"/>
        <v>0</v>
      </c>
      <c r="AP592" s="464">
        <f t="shared" si="234"/>
        <v>5427</v>
      </c>
      <c r="AQ592" s="464">
        <f t="shared" si="234"/>
        <v>0</v>
      </c>
      <c r="AR592" s="190"/>
      <c r="AS592" s="464">
        <f t="shared" si="217"/>
        <v>5427</v>
      </c>
    </row>
    <row r="593" spans="1:45" s="191" customFormat="1" ht="24.95" customHeight="1">
      <c r="A593" s="1129"/>
      <c r="B593" s="1129"/>
      <c r="C593" s="1128"/>
      <c r="D593" s="1129"/>
      <c r="E593" s="1129"/>
      <c r="F593" s="1129"/>
      <c r="G593" s="1133"/>
      <c r="H593" s="1127"/>
      <c r="I593" s="1127"/>
      <c r="J593" s="1127"/>
      <c r="K593" s="1127"/>
      <c r="L593" s="1127"/>
      <c r="M593" s="1127"/>
      <c r="N593" s="1127"/>
      <c r="O593" s="1127"/>
      <c r="P593" s="1126"/>
      <c r="Q593" s="1126"/>
      <c r="R593" s="1126"/>
      <c r="S593" s="1126"/>
      <c r="T593" s="1129"/>
      <c r="U593" s="1130"/>
      <c r="V593" s="1127"/>
      <c r="W593" s="1127"/>
      <c r="X593" s="1127"/>
      <c r="Y593" s="1112"/>
      <c r="Z593" s="1112"/>
      <c r="AA593" s="1109"/>
      <c r="AB593" s="1109"/>
      <c r="AC593" s="1127"/>
      <c r="AD593" s="1127"/>
      <c r="AE593" s="190">
        <f t="shared" si="227"/>
        <v>0</v>
      </c>
      <c r="AF593" s="190">
        <f t="shared" si="228"/>
        <v>0</v>
      </c>
      <c r="AG593" s="190">
        <f t="shared" si="229"/>
        <v>0</v>
      </c>
      <c r="AH593" s="190">
        <f t="shared" si="230"/>
        <v>0</v>
      </c>
      <c r="AI593" s="190">
        <f t="shared" si="235"/>
        <v>0</v>
      </c>
      <c r="AJ593" s="190">
        <f t="shared" si="235"/>
        <v>0</v>
      </c>
      <c r="AK593" s="464">
        <f t="shared" si="231"/>
        <v>0</v>
      </c>
      <c r="AL593" s="464">
        <f t="shared" si="232"/>
        <v>0</v>
      </c>
      <c r="AM593" s="464">
        <f t="shared" si="233"/>
        <v>0</v>
      </c>
      <c r="AN593" s="464">
        <f t="shared" si="221"/>
        <v>0</v>
      </c>
      <c r="AO593" s="464">
        <f t="shared" si="222"/>
        <v>0</v>
      </c>
      <c r="AP593" s="464">
        <f t="shared" si="234"/>
        <v>0</v>
      </c>
      <c r="AQ593" s="464">
        <f t="shared" si="234"/>
        <v>0</v>
      </c>
      <c r="AR593" s="190"/>
      <c r="AS593" s="464">
        <f t="shared" si="217"/>
        <v>0</v>
      </c>
    </row>
    <row r="594" spans="1:45" s="191" customFormat="1" ht="24.95" customHeight="1">
      <c r="A594" s="1129"/>
      <c r="B594" s="1129"/>
      <c r="C594" s="1128" t="s">
        <v>1072</v>
      </c>
      <c r="D594" s="1129"/>
      <c r="E594" s="1129" t="s">
        <v>732</v>
      </c>
      <c r="F594" s="1129">
        <v>10</v>
      </c>
      <c r="G594" s="1127">
        <v>5427</v>
      </c>
      <c r="H594" s="1127"/>
      <c r="I594" s="1127"/>
      <c r="J594" s="1127"/>
      <c r="K594" s="1127"/>
      <c r="L594" s="1127"/>
      <c r="M594" s="1127"/>
      <c r="N594" s="1127">
        <f>G594+H595</f>
        <v>5427</v>
      </c>
      <c r="O594" s="1127">
        <v>0.5</v>
      </c>
      <c r="P594" s="1127"/>
      <c r="Q594" s="1126"/>
      <c r="R594" s="1126"/>
      <c r="S594" s="1126"/>
      <c r="T594" s="1129"/>
      <c r="U594" s="1130"/>
      <c r="V594" s="1127"/>
      <c r="W594" s="1127">
        <f>AD594</f>
        <v>636.5</v>
      </c>
      <c r="X594" s="1127">
        <f>(N594+V594+Q595+S594)*O594+W594</f>
        <v>3350</v>
      </c>
      <c r="Y594" s="1112"/>
      <c r="Z594" s="1112">
        <f>X594+Y594</f>
        <v>3350</v>
      </c>
      <c r="AA594" s="1109">
        <f>Z594</f>
        <v>3350</v>
      </c>
      <c r="AB594" s="1109">
        <f>AA594-X594</f>
        <v>0</v>
      </c>
      <c r="AC594" s="1127">
        <f>6700*O594</f>
        <v>3350</v>
      </c>
      <c r="AD594" s="1127">
        <f>AC594-(N594*O594)</f>
        <v>636.5</v>
      </c>
      <c r="AE594" s="190">
        <f t="shared" ref="AE594:AE599" si="236">G594*O594</f>
        <v>2713.5</v>
      </c>
      <c r="AF594" s="190">
        <f t="shared" ref="AF594:AF599" si="237">G594*P594</f>
        <v>0</v>
      </c>
      <c r="AG594" s="190">
        <f t="shared" ref="AG594:AG599" si="238">N594*O594</f>
        <v>2713.5</v>
      </c>
      <c r="AH594" s="190">
        <f t="shared" ref="AH594:AH599" si="239">N594*P594</f>
        <v>0</v>
      </c>
      <c r="AI594" s="190">
        <f>AG594-AE594</f>
        <v>0</v>
      </c>
      <c r="AJ594" s="190">
        <f>AH594-AF594</f>
        <v>0</v>
      </c>
      <c r="AK594" s="464">
        <f t="shared" ref="AK594:AK599" si="240">V594*O594</f>
        <v>0</v>
      </c>
      <c r="AL594" s="464">
        <f t="shared" ref="AL594:AL599" si="241">V594*P594</f>
        <v>0</v>
      </c>
      <c r="AM594" s="464">
        <f t="shared" ref="AM594:AM599" si="242">W594</f>
        <v>636.5</v>
      </c>
      <c r="AN594" s="464">
        <f t="shared" ref="AN594:AN599" si="243">S594*O594</f>
        <v>0</v>
      </c>
      <c r="AO594" s="464">
        <f t="shared" ref="AO594:AO599" si="244">S594*P594</f>
        <v>0</v>
      </c>
      <c r="AP594" s="464">
        <f>AG594</f>
        <v>2713.5</v>
      </c>
      <c r="AQ594" s="464">
        <f>AH594</f>
        <v>0</v>
      </c>
      <c r="AR594" s="190"/>
      <c r="AS594" s="464">
        <f t="shared" ref="AS594:AS599" si="245">AP594+AQ594-AR594</f>
        <v>2713.5</v>
      </c>
    </row>
    <row r="595" spans="1:45" s="191" customFormat="1" ht="24.95" customHeight="1">
      <c r="A595" s="1129"/>
      <c r="B595" s="1129"/>
      <c r="C595" s="1128"/>
      <c r="D595" s="1129"/>
      <c r="E595" s="1129"/>
      <c r="F595" s="1129"/>
      <c r="G595" s="1127"/>
      <c r="H595" s="1127"/>
      <c r="I595" s="1127"/>
      <c r="J595" s="1127"/>
      <c r="K595" s="1127"/>
      <c r="L595" s="1127"/>
      <c r="M595" s="1127"/>
      <c r="N595" s="1127"/>
      <c r="O595" s="1127"/>
      <c r="P595" s="1127"/>
      <c r="Q595" s="1126"/>
      <c r="R595" s="1126"/>
      <c r="S595" s="1126"/>
      <c r="T595" s="1129"/>
      <c r="U595" s="1130"/>
      <c r="V595" s="1127"/>
      <c r="W595" s="1127"/>
      <c r="X595" s="1127"/>
      <c r="Y595" s="1112"/>
      <c r="Z595" s="1112"/>
      <c r="AA595" s="1109"/>
      <c r="AB595" s="1109"/>
      <c r="AC595" s="1127"/>
      <c r="AD595" s="1127"/>
      <c r="AE595" s="190">
        <f t="shared" si="236"/>
        <v>0</v>
      </c>
      <c r="AF595" s="190">
        <f t="shared" si="237"/>
        <v>0</v>
      </c>
      <c r="AG595" s="190">
        <f t="shared" si="238"/>
        <v>0</v>
      </c>
      <c r="AH595" s="190">
        <f t="shared" si="239"/>
        <v>0</v>
      </c>
      <c r="AI595" s="190">
        <f>AG595-AE595</f>
        <v>0</v>
      </c>
      <c r="AJ595" s="190">
        <f>AH595-AF595</f>
        <v>0</v>
      </c>
      <c r="AK595" s="464">
        <f t="shared" si="240"/>
        <v>0</v>
      </c>
      <c r="AL595" s="464">
        <f t="shared" si="241"/>
        <v>0</v>
      </c>
      <c r="AM595" s="464">
        <f t="shared" si="242"/>
        <v>0</v>
      </c>
      <c r="AN595" s="464">
        <f t="shared" si="243"/>
        <v>0</v>
      </c>
      <c r="AO595" s="464">
        <f t="shared" si="244"/>
        <v>0</v>
      </c>
      <c r="AP595" s="464">
        <f>AG595</f>
        <v>0</v>
      </c>
      <c r="AQ595" s="464">
        <f>AH595</f>
        <v>0</v>
      </c>
      <c r="AR595" s="190"/>
      <c r="AS595" s="464">
        <f t="shared" si="245"/>
        <v>0</v>
      </c>
    </row>
    <row r="596" spans="1:45" s="191" customFormat="1" ht="24.95" customHeight="1">
      <c r="A596" s="1129"/>
      <c r="B596" s="1129"/>
      <c r="C596" s="1139" t="s">
        <v>1153</v>
      </c>
      <c r="D596" s="1129"/>
      <c r="E596" s="1129"/>
      <c r="F596" s="1129">
        <v>8</v>
      </c>
      <c r="G596" s="1127">
        <v>4890</v>
      </c>
      <c r="H596" s="1127"/>
      <c r="I596" s="1127"/>
      <c r="J596" s="1127"/>
      <c r="K596" s="1127"/>
      <c r="L596" s="1127"/>
      <c r="M596" s="1127"/>
      <c r="N596" s="1127">
        <f>G596+H597</f>
        <v>4890</v>
      </c>
      <c r="O596" s="1127">
        <v>1</v>
      </c>
      <c r="P596" s="1127"/>
      <c r="Q596" s="1126"/>
      <c r="R596" s="1126"/>
      <c r="S596" s="1126"/>
      <c r="T596" s="1129"/>
      <c r="U596" s="1130"/>
      <c r="V596" s="1127"/>
      <c r="W596" s="1127">
        <f>AD596</f>
        <v>1610</v>
      </c>
      <c r="X596" s="1127">
        <f>(N596+V596+Q597+S596)*O596+W596</f>
        <v>6500</v>
      </c>
      <c r="Y596" s="1112"/>
      <c r="Z596" s="1112">
        <f>X596+Y596</f>
        <v>6500</v>
      </c>
      <c r="AA596" s="1109">
        <f>Z596</f>
        <v>6500</v>
      </c>
      <c r="AB596" s="1109">
        <f>AA596-X596</f>
        <v>0</v>
      </c>
      <c r="AC596" s="1127">
        <f>6500*O596</f>
        <v>6500</v>
      </c>
      <c r="AD596" s="1127">
        <f>AC596-(N596*O596)</f>
        <v>1610</v>
      </c>
      <c r="AE596" s="190">
        <f t="shared" si="236"/>
        <v>4890</v>
      </c>
      <c r="AF596" s="190">
        <f t="shared" si="237"/>
        <v>0</v>
      </c>
      <c r="AG596" s="190">
        <f t="shared" si="238"/>
        <v>4890</v>
      </c>
      <c r="AH596" s="190">
        <f t="shared" si="239"/>
        <v>0</v>
      </c>
      <c r="AI596" s="190">
        <f t="shared" ref="AI596:AJ599" si="246">AG596-AE596</f>
        <v>0</v>
      </c>
      <c r="AJ596" s="190">
        <f t="shared" si="246"/>
        <v>0</v>
      </c>
      <c r="AK596" s="464">
        <f t="shared" si="240"/>
        <v>0</v>
      </c>
      <c r="AL596" s="464">
        <f t="shared" si="241"/>
        <v>0</v>
      </c>
      <c r="AM596" s="464">
        <f t="shared" si="242"/>
        <v>1610</v>
      </c>
      <c r="AN596" s="464">
        <f t="shared" si="243"/>
        <v>0</v>
      </c>
      <c r="AO596" s="464">
        <f t="shared" si="244"/>
        <v>0</v>
      </c>
      <c r="AP596" s="464">
        <f t="shared" ref="AP596:AQ599" si="247">AG596</f>
        <v>4890</v>
      </c>
      <c r="AQ596" s="464">
        <f t="shared" si="247"/>
        <v>0</v>
      </c>
      <c r="AR596" s="190"/>
      <c r="AS596" s="464">
        <f t="shared" si="245"/>
        <v>4890</v>
      </c>
    </row>
    <row r="597" spans="1:45" s="191" customFormat="1" ht="24.95" customHeight="1">
      <c r="A597" s="1129"/>
      <c r="B597" s="1129"/>
      <c r="C597" s="1139"/>
      <c r="D597" s="1129"/>
      <c r="E597" s="1129"/>
      <c r="F597" s="1129"/>
      <c r="G597" s="1127"/>
      <c r="H597" s="1127"/>
      <c r="I597" s="1127"/>
      <c r="J597" s="1127"/>
      <c r="K597" s="1127"/>
      <c r="L597" s="1127"/>
      <c r="M597" s="1127"/>
      <c r="N597" s="1127"/>
      <c r="O597" s="1127"/>
      <c r="P597" s="1127"/>
      <c r="Q597" s="1126"/>
      <c r="R597" s="1126"/>
      <c r="S597" s="1126"/>
      <c r="T597" s="1129"/>
      <c r="U597" s="1130"/>
      <c r="V597" s="1127"/>
      <c r="W597" s="1127"/>
      <c r="X597" s="1127"/>
      <c r="Y597" s="1112"/>
      <c r="Z597" s="1112"/>
      <c r="AA597" s="1109"/>
      <c r="AB597" s="1109"/>
      <c r="AC597" s="1127"/>
      <c r="AD597" s="1127"/>
      <c r="AE597" s="190">
        <f t="shared" si="236"/>
        <v>0</v>
      </c>
      <c r="AF597" s="190">
        <f t="shared" si="237"/>
        <v>0</v>
      </c>
      <c r="AG597" s="190">
        <f t="shared" si="238"/>
        <v>0</v>
      </c>
      <c r="AH597" s="190">
        <f t="shared" si="239"/>
        <v>0</v>
      </c>
      <c r="AI597" s="190">
        <f t="shared" si="246"/>
        <v>0</v>
      </c>
      <c r="AJ597" s="190">
        <f t="shared" si="246"/>
        <v>0</v>
      </c>
      <c r="AK597" s="464">
        <f t="shared" si="240"/>
        <v>0</v>
      </c>
      <c r="AL597" s="464">
        <f t="shared" si="241"/>
        <v>0</v>
      </c>
      <c r="AM597" s="464">
        <f t="shared" si="242"/>
        <v>0</v>
      </c>
      <c r="AN597" s="464">
        <f t="shared" si="243"/>
        <v>0</v>
      </c>
      <c r="AO597" s="464">
        <f t="shared" si="244"/>
        <v>0</v>
      </c>
      <c r="AP597" s="464">
        <f t="shared" si="247"/>
        <v>0</v>
      </c>
      <c r="AQ597" s="464">
        <f t="shared" si="247"/>
        <v>0</v>
      </c>
      <c r="AR597" s="190"/>
      <c r="AS597" s="464">
        <f t="shared" si="245"/>
        <v>0</v>
      </c>
    </row>
    <row r="598" spans="1:45" s="191" customFormat="1" ht="24.95" customHeight="1">
      <c r="A598" s="1129"/>
      <c r="B598" s="1129"/>
      <c r="C598" s="1128" t="s">
        <v>813</v>
      </c>
      <c r="D598" s="1129"/>
      <c r="E598" s="1129"/>
      <c r="F598" s="1129">
        <v>8</v>
      </c>
      <c r="G598" s="1127">
        <v>4890</v>
      </c>
      <c r="H598" s="1127"/>
      <c r="I598" s="1127"/>
      <c r="J598" s="1127"/>
      <c r="K598" s="1127"/>
      <c r="L598" s="1127"/>
      <c r="M598" s="1127"/>
      <c r="N598" s="1127">
        <f>G598+H599</f>
        <v>4890</v>
      </c>
      <c r="O598" s="1127">
        <v>1</v>
      </c>
      <c r="P598" s="1127"/>
      <c r="Q598" s="1126"/>
      <c r="R598" s="1126"/>
      <c r="S598" s="1126"/>
      <c r="T598" s="1129"/>
      <c r="U598" s="1130"/>
      <c r="V598" s="1127"/>
      <c r="W598" s="1127">
        <f>AD598</f>
        <v>1610</v>
      </c>
      <c r="X598" s="1127">
        <f>(N598+V598+Q599+S598)*O598+W598</f>
        <v>6500</v>
      </c>
      <c r="Y598" s="1112"/>
      <c r="Z598" s="1112">
        <f>X598+Y598</f>
        <v>6500</v>
      </c>
      <c r="AA598" s="1109">
        <f>Z598</f>
        <v>6500</v>
      </c>
      <c r="AB598" s="1109">
        <f>AA598-X598</f>
        <v>0</v>
      </c>
      <c r="AC598" s="1127">
        <f>6500*O598</f>
        <v>6500</v>
      </c>
      <c r="AD598" s="1127">
        <f>AC598-(N598*O598)</f>
        <v>1610</v>
      </c>
      <c r="AE598" s="190">
        <f t="shared" si="236"/>
        <v>4890</v>
      </c>
      <c r="AF598" s="190">
        <f t="shared" si="237"/>
        <v>0</v>
      </c>
      <c r="AG598" s="190">
        <f t="shared" si="238"/>
        <v>4890</v>
      </c>
      <c r="AH598" s="190">
        <f t="shared" si="239"/>
        <v>0</v>
      </c>
      <c r="AI598" s="190">
        <f t="shared" si="246"/>
        <v>0</v>
      </c>
      <c r="AJ598" s="190">
        <f t="shared" si="246"/>
        <v>0</v>
      </c>
      <c r="AK598" s="464">
        <f t="shared" si="240"/>
        <v>0</v>
      </c>
      <c r="AL598" s="464">
        <f t="shared" si="241"/>
        <v>0</v>
      </c>
      <c r="AM598" s="464">
        <f t="shared" si="242"/>
        <v>1610</v>
      </c>
      <c r="AN598" s="464">
        <f t="shared" si="243"/>
        <v>0</v>
      </c>
      <c r="AO598" s="464">
        <f t="shared" si="244"/>
        <v>0</v>
      </c>
      <c r="AP598" s="464">
        <f t="shared" si="247"/>
        <v>4890</v>
      </c>
      <c r="AQ598" s="464">
        <f t="shared" si="247"/>
        <v>0</v>
      </c>
      <c r="AR598" s="190"/>
      <c r="AS598" s="464">
        <f t="shared" si="245"/>
        <v>4890</v>
      </c>
    </row>
    <row r="599" spans="1:45" s="191" customFormat="1" ht="24.95" customHeight="1">
      <c r="A599" s="1129"/>
      <c r="B599" s="1129"/>
      <c r="C599" s="1128"/>
      <c r="D599" s="1129"/>
      <c r="E599" s="1129"/>
      <c r="F599" s="1129"/>
      <c r="G599" s="1127"/>
      <c r="H599" s="1127"/>
      <c r="I599" s="1127"/>
      <c r="J599" s="1127"/>
      <c r="K599" s="1127"/>
      <c r="L599" s="1127"/>
      <c r="M599" s="1127"/>
      <c r="N599" s="1127"/>
      <c r="O599" s="1127"/>
      <c r="P599" s="1127"/>
      <c r="Q599" s="1126"/>
      <c r="R599" s="1126"/>
      <c r="S599" s="1126"/>
      <c r="T599" s="1129"/>
      <c r="U599" s="1130"/>
      <c r="V599" s="1127"/>
      <c r="W599" s="1127"/>
      <c r="X599" s="1127"/>
      <c r="Y599" s="1112"/>
      <c r="Z599" s="1112"/>
      <c r="AA599" s="1109"/>
      <c r="AB599" s="1109"/>
      <c r="AC599" s="1127"/>
      <c r="AD599" s="1127"/>
      <c r="AE599" s="190">
        <f t="shared" si="236"/>
        <v>0</v>
      </c>
      <c r="AF599" s="190">
        <f t="shared" si="237"/>
        <v>0</v>
      </c>
      <c r="AG599" s="190">
        <f t="shared" si="238"/>
        <v>0</v>
      </c>
      <c r="AH599" s="190">
        <f t="shared" si="239"/>
        <v>0</v>
      </c>
      <c r="AI599" s="190">
        <f t="shared" si="246"/>
        <v>0</v>
      </c>
      <c r="AJ599" s="190">
        <f t="shared" si="246"/>
        <v>0</v>
      </c>
      <c r="AK599" s="464">
        <f t="shared" si="240"/>
        <v>0</v>
      </c>
      <c r="AL599" s="464">
        <f t="shared" si="241"/>
        <v>0</v>
      </c>
      <c r="AM599" s="464">
        <f t="shared" si="242"/>
        <v>0</v>
      </c>
      <c r="AN599" s="464">
        <f t="shared" si="243"/>
        <v>0</v>
      </c>
      <c r="AO599" s="464">
        <f t="shared" si="244"/>
        <v>0</v>
      </c>
      <c r="AP599" s="464">
        <f t="shared" si="247"/>
        <v>0</v>
      </c>
      <c r="AQ599" s="464">
        <f t="shared" si="247"/>
        <v>0</v>
      </c>
      <c r="AR599" s="190"/>
      <c r="AS599" s="464">
        <f t="shared" si="245"/>
        <v>0</v>
      </c>
    </row>
    <row r="600" spans="1:45" s="191" customFormat="1" ht="24.95" customHeight="1">
      <c r="A600" s="1129"/>
      <c r="B600" s="1129"/>
      <c r="C600" s="1128" t="s">
        <v>813</v>
      </c>
      <c r="D600" s="1129" t="s">
        <v>814</v>
      </c>
      <c r="E600" s="1129" t="s">
        <v>815</v>
      </c>
      <c r="F600" s="1129">
        <v>8</v>
      </c>
      <c r="G600" s="1127">
        <v>4890</v>
      </c>
      <c r="H600" s="1127"/>
      <c r="I600" s="1127"/>
      <c r="J600" s="1127"/>
      <c r="K600" s="1127"/>
      <c r="L600" s="1127"/>
      <c r="M600" s="1127"/>
      <c r="N600" s="1127">
        <f>G600+H601</f>
        <v>4890</v>
      </c>
      <c r="O600" s="1127">
        <v>1</v>
      </c>
      <c r="P600" s="1127"/>
      <c r="Q600" s="1126"/>
      <c r="R600" s="1126"/>
      <c r="S600" s="1126"/>
      <c r="T600" s="1129"/>
      <c r="U600" s="1130"/>
      <c r="V600" s="1127"/>
      <c r="W600" s="1127">
        <f>AD600</f>
        <v>1810</v>
      </c>
      <c r="X600" s="1127">
        <f>(N600+V600+Q601+S600)*O600+W600</f>
        <v>6700</v>
      </c>
      <c r="Y600" s="1112"/>
      <c r="Z600" s="1112">
        <f>X600+Y600</f>
        <v>6700</v>
      </c>
      <c r="AA600" s="1109">
        <f>Z600</f>
        <v>6700</v>
      </c>
      <c r="AB600" s="1109">
        <f>AA600-X600</f>
        <v>0</v>
      </c>
      <c r="AC600" s="1127">
        <f>6700*O600</f>
        <v>6700</v>
      </c>
      <c r="AD600" s="1127">
        <f>AC600-(N600*O600)</f>
        <v>1810</v>
      </c>
      <c r="AE600" s="190">
        <f t="shared" si="227"/>
        <v>4890</v>
      </c>
      <c r="AF600" s="190">
        <f t="shared" si="228"/>
        <v>0</v>
      </c>
      <c r="AG600" s="190">
        <f t="shared" si="229"/>
        <v>4890</v>
      </c>
      <c r="AH600" s="190">
        <f t="shared" si="230"/>
        <v>0</v>
      </c>
      <c r="AI600" s="190">
        <f t="shared" si="235"/>
        <v>0</v>
      </c>
      <c r="AJ600" s="190">
        <f t="shared" si="235"/>
        <v>0</v>
      </c>
      <c r="AK600" s="464">
        <f t="shared" si="231"/>
        <v>0</v>
      </c>
      <c r="AL600" s="464">
        <f t="shared" si="232"/>
        <v>0</v>
      </c>
      <c r="AM600" s="464">
        <f t="shared" si="233"/>
        <v>1810</v>
      </c>
      <c r="AN600" s="464">
        <f t="shared" si="221"/>
        <v>0</v>
      </c>
      <c r="AO600" s="464">
        <f t="shared" si="222"/>
        <v>0</v>
      </c>
      <c r="AP600" s="464">
        <f t="shared" si="234"/>
        <v>4890</v>
      </c>
      <c r="AQ600" s="464">
        <f t="shared" si="234"/>
        <v>0</v>
      </c>
      <c r="AR600" s="190"/>
      <c r="AS600" s="464">
        <f t="shared" si="217"/>
        <v>4890</v>
      </c>
    </row>
    <row r="601" spans="1:45" s="191" customFormat="1" ht="24.95" customHeight="1">
      <c r="A601" s="1129"/>
      <c r="B601" s="1129"/>
      <c r="C601" s="1128"/>
      <c r="D601" s="1129"/>
      <c r="E601" s="1129"/>
      <c r="F601" s="1129"/>
      <c r="G601" s="1127"/>
      <c r="H601" s="1127"/>
      <c r="I601" s="1127"/>
      <c r="J601" s="1127"/>
      <c r="K601" s="1127"/>
      <c r="L601" s="1127"/>
      <c r="M601" s="1127"/>
      <c r="N601" s="1127"/>
      <c r="O601" s="1127"/>
      <c r="P601" s="1127"/>
      <c r="Q601" s="1126"/>
      <c r="R601" s="1126"/>
      <c r="S601" s="1126"/>
      <c r="T601" s="1129"/>
      <c r="U601" s="1130"/>
      <c r="V601" s="1127"/>
      <c r="W601" s="1127"/>
      <c r="X601" s="1127"/>
      <c r="Y601" s="1112"/>
      <c r="Z601" s="1112"/>
      <c r="AA601" s="1109"/>
      <c r="AB601" s="1109"/>
      <c r="AC601" s="1127"/>
      <c r="AD601" s="1127"/>
      <c r="AE601" s="190">
        <f t="shared" si="227"/>
        <v>0</v>
      </c>
      <c r="AF601" s="190">
        <f t="shared" si="228"/>
        <v>0</v>
      </c>
      <c r="AG601" s="190">
        <f t="shared" si="229"/>
        <v>0</v>
      </c>
      <c r="AH601" s="190">
        <f t="shared" si="230"/>
        <v>0</v>
      </c>
      <c r="AI601" s="190">
        <f t="shared" si="235"/>
        <v>0</v>
      </c>
      <c r="AJ601" s="190">
        <f t="shared" si="235"/>
        <v>0</v>
      </c>
      <c r="AK601" s="464">
        <f t="shared" si="231"/>
        <v>0</v>
      </c>
      <c r="AL601" s="464">
        <f t="shared" si="232"/>
        <v>0</v>
      </c>
      <c r="AM601" s="464">
        <f t="shared" si="233"/>
        <v>0</v>
      </c>
      <c r="AN601" s="464">
        <f t="shared" si="221"/>
        <v>0</v>
      </c>
      <c r="AO601" s="464">
        <f t="shared" si="222"/>
        <v>0</v>
      </c>
      <c r="AP601" s="464">
        <f t="shared" si="234"/>
        <v>0</v>
      </c>
      <c r="AQ601" s="464">
        <f t="shared" si="234"/>
        <v>0</v>
      </c>
      <c r="AR601" s="190"/>
      <c r="AS601" s="464">
        <f t="shared" si="217"/>
        <v>0</v>
      </c>
    </row>
    <row r="602" spans="1:45" s="446" customFormat="1" ht="24.95" customHeight="1">
      <c r="A602" s="1134"/>
      <c r="B602" s="441"/>
      <c r="C602" s="442" t="s">
        <v>318</v>
      </c>
      <c r="D602" s="443"/>
      <c r="E602" s="441"/>
      <c r="F602" s="441"/>
      <c r="G602" s="445">
        <f>SUM(G560:G601)</f>
        <v>113346.88</v>
      </c>
      <c r="H602" s="441"/>
      <c r="I602" s="441"/>
      <c r="J602" s="441"/>
      <c r="K602" s="441"/>
      <c r="L602" s="441"/>
      <c r="M602" s="441"/>
      <c r="N602" s="445">
        <f>SUM(N560:N601)</f>
        <v>116585.962</v>
      </c>
      <c r="O602" s="444">
        <f>SUM(O560:O601)</f>
        <v>18.5</v>
      </c>
      <c r="P602" s="444">
        <f>SUM(P560:P601)</f>
        <v>0.5</v>
      </c>
      <c r="Q602" s="444"/>
      <c r="R602" s="444"/>
      <c r="S602" s="444"/>
      <c r="T602" s="444"/>
      <c r="U602" s="444"/>
      <c r="V602" s="444"/>
      <c r="W602" s="445">
        <f t="shared" ref="W602:AD602" si="248">SUM(W560:W601)</f>
        <v>32601</v>
      </c>
      <c r="X602" s="445">
        <f t="shared" si="248"/>
        <v>138332.962</v>
      </c>
      <c r="Y602" s="445">
        <f t="shared" si="248"/>
        <v>0</v>
      </c>
      <c r="Z602" s="445">
        <f t="shared" si="248"/>
        <v>138332.962</v>
      </c>
      <c r="AA602" s="502">
        <f t="shared" si="248"/>
        <v>138332.962</v>
      </c>
      <c r="AB602" s="502">
        <f t="shared" si="248"/>
        <v>0</v>
      </c>
      <c r="AC602" s="445">
        <f t="shared" si="248"/>
        <v>126900</v>
      </c>
      <c r="AD602" s="445">
        <f t="shared" si="248"/>
        <v>32601</v>
      </c>
      <c r="AE602" s="436"/>
      <c r="AF602" s="436"/>
      <c r="AG602" s="436"/>
      <c r="AH602" s="436"/>
      <c r="AI602" s="436"/>
      <c r="AJ602" s="436"/>
      <c r="AK602" s="437"/>
      <c r="AL602" s="437"/>
      <c r="AM602" s="437"/>
      <c r="AN602" s="437"/>
      <c r="AO602" s="437"/>
      <c r="AP602" s="437">
        <f t="shared" si="234"/>
        <v>0</v>
      </c>
      <c r="AQ602" s="437">
        <f t="shared" si="234"/>
        <v>0</v>
      </c>
      <c r="AR602" s="436"/>
      <c r="AS602" s="437">
        <f t="shared" ref="AS602:AS641" si="249">AP602+AQ602-AR602</f>
        <v>0</v>
      </c>
    </row>
    <row r="603" spans="1:45" s="456" customFormat="1" ht="24.95" customHeight="1">
      <c r="A603" s="1134"/>
      <c r="B603" s="455"/>
      <c r="C603" s="1135" t="s">
        <v>816</v>
      </c>
      <c r="D603" s="1135"/>
      <c r="E603" s="455"/>
      <c r="F603" s="455"/>
      <c r="G603" s="455"/>
      <c r="H603" s="455"/>
      <c r="I603" s="455"/>
      <c r="J603" s="455"/>
      <c r="K603" s="455"/>
      <c r="L603" s="455"/>
      <c r="M603" s="455"/>
      <c r="N603" s="455"/>
      <c r="O603" s="455"/>
      <c r="P603" s="455"/>
      <c r="Q603" s="455"/>
      <c r="R603" s="455"/>
      <c r="S603" s="455"/>
      <c r="T603" s="455"/>
      <c r="U603" s="455"/>
      <c r="V603" s="455"/>
      <c r="W603" s="455"/>
      <c r="X603" s="455"/>
      <c r="Y603" s="455"/>
      <c r="Z603" s="455"/>
      <c r="AA603" s="504"/>
      <c r="AB603" s="504"/>
      <c r="AC603" s="455"/>
      <c r="AD603" s="455"/>
      <c r="AE603" s="436"/>
      <c r="AF603" s="436"/>
      <c r="AG603" s="436"/>
      <c r="AH603" s="436"/>
      <c r="AI603" s="436"/>
      <c r="AJ603" s="436"/>
      <c r="AK603" s="437"/>
      <c r="AL603" s="437"/>
      <c r="AM603" s="437"/>
      <c r="AN603" s="437"/>
      <c r="AO603" s="437"/>
      <c r="AP603" s="437">
        <f t="shared" si="234"/>
        <v>0</v>
      </c>
      <c r="AQ603" s="437">
        <f t="shared" si="234"/>
        <v>0</v>
      </c>
      <c r="AR603" s="436"/>
      <c r="AS603" s="437">
        <f t="shared" si="249"/>
        <v>0</v>
      </c>
    </row>
    <row r="604" spans="1:45" s="191" customFormat="1" ht="24.95" customHeight="1">
      <c r="A604" s="1129"/>
      <c r="B604" s="1129"/>
      <c r="C604" s="1128" t="s">
        <v>817</v>
      </c>
      <c r="D604" s="1129" t="s">
        <v>818</v>
      </c>
      <c r="E604" s="1129" t="s">
        <v>819</v>
      </c>
      <c r="F604" s="1129">
        <v>3</v>
      </c>
      <c r="G604" s="1127">
        <v>3519</v>
      </c>
      <c r="H604" s="302">
        <v>0.2</v>
      </c>
      <c r="I604" s="1127"/>
      <c r="J604" s="1127"/>
      <c r="K604" s="1127"/>
      <c r="L604" s="1127"/>
      <c r="M604" s="1127"/>
      <c r="N604" s="1127">
        <f>G604+H605</f>
        <v>4222.8</v>
      </c>
      <c r="O604" s="1127">
        <v>1</v>
      </c>
      <c r="P604" s="1126"/>
      <c r="Q604" s="1126"/>
      <c r="R604" s="1126"/>
      <c r="S604" s="1126"/>
      <c r="T604" s="1129"/>
      <c r="U604" s="1130"/>
      <c r="V604" s="1127"/>
      <c r="W604" s="1127">
        <f>AD604</f>
        <v>2477.1999999999998</v>
      </c>
      <c r="X604" s="1127">
        <f>(N604+V604+Q605+S604)*O604+W604</f>
        <v>6700</v>
      </c>
      <c r="Y604" s="1112"/>
      <c r="Z604" s="1112">
        <f>X604+Y604</f>
        <v>6700</v>
      </c>
      <c r="AA604" s="1109">
        <f t="shared" ref="AA604:AA660" si="250">Z604</f>
        <v>6700</v>
      </c>
      <c r="AB604" s="1109">
        <f>AA604-X604</f>
        <v>0</v>
      </c>
      <c r="AC604" s="1127">
        <f>6700*O604</f>
        <v>6700</v>
      </c>
      <c r="AD604" s="1127">
        <f>AC604-(N604*O604)</f>
        <v>2477.1999999999998</v>
      </c>
      <c r="AE604" s="190">
        <f t="shared" ref="AE604:AE641" si="251">G604*O604</f>
        <v>3519</v>
      </c>
      <c r="AF604" s="190">
        <f t="shared" ref="AF604:AF641" si="252">G604*P604</f>
        <v>0</v>
      </c>
      <c r="AG604" s="190">
        <f t="shared" ref="AG604:AG641" si="253">N604*O604</f>
        <v>4222.8</v>
      </c>
      <c r="AH604" s="190">
        <f t="shared" ref="AH604:AH641" si="254">N604*P604</f>
        <v>0</v>
      </c>
      <c r="AI604" s="190">
        <f t="shared" ref="AI604:AJ631" si="255">AG604-AE604</f>
        <v>703.80000000000018</v>
      </c>
      <c r="AJ604" s="190">
        <f t="shared" si="255"/>
        <v>0</v>
      </c>
      <c r="AK604" s="464">
        <f t="shared" ref="AK604:AK641" si="256">V604*O604</f>
        <v>0</v>
      </c>
      <c r="AL604" s="464">
        <f t="shared" ref="AL604:AL641" si="257">V604*P604</f>
        <v>0</v>
      </c>
      <c r="AM604" s="464">
        <f t="shared" ref="AM604:AM641" si="258">W604</f>
        <v>2477.1999999999998</v>
      </c>
      <c r="AN604" s="464">
        <f t="shared" ref="AN604:AN661" si="259">S604*O604</f>
        <v>0</v>
      </c>
      <c r="AO604" s="464">
        <f t="shared" ref="AO604:AO661" si="260">S604*P604</f>
        <v>0</v>
      </c>
      <c r="AP604" s="464">
        <f t="shared" si="234"/>
        <v>4222.8</v>
      </c>
      <c r="AQ604" s="464">
        <f t="shared" si="234"/>
        <v>0</v>
      </c>
      <c r="AR604" s="190"/>
      <c r="AS604" s="464">
        <f t="shared" si="249"/>
        <v>4222.8</v>
      </c>
    </row>
    <row r="605" spans="1:45" s="191" customFormat="1" ht="24.95" customHeight="1">
      <c r="A605" s="1129"/>
      <c r="B605" s="1129"/>
      <c r="C605" s="1128"/>
      <c r="D605" s="1129"/>
      <c r="E605" s="1129"/>
      <c r="F605" s="1129"/>
      <c r="G605" s="1133"/>
      <c r="H605" s="300">
        <f>G604*H604</f>
        <v>703.80000000000007</v>
      </c>
      <c r="I605" s="1127"/>
      <c r="J605" s="1127"/>
      <c r="K605" s="1127"/>
      <c r="L605" s="1127"/>
      <c r="M605" s="1127"/>
      <c r="N605" s="1127"/>
      <c r="O605" s="1127"/>
      <c r="P605" s="1126"/>
      <c r="Q605" s="1126"/>
      <c r="R605" s="1126"/>
      <c r="S605" s="1126"/>
      <c r="T605" s="1129"/>
      <c r="U605" s="1130"/>
      <c r="V605" s="1127"/>
      <c r="W605" s="1127"/>
      <c r="X605" s="1127"/>
      <c r="Y605" s="1112"/>
      <c r="Z605" s="1112"/>
      <c r="AA605" s="1109"/>
      <c r="AB605" s="1109"/>
      <c r="AC605" s="1127"/>
      <c r="AD605" s="1127"/>
      <c r="AE605" s="190">
        <f t="shared" si="251"/>
        <v>0</v>
      </c>
      <c r="AF605" s="190">
        <f t="shared" si="252"/>
        <v>0</v>
      </c>
      <c r="AG605" s="190">
        <f t="shared" si="253"/>
        <v>0</v>
      </c>
      <c r="AH605" s="190">
        <f t="shared" si="254"/>
        <v>0</v>
      </c>
      <c r="AI605" s="190">
        <f t="shared" si="255"/>
        <v>0</v>
      </c>
      <c r="AJ605" s="190">
        <f t="shared" si="255"/>
        <v>0</v>
      </c>
      <c r="AK605" s="464">
        <f t="shared" si="256"/>
        <v>0</v>
      </c>
      <c r="AL605" s="464">
        <f t="shared" si="257"/>
        <v>0</v>
      </c>
      <c r="AM605" s="464">
        <f t="shared" si="258"/>
        <v>0</v>
      </c>
      <c r="AN605" s="464">
        <f t="shared" si="259"/>
        <v>0</v>
      </c>
      <c r="AO605" s="464">
        <f t="shared" si="260"/>
        <v>0</v>
      </c>
      <c r="AP605" s="464">
        <f t="shared" si="234"/>
        <v>0</v>
      </c>
      <c r="AQ605" s="464">
        <f t="shared" si="234"/>
        <v>0</v>
      </c>
      <c r="AR605" s="190"/>
      <c r="AS605" s="464">
        <f t="shared" si="249"/>
        <v>0</v>
      </c>
    </row>
    <row r="606" spans="1:45" s="191" customFormat="1" ht="24.95" customHeight="1">
      <c r="A606" s="1129"/>
      <c r="B606" s="1129"/>
      <c r="C606" s="1128" t="s">
        <v>817</v>
      </c>
      <c r="D606" s="1129" t="s">
        <v>818</v>
      </c>
      <c r="E606" s="1129" t="s">
        <v>819</v>
      </c>
      <c r="F606" s="1129">
        <v>3</v>
      </c>
      <c r="G606" s="1127">
        <v>3519</v>
      </c>
      <c r="H606" s="302">
        <v>0.2</v>
      </c>
      <c r="I606" s="1127"/>
      <c r="J606" s="1127"/>
      <c r="K606" s="1127"/>
      <c r="L606" s="1127"/>
      <c r="M606" s="1127"/>
      <c r="N606" s="1127">
        <f>G606+H607</f>
        <v>4222.8</v>
      </c>
      <c r="O606" s="1127"/>
      <c r="P606" s="1127">
        <v>0.5</v>
      </c>
      <c r="Q606" s="1126"/>
      <c r="R606" s="1126"/>
      <c r="S606" s="1126"/>
      <c r="T606" s="1129"/>
      <c r="U606" s="1130"/>
      <c r="V606" s="1127"/>
      <c r="W606" s="1127">
        <f>AD606</f>
        <v>1238.5999999999999</v>
      </c>
      <c r="X606" s="1127">
        <f>(N606+V606+Q607+S606)*P606+W606</f>
        <v>3350</v>
      </c>
      <c r="Y606" s="1112"/>
      <c r="Z606" s="1112">
        <f>X606+Y606</f>
        <v>3350</v>
      </c>
      <c r="AA606" s="1109">
        <f t="shared" si="250"/>
        <v>3350</v>
      </c>
      <c r="AB606" s="1109">
        <f>AA606-X606</f>
        <v>0</v>
      </c>
      <c r="AC606" s="1127">
        <f>6700*P606</f>
        <v>3350</v>
      </c>
      <c r="AD606" s="1127">
        <f>AC606-(N606*P606)</f>
        <v>1238.5999999999999</v>
      </c>
      <c r="AE606" s="190">
        <f t="shared" si="251"/>
        <v>0</v>
      </c>
      <c r="AF606" s="190">
        <f t="shared" si="252"/>
        <v>1759.5</v>
      </c>
      <c r="AG606" s="190">
        <f t="shared" si="253"/>
        <v>0</v>
      </c>
      <c r="AH606" s="190">
        <f t="shared" si="254"/>
        <v>2111.4</v>
      </c>
      <c r="AI606" s="190">
        <f t="shared" si="255"/>
        <v>0</v>
      </c>
      <c r="AJ606" s="190">
        <f t="shared" si="255"/>
        <v>351.90000000000009</v>
      </c>
      <c r="AK606" s="464">
        <f t="shared" si="256"/>
        <v>0</v>
      </c>
      <c r="AL606" s="464">
        <f t="shared" si="257"/>
        <v>0</v>
      </c>
      <c r="AM606" s="464">
        <f t="shared" si="258"/>
        <v>1238.5999999999999</v>
      </c>
      <c r="AN606" s="464">
        <f t="shared" si="259"/>
        <v>0</v>
      </c>
      <c r="AO606" s="464">
        <f t="shared" si="260"/>
        <v>0</v>
      </c>
      <c r="AP606" s="464">
        <f t="shared" si="234"/>
        <v>0</v>
      </c>
      <c r="AQ606" s="464">
        <f t="shared" si="234"/>
        <v>2111.4</v>
      </c>
      <c r="AR606" s="190"/>
      <c r="AS606" s="464">
        <f t="shared" si="249"/>
        <v>2111.4</v>
      </c>
    </row>
    <row r="607" spans="1:45" s="191" customFormat="1" ht="24.95" customHeight="1">
      <c r="A607" s="1129"/>
      <c r="B607" s="1129"/>
      <c r="C607" s="1128"/>
      <c r="D607" s="1129"/>
      <c r="E607" s="1129"/>
      <c r="F607" s="1129"/>
      <c r="G607" s="1133"/>
      <c r="H607" s="300">
        <f>G606*H606</f>
        <v>703.80000000000007</v>
      </c>
      <c r="I607" s="1127"/>
      <c r="J607" s="1127"/>
      <c r="K607" s="1127"/>
      <c r="L607" s="1127"/>
      <c r="M607" s="1127"/>
      <c r="N607" s="1127"/>
      <c r="O607" s="1127"/>
      <c r="P607" s="1126"/>
      <c r="Q607" s="1126"/>
      <c r="R607" s="1126"/>
      <c r="S607" s="1126"/>
      <c r="T607" s="1129"/>
      <c r="U607" s="1130"/>
      <c r="V607" s="1127"/>
      <c r="W607" s="1127"/>
      <c r="X607" s="1127"/>
      <c r="Y607" s="1112"/>
      <c r="Z607" s="1112"/>
      <c r="AA607" s="1109"/>
      <c r="AB607" s="1109"/>
      <c r="AC607" s="1127"/>
      <c r="AD607" s="1127"/>
      <c r="AE607" s="190">
        <f t="shared" si="251"/>
        <v>0</v>
      </c>
      <c r="AF607" s="190">
        <f t="shared" si="252"/>
        <v>0</v>
      </c>
      <c r="AG607" s="190">
        <f t="shared" si="253"/>
        <v>0</v>
      </c>
      <c r="AH607" s="190">
        <f t="shared" si="254"/>
        <v>0</v>
      </c>
      <c r="AI607" s="190">
        <f t="shared" si="255"/>
        <v>0</v>
      </c>
      <c r="AJ607" s="190">
        <f t="shared" si="255"/>
        <v>0</v>
      </c>
      <c r="AK607" s="464">
        <f t="shared" si="256"/>
        <v>0</v>
      </c>
      <c r="AL607" s="464">
        <f t="shared" si="257"/>
        <v>0</v>
      </c>
      <c r="AM607" s="464">
        <f t="shared" si="258"/>
        <v>0</v>
      </c>
      <c r="AN607" s="464">
        <f t="shared" si="259"/>
        <v>0</v>
      </c>
      <c r="AO607" s="464">
        <f t="shared" si="260"/>
        <v>0</v>
      </c>
      <c r="AP607" s="464">
        <f t="shared" si="234"/>
        <v>0</v>
      </c>
      <c r="AQ607" s="464">
        <f t="shared" si="234"/>
        <v>0</v>
      </c>
      <c r="AR607" s="190"/>
      <c r="AS607" s="464">
        <f t="shared" si="249"/>
        <v>0</v>
      </c>
    </row>
    <row r="608" spans="1:45" s="191" customFormat="1" ht="24.95" customHeight="1">
      <c r="A608" s="1129"/>
      <c r="B608" s="1129"/>
      <c r="C608" s="1128" t="s">
        <v>817</v>
      </c>
      <c r="D608" s="1129" t="s">
        <v>818</v>
      </c>
      <c r="E608" s="1129" t="s">
        <v>820</v>
      </c>
      <c r="F608" s="1129">
        <v>4</v>
      </c>
      <c r="G608" s="1127">
        <v>3787</v>
      </c>
      <c r="H608" s="302">
        <v>0.2</v>
      </c>
      <c r="I608" s="1127"/>
      <c r="J608" s="1127"/>
      <c r="K608" s="1127"/>
      <c r="L608" s="1127"/>
      <c r="M608" s="1127"/>
      <c r="N608" s="1127">
        <f>G608+H609</f>
        <v>4544.3999999999996</v>
      </c>
      <c r="O608" s="1127">
        <v>1</v>
      </c>
      <c r="P608" s="1127"/>
      <c r="Q608" s="1126"/>
      <c r="R608" s="1126"/>
      <c r="S608" s="1126"/>
      <c r="T608" s="1129"/>
      <c r="U608" s="1130"/>
      <c r="V608" s="1127"/>
      <c r="W608" s="1127">
        <f>AD608</f>
        <v>2155.6000000000004</v>
      </c>
      <c r="X608" s="1127">
        <f>(N608+V608+Q609+S608)*O608+W608</f>
        <v>6700</v>
      </c>
      <c r="Y608" s="1112"/>
      <c r="Z608" s="1112">
        <f>X608+Y608</f>
        <v>6700</v>
      </c>
      <c r="AA608" s="1109">
        <f t="shared" si="250"/>
        <v>6700</v>
      </c>
      <c r="AB608" s="1109">
        <f>AA608-X608</f>
        <v>0</v>
      </c>
      <c r="AC608" s="1127">
        <f>6700*O608</f>
        <v>6700</v>
      </c>
      <c r="AD608" s="1127">
        <f>AC608-(N608*O608)</f>
        <v>2155.6000000000004</v>
      </c>
      <c r="AE608" s="190">
        <f t="shared" si="251"/>
        <v>3787</v>
      </c>
      <c r="AF608" s="190">
        <f t="shared" si="252"/>
        <v>0</v>
      </c>
      <c r="AG608" s="190">
        <f t="shared" si="253"/>
        <v>4544.3999999999996</v>
      </c>
      <c r="AH608" s="190">
        <f t="shared" si="254"/>
        <v>0</v>
      </c>
      <c r="AI608" s="190">
        <f t="shared" si="255"/>
        <v>757.39999999999964</v>
      </c>
      <c r="AJ608" s="190">
        <f t="shared" si="255"/>
        <v>0</v>
      </c>
      <c r="AK608" s="464">
        <f t="shared" si="256"/>
        <v>0</v>
      </c>
      <c r="AL608" s="464">
        <f t="shared" si="257"/>
        <v>0</v>
      </c>
      <c r="AM608" s="464">
        <f t="shared" si="258"/>
        <v>2155.6000000000004</v>
      </c>
      <c r="AN608" s="464">
        <f t="shared" si="259"/>
        <v>0</v>
      </c>
      <c r="AO608" s="464">
        <f t="shared" si="260"/>
        <v>0</v>
      </c>
      <c r="AP608" s="464">
        <f t="shared" ref="AP608:AQ631" si="261">AG608</f>
        <v>4544.3999999999996</v>
      </c>
      <c r="AQ608" s="464">
        <f t="shared" si="261"/>
        <v>0</v>
      </c>
      <c r="AR608" s="190"/>
      <c r="AS608" s="464">
        <f t="shared" si="249"/>
        <v>4544.3999999999996</v>
      </c>
    </row>
    <row r="609" spans="1:45" s="191" customFormat="1" ht="24.95" customHeight="1">
      <c r="A609" s="1129"/>
      <c r="B609" s="1129"/>
      <c r="C609" s="1128"/>
      <c r="D609" s="1129"/>
      <c r="E609" s="1129"/>
      <c r="F609" s="1129"/>
      <c r="G609" s="1133"/>
      <c r="H609" s="300">
        <f>G608*H608</f>
        <v>757.40000000000009</v>
      </c>
      <c r="I609" s="1127"/>
      <c r="J609" s="1127"/>
      <c r="K609" s="1127"/>
      <c r="L609" s="1127"/>
      <c r="M609" s="1127"/>
      <c r="N609" s="1127"/>
      <c r="O609" s="1127"/>
      <c r="P609" s="1126"/>
      <c r="Q609" s="1126"/>
      <c r="R609" s="1126"/>
      <c r="S609" s="1126"/>
      <c r="T609" s="1129"/>
      <c r="U609" s="1130"/>
      <c r="V609" s="1127"/>
      <c r="W609" s="1127"/>
      <c r="X609" s="1127"/>
      <c r="Y609" s="1112"/>
      <c r="Z609" s="1112"/>
      <c r="AA609" s="1109"/>
      <c r="AB609" s="1109"/>
      <c r="AC609" s="1127"/>
      <c r="AD609" s="1127"/>
      <c r="AE609" s="190">
        <f t="shared" si="251"/>
        <v>0</v>
      </c>
      <c r="AF609" s="190">
        <f t="shared" si="252"/>
        <v>0</v>
      </c>
      <c r="AG609" s="190">
        <f t="shared" si="253"/>
        <v>0</v>
      </c>
      <c r="AH609" s="190">
        <f t="shared" si="254"/>
        <v>0</v>
      </c>
      <c r="AI609" s="190">
        <f t="shared" si="255"/>
        <v>0</v>
      </c>
      <c r="AJ609" s="190">
        <f t="shared" si="255"/>
        <v>0</v>
      </c>
      <c r="AK609" s="464">
        <f t="shared" si="256"/>
        <v>0</v>
      </c>
      <c r="AL609" s="464">
        <f t="shared" si="257"/>
        <v>0</v>
      </c>
      <c r="AM609" s="464">
        <f t="shared" si="258"/>
        <v>0</v>
      </c>
      <c r="AN609" s="464">
        <f t="shared" si="259"/>
        <v>0</v>
      </c>
      <c r="AO609" s="464">
        <f t="shared" si="260"/>
        <v>0</v>
      </c>
      <c r="AP609" s="464">
        <f t="shared" si="261"/>
        <v>0</v>
      </c>
      <c r="AQ609" s="464">
        <f t="shared" si="261"/>
        <v>0</v>
      </c>
      <c r="AR609" s="190"/>
      <c r="AS609" s="464">
        <f t="shared" si="249"/>
        <v>0</v>
      </c>
    </row>
    <row r="610" spans="1:45" s="191" customFormat="1" ht="24.95" customHeight="1">
      <c r="A610" s="1129"/>
      <c r="B610" s="1129"/>
      <c r="C610" s="1128" t="s">
        <v>817</v>
      </c>
      <c r="D610" s="1129" t="s">
        <v>818</v>
      </c>
      <c r="E610" s="1129" t="s">
        <v>820</v>
      </c>
      <c r="F610" s="1129">
        <v>4</v>
      </c>
      <c r="G610" s="1127">
        <v>3787</v>
      </c>
      <c r="H610" s="302">
        <v>0.2</v>
      </c>
      <c r="I610" s="1127"/>
      <c r="J610" s="1127"/>
      <c r="K610" s="1127"/>
      <c r="L610" s="1127"/>
      <c r="M610" s="1127"/>
      <c r="N610" s="1127">
        <f>G610+H611</f>
        <v>4544.3999999999996</v>
      </c>
      <c r="O610" s="1127"/>
      <c r="P610" s="1127">
        <v>0.5</v>
      </c>
      <c r="Q610" s="1126"/>
      <c r="R610" s="1126"/>
      <c r="S610" s="1126"/>
      <c r="T610" s="1129"/>
      <c r="U610" s="1130"/>
      <c r="V610" s="1127"/>
      <c r="W610" s="1127">
        <f>AD610</f>
        <v>1077.8000000000002</v>
      </c>
      <c r="X610" s="1127">
        <f>(N610+V610+Q611+S610)*P610+W610</f>
        <v>3350</v>
      </c>
      <c r="Y610" s="1112"/>
      <c r="Z610" s="1112">
        <f>X610+Y610</f>
        <v>3350</v>
      </c>
      <c r="AA610" s="1109">
        <f t="shared" si="250"/>
        <v>3350</v>
      </c>
      <c r="AB610" s="1109">
        <f>AA610-X610</f>
        <v>0</v>
      </c>
      <c r="AC610" s="1127">
        <f>6700*P610</f>
        <v>3350</v>
      </c>
      <c r="AD610" s="1127">
        <f>AC610-(N610*P610)</f>
        <v>1077.8000000000002</v>
      </c>
      <c r="AE610" s="190">
        <f t="shared" si="251"/>
        <v>0</v>
      </c>
      <c r="AF610" s="190">
        <f t="shared" si="252"/>
        <v>1893.5</v>
      </c>
      <c r="AG610" s="190">
        <f t="shared" si="253"/>
        <v>0</v>
      </c>
      <c r="AH610" s="190">
        <f t="shared" si="254"/>
        <v>2272.1999999999998</v>
      </c>
      <c r="AI610" s="190">
        <f t="shared" si="255"/>
        <v>0</v>
      </c>
      <c r="AJ610" s="190">
        <f t="shared" si="255"/>
        <v>378.69999999999982</v>
      </c>
      <c r="AK610" s="464">
        <f t="shared" si="256"/>
        <v>0</v>
      </c>
      <c r="AL610" s="464">
        <f t="shared" si="257"/>
        <v>0</v>
      </c>
      <c r="AM610" s="464">
        <f t="shared" si="258"/>
        <v>1077.8000000000002</v>
      </c>
      <c r="AN610" s="464">
        <f t="shared" si="259"/>
        <v>0</v>
      </c>
      <c r="AO610" s="464">
        <f t="shared" si="260"/>
        <v>0</v>
      </c>
      <c r="AP610" s="464">
        <f t="shared" si="261"/>
        <v>0</v>
      </c>
      <c r="AQ610" s="464">
        <f t="shared" si="261"/>
        <v>2272.1999999999998</v>
      </c>
      <c r="AR610" s="190"/>
      <c r="AS610" s="464">
        <f t="shared" si="249"/>
        <v>2272.1999999999998</v>
      </c>
    </row>
    <row r="611" spans="1:45" s="191" customFormat="1" ht="24.95" customHeight="1">
      <c r="A611" s="1129"/>
      <c r="B611" s="1129"/>
      <c r="C611" s="1128"/>
      <c r="D611" s="1129"/>
      <c r="E611" s="1129"/>
      <c r="F611" s="1129"/>
      <c r="G611" s="1133"/>
      <c r="H611" s="300">
        <f>G610*H610</f>
        <v>757.40000000000009</v>
      </c>
      <c r="I611" s="1127"/>
      <c r="J611" s="1127"/>
      <c r="K611" s="1127"/>
      <c r="L611" s="1127"/>
      <c r="M611" s="1127"/>
      <c r="N611" s="1127"/>
      <c r="O611" s="1127"/>
      <c r="P611" s="1126"/>
      <c r="Q611" s="1126"/>
      <c r="R611" s="1126"/>
      <c r="S611" s="1126"/>
      <c r="T611" s="1129"/>
      <c r="U611" s="1130"/>
      <c r="V611" s="1127"/>
      <c r="W611" s="1127"/>
      <c r="X611" s="1127"/>
      <c r="Y611" s="1112"/>
      <c r="Z611" s="1112"/>
      <c r="AA611" s="1109"/>
      <c r="AB611" s="1109"/>
      <c r="AC611" s="1127"/>
      <c r="AD611" s="1127"/>
      <c r="AE611" s="190">
        <f t="shared" si="251"/>
        <v>0</v>
      </c>
      <c r="AF611" s="190">
        <f t="shared" si="252"/>
        <v>0</v>
      </c>
      <c r="AG611" s="190">
        <f t="shared" si="253"/>
        <v>0</v>
      </c>
      <c r="AH611" s="190">
        <f t="shared" si="254"/>
        <v>0</v>
      </c>
      <c r="AI611" s="190">
        <f t="shared" si="255"/>
        <v>0</v>
      </c>
      <c r="AJ611" s="190">
        <f t="shared" si="255"/>
        <v>0</v>
      </c>
      <c r="AK611" s="464">
        <f t="shared" si="256"/>
        <v>0</v>
      </c>
      <c r="AL611" s="464">
        <f t="shared" si="257"/>
        <v>0</v>
      </c>
      <c r="AM611" s="464">
        <f t="shared" si="258"/>
        <v>0</v>
      </c>
      <c r="AN611" s="464">
        <f t="shared" si="259"/>
        <v>0</v>
      </c>
      <c r="AO611" s="464">
        <f t="shared" si="260"/>
        <v>0</v>
      </c>
      <c r="AP611" s="464">
        <f t="shared" si="261"/>
        <v>0</v>
      </c>
      <c r="AQ611" s="464">
        <f t="shared" si="261"/>
        <v>0</v>
      </c>
      <c r="AR611" s="190"/>
      <c r="AS611" s="464">
        <f t="shared" si="249"/>
        <v>0</v>
      </c>
    </row>
    <row r="612" spans="1:45" s="191" customFormat="1" ht="24.95" customHeight="1">
      <c r="A612" s="1129"/>
      <c r="B612" s="1129"/>
      <c r="C612" s="1128" t="s">
        <v>817</v>
      </c>
      <c r="D612" s="1129" t="s">
        <v>821</v>
      </c>
      <c r="E612" s="1129" t="s">
        <v>822</v>
      </c>
      <c r="F612" s="1129">
        <v>3</v>
      </c>
      <c r="G612" s="1127">
        <v>3519</v>
      </c>
      <c r="H612" s="302">
        <v>0.2</v>
      </c>
      <c r="I612" s="1127"/>
      <c r="J612" s="1127"/>
      <c r="K612" s="1127"/>
      <c r="L612" s="1127"/>
      <c r="M612" s="1127"/>
      <c r="N612" s="1127">
        <f>G612+H613</f>
        <v>4222.8</v>
      </c>
      <c r="O612" s="1127">
        <v>1</v>
      </c>
      <c r="P612" s="1126"/>
      <c r="Q612" s="1126"/>
      <c r="R612" s="1130"/>
      <c r="S612" s="1131"/>
      <c r="T612" s="1129"/>
      <c r="U612" s="1130"/>
      <c r="V612" s="1127"/>
      <c r="W612" s="1127">
        <f>AD612</f>
        <v>2477.1999999999998</v>
      </c>
      <c r="X612" s="1127">
        <f>(N612+V612+Q613+S612)*O612+W612</f>
        <v>6700</v>
      </c>
      <c r="Y612" s="1112"/>
      <c r="Z612" s="1112">
        <f>X612+Y612</f>
        <v>6700</v>
      </c>
      <c r="AA612" s="1109">
        <f t="shared" si="250"/>
        <v>6700</v>
      </c>
      <c r="AB612" s="1109">
        <f>AA612-X612</f>
        <v>0</v>
      </c>
      <c r="AC612" s="1127">
        <f>6700*O612</f>
        <v>6700</v>
      </c>
      <c r="AD612" s="1127">
        <f>AC612-(N612*O612)</f>
        <v>2477.1999999999998</v>
      </c>
      <c r="AE612" s="190">
        <f t="shared" si="251"/>
        <v>3519</v>
      </c>
      <c r="AF612" s="190">
        <f t="shared" si="252"/>
        <v>0</v>
      </c>
      <c r="AG612" s="190">
        <f t="shared" si="253"/>
        <v>4222.8</v>
      </c>
      <c r="AH612" s="190">
        <f t="shared" si="254"/>
        <v>0</v>
      </c>
      <c r="AI612" s="190">
        <f t="shared" si="255"/>
        <v>703.80000000000018</v>
      </c>
      <c r="AJ612" s="190">
        <f t="shared" si="255"/>
        <v>0</v>
      </c>
      <c r="AK612" s="464">
        <f t="shared" si="256"/>
        <v>0</v>
      </c>
      <c r="AL612" s="464">
        <f t="shared" si="257"/>
        <v>0</v>
      </c>
      <c r="AM612" s="464">
        <f t="shared" si="258"/>
        <v>2477.1999999999998</v>
      </c>
      <c r="AN612" s="464">
        <f t="shared" si="259"/>
        <v>0</v>
      </c>
      <c r="AO612" s="464">
        <f t="shared" si="260"/>
        <v>0</v>
      </c>
      <c r="AP612" s="464">
        <f t="shared" si="261"/>
        <v>4222.8</v>
      </c>
      <c r="AQ612" s="464">
        <f t="shared" si="261"/>
        <v>0</v>
      </c>
      <c r="AR612" s="190"/>
      <c r="AS612" s="464">
        <f t="shared" si="249"/>
        <v>4222.8</v>
      </c>
    </row>
    <row r="613" spans="1:45" s="191" customFormat="1" ht="24.95" customHeight="1">
      <c r="A613" s="1129"/>
      <c r="B613" s="1129"/>
      <c r="C613" s="1128"/>
      <c r="D613" s="1129"/>
      <c r="E613" s="1129"/>
      <c r="F613" s="1129"/>
      <c r="G613" s="1133"/>
      <c r="H613" s="300">
        <f>G612*H612</f>
        <v>703.80000000000007</v>
      </c>
      <c r="I613" s="1127"/>
      <c r="J613" s="1127"/>
      <c r="K613" s="1127"/>
      <c r="L613" s="1127"/>
      <c r="M613" s="1127"/>
      <c r="N613" s="1127"/>
      <c r="O613" s="1127"/>
      <c r="P613" s="1126"/>
      <c r="Q613" s="1126"/>
      <c r="R613" s="1126"/>
      <c r="S613" s="1131"/>
      <c r="T613" s="1129"/>
      <c r="U613" s="1130"/>
      <c r="V613" s="1127"/>
      <c r="W613" s="1127"/>
      <c r="X613" s="1127"/>
      <c r="Y613" s="1112"/>
      <c r="Z613" s="1112"/>
      <c r="AA613" s="1109"/>
      <c r="AB613" s="1109"/>
      <c r="AC613" s="1127"/>
      <c r="AD613" s="1127"/>
      <c r="AE613" s="190">
        <f t="shared" si="251"/>
        <v>0</v>
      </c>
      <c r="AF613" s="190">
        <f t="shared" si="252"/>
        <v>0</v>
      </c>
      <c r="AG613" s="190">
        <f t="shared" si="253"/>
        <v>0</v>
      </c>
      <c r="AH613" s="190">
        <f t="shared" si="254"/>
        <v>0</v>
      </c>
      <c r="AI613" s="190">
        <f t="shared" si="255"/>
        <v>0</v>
      </c>
      <c r="AJ613" s="190">
        <f t="shared" si="255"/>
        <v>0</v>
      </c>
      <c r="AK613" s="464">
        <f t="shared" si="256"/>
        <v>0</v>
      </c>
      <c r="AL613" s="464">
        <f t="shared" si="257"/>
        <v>0</v>
      </c>
      <c r="AM613" s="464">
        <f t="shared" si="258"/>
        <v>0</v>
      </c>
      <c r="AN613" s="464">
        <f t="shared" si="259"/>
        <v>0</v>
      </c>
      <c r="AO613" s="464">
        <f t="shared" si="260"/>
        <v>0</v>
      </c>
      <c r="AP613" s="464">
        <f t="shared" si="261"/>
        <v>0</v>
      </c>
      <c r="AQ613" s="464">
        <f t="shared" si="261"/>
        <v>0</v>
      </c>
      <c r="AR613" s="190"/>
      <c r="AS613" s="464">
        <f t="shared" si="249"/>
        <v>0</v>
      </c>
    </row>
    <row r="614" spans="1:45" s="191" customFormat="1" ht="24.95" customHeight="1">
      <c r="A614" s="1129"/>
      <c r="B614" s="1129"/>
      <c r="C614" s="1128" t="s">
        <v>817</v>
      </c>
      <c r="D614" s="1129" t="s">
        <v>821</v>
      </c>
      <c r="E614" s="1129" t="s">
        <v>822</v>
      </c>
      <c r="F614" s="1129">
        <v>3</v>
      </c>
      <c r="G614" s="1127">
        <v>3519</v>
      </c>
      <c r="H614" s="302">
        <v>0.2</v>
      </c>
      <c r="I614" s="1127"/>
      <c r="J614" s="1127"/>
      <c r="K614" s="1127"/>
      <c r="L614" s="1127"/>
      <c r="M614" s="1127"/>
      <c r="N614" s="1127">
        <f>G614+H615</f>
        <v>4222.8</v>
      </c>
      <c r="O614" s="1127"/>
      <c r="P614" s="1127">
        <v>0.5</v>
      </c>
      <c r="Q614" s="1126"/>
      <c r="R614" s="1130"/>
      <c r="S614" s="1131"/>
      <c r="T614" s="1129"/>
      <c r="U614" s="1130"/>
      <c r="V614" s="1127"/>
      <c r="W614" s="1127">
        <f>AD614</f>
        <v>1238.5999999999999</v>
      </c>
      <c r="X614" s="1127">
        <f>(N614+V614+Q615+S614)*P614+W614</f>
        <v>3350</v>
      </c>
      <c r="Y614" s="1112"/>
      <c r="Z614" s="1112">
        <f>X614+Y614</f>
        <v>3350</v>
      </c>
      <c r="AA614" s="1109">
        <f t="shared" si="250"/>
        <v>3350</v>
      </c>
      <c r="AB614" s="1109">
        <f>AA614-X614</f>
        <v>0</v>
      </c>
      <c r="AC614" s="1127">
        <f>6700*P614</f>
        <v>3350</v>
      </c>
      <c r="AD614" s="1127">
        <f>AC614-(N614*P614)</f>
        <v>1238.5999999999999</v>
      </c>
      <c r="AE614" s="190">
        <f t="shared" si="251"/>
        <v>0</v>
      </c>
      <c r="AF614" s="190">
        <f t="shared" si="252"/>
        <v>1759.5</v>
      </c>
      <c r="AG614" s="190">
        <f t="shared" si="253"/>
        <v>0</v>
      </c>
      <c r="AH614" s="190">
        <f t="shared" si="254"/>
        <v>2111.4</v>
      </c>
      <c r="AI614" s="190">
        <f t="shared" si="255"/>
        <v>0</v>
      </c>
      <c r="AJ614" s="190">
        <f t="shared" si="255"/>
        <v>351.90000000000009</v>
      </c>
      <c r="AK614" s="464">
        <f t="shared" si="256"/>
        <v>0</v>
      </c>
      <c r="AL614" s="464">
        <f t="shared" si="257"/>
        <v>0</v>
      </c>
      <c r="AM614" s="464">
        <f t="shared" si="258"/>
        <v>1238.5999999999999</v>
      </c>
      <c r="AN614" s="464">
        <f t="shared" si="259"/>
        <v>0</v>
      </c>
      <c r="AO614" s="464">
        <f t="shared" si="260"/>
        <v>0</v>
      </c>
      <c r="AP614" s="464">
        <f t="shared" si="261"/>
        <v>0</v>
      </c>
      <c r="AQ614" s="464">
        <f t="shared" si="261"/>
        <v>2111.4</v>
      </c>
      <c r="AR614" s="190"/>
      <c r="AS614" s="464">
        <f t="shared" si="249"/>
        <v>2111.4</v>
      </c>
    </row>
    <row r="615" spans="1:45" s="191" customFormat="1" ht="24.95" customHeight="1">
      <c r="A615" s="1129"/>
      <c r="B615" s="1129"/>
      <c r="C615" s="1128"/>
      <c r="D615" s="1129"/>
      <c r="E615" s="1129"/>
      <c r="F615" s="1129"/>
      <c r="G615" s="1133"/>
      <c r="H615" s="300">
        <f>G614*H614</f>
        <v>703.80000000000007</v>
      </c>
      <c r="I615" s="1127"/>
      <c r="J615" s="1127"/>
      <c r="K615" s="1127"/>
      <c r="L615" s="1127"/>
      <c r="M615" s="1127"/>
      <c r="N615" s="1127"/>
      <c r="O615" s="1127"/>
      <c r="P615" s="1126"/>
      <c r="Q615" s="1126"/>
      <c r="R615" s="1126"/>
      <c r="S615" s="1131"/>
      <c r="T615" s="1129"/>
      <c r="U615" s="1130"/>
      <c r="V615" s="1127"/>
      <c r="W615" s="1127"/>
      <c r="X615" s="1127"/>
      <c r="Y615" s="1112"/>
      <c r="Z615" s="1112"/>
      <c r="AA615" s="1109"/>
      <c r="AB615" s="1109"/>
      <c r="AC615" s="1127"/>
      <c r="AD615" s="1127"/>
      <c r="AE615" s="190">
        <f t="shared" si="251"/>
        <v>0</v>
      </c>
      <c r="AF615" s="190">
        <f t="shared" si="252"/>
        <v>0</v>
      </c>
      <c r="AG615" s="190">
        <f t="shared" si="253"/>
        <v>0</v>
      </c>
      <c r="AH615" s="190">
        <f t="shared" si="254"/>
        <v>0</v>
      </c>
      <c r="AI615" s="190">
        <f t="shared" si="255"/>
        <v>0</v>
      </c>
      <c r="AJ615" s="190">
        <f t="shared" si="255"/>
        <v>0</v>
      </c>
      <c r="AK615" s="464">
        <f t="shared" si="256"/>
        <v>0</v>
      </c>
      <c r="AL615" s="464">
        <f t="shared" si="257"/>
        <v>0</v>
      </c>
      <c r="AM615" s="464">
        <f t="shared" si="258"/>
        <v>0</v>
      </c>
      <c r="AN615" s="464">
        <f t="shared" si="259"/>
        <v>0</v>
      </c>
      <c r="AO615" s="464">
        <f t="shared" si="260"/>
        <v>0</v>
      </c>
      <c r="AP615" s="464">
        <f t="shared" si="261"/>
        <v>0</v>
      </c>
      <c r="AQ615" s="464">
        <f t="shared" si="261"/>
        <v>0</v>
      </c>
      <c r="AR615" s="190"/>
      <c r="AS615" s="464">
        <f t="shared" si="249"/>
        <v>0</v>
      </c>
    </row>
    <row r="616" spans="1:45" s="191" customFormat="1" ht="24.95" customHeight="1">
      <c r="A616" s="1129"/>
      <c r="B616" s="1129"/>
      <c r="C616" s="1128" t="s">
        <v>823</v>
      </c>
      <c r="D616" s="1129"/>
      <c r="E616" s="1129" t="s">
        <v>824</v>
      </c>
      <c r="F616" s="1129">
        <v>5</v>
      </c>
      <c r="G616" s="1127">
        <v>4056</v>
      </c>
      <c r="H616" s="1127"/>
      <c r="I616" s="1127"/>
      <c r="J616" s="1127"/>
      <c r="K616" s="1127"/>
      <c r="L616" s="1127"/>
      <c r="M616" s="1127"/>
      <c r="N616" s="1127">
        <f>G616+H617</f>
        <v>4056</v>
      </c>
      <c r="O616" s="1127">
        <v>1</v>
      </c>
      <c r="P616" s="1126"/>
      <c r="Q616" s="1126"/>
      <c r="R616" s="1126"/>
      <c r="S616" s="1126"/>
      <c r="T616" s="1129"/>
      <c r="U616" s="1130"/>
      <c r="V616" s="1127"/>
      <c r="W616" s="1127">
        <f>AD616</f>
        <v>2644</v>
      </c>
      <c r="X616" s="1127">
        <f>(N616+V616+Q617+S616)*O616+W616</f>
        <v>6700</v>
      </c>
      <c r="Y616" s="1112"/>
      <c r="Z616" s="1112">
        <f>X616+Y616</f>
        <v>6700</v>
      </c>
      <c r="AA616" s="1109">
        <f t="shared" si="250"/>
        <v>6700</v>
      </c>
      <c r="AB616" s="1109">
        <f>AA616-X616</f>
        <v>0</v>
      </c>
      <c r="AC616" s="1127">
        <f>6700*O616</f>
        <v>6700</v>
      </c>
      <c r="AD616" s="1127">
        <f>AC616-(N616*O616)</f>
        <v>2644</v>
      </c>
      <c r="AE616" s="190">
        <f t="shared" si="251"/>
        <v>4056</v>
      </c>
      <c r="AF616" s="190">
        <f t="shared" si="252"/>
        <v>0</v>
      </c>
      <c r="AG616" s="190">
        <f t="shared" si="253"/>
        <v>4056</v>
      </c>
      <c r="AH616" s="190">
        <f t="shared" si="254"/>
        <v>0</v>
      </c>
      <c r="AI616" s="190">
        <f t="shared" si="255"/>
        <v>0</v>
      </c>
      <c r="AJ616" s="190">
        <f t="shared" si="255"/>
        <v>0</v>
      </c>
      <c r="AK616" s="464">
        <f t="shared" si="256"/>
        <v>0</v>
      </c>
      <c r="AL616" s="464">
        <f t="shared" si="257"/>
        <v>0</v>
      </c>
      <c r="AM616" s="464">
        <f t="shared" si="258"/>
        <v>2644</v>
      </c>
      <c r="AN616" s="464">
        <f t="shared" si="259"/>
        <v>0</v>
      </c>
      <c r="AO616" s="464">
        <f t="shared" si="260"/>
        <v>0</v>
      </c>
      <c r="AP616" s="464">
        <f t="shared" si="261"/>
        <v>4056</v>
      </c>
      <c r="AQ616" s="464">
        <f t="shared" si="261"/>
        <v>0</v>
      </c>
      <c r="AR616" s="190"/>
      <c r="AS616" s="464">
        <f t="shared" si="249"/>
        <v>4056</v>
      </c>
    </row>
    <row r="617" spans="1:45" s="191" customFormat="1" ht="24.95" customHeight="1">
      <c r="A617" s="1129"/>
      <c r="B617" s="1129"/>
      <c r="C617" s="1128"/>
      <c r="D617" s="1129"/>
      <c r="E617" s="1129"/>
      <c r="F617" s="1129"/>
      <c r="G617" s="1127"/>
      <c r="H617" s="1127"/>
      <c r="I617" s="1127"/>
      <c r="J617" s="1127"/>
      <c r="K617" s="1127"/>
      <c r="L617" s="1127"/>
      <c r="M617" s="1127"/>
      <c r="N617" s="1127"/>
      <c r="O617" s="1127"/>
      <c r="P617" s="1126"/>
      <c r="Q617" s="1126"/>
      <c r="R617" s="1126"/>
      <c r="S617" s="1126"/>
      <c r="T617" s="1129"/>
      <c r="U617" s="1130"/>
      <c r="V617" s="1127"/>
      <c r="W617" s="1127"/>
      <c r="X617" s="1127"/>
      <c r="Y617" s="1112"/>
      <c r="Z617" s="1112"/>
      <c r="AA617" s="1109"/>
      <c r="AB617" s="1109"/>
      <c r="AC617" s="1127"/>
      <c r="AD617" s="1127"/>
      <c r="AE617" s="190">
        <f t="shared" si="251"/>
        <v>0</v>
      </c>
      <c r="AF617" s="190">
        <f t="shared" si="252"/>
        <v>0</v>
      </c>
      <c r="AG617" s="190">
        <f t="shared" si="253"/>
        <v>0</v>
      </c>
      <c r="AH617" s="190">
        <f t="shared" si="254"/>
        <v>0</v>
      </c>
      <c r="AI617" s="190">
        <f t="shared" si="255"/>
        <v>0</v>
      </c>
      <c r="AJ617" s="190">
        <f t="shared" si="255"/>
        <v>0</v>
      </c>
      <c r="AK617" s="464">
        <f t="shared" si="256"/>
        <v>0</v>
      </c>
      <c r="AL617" s="464">
        <f t="shared" si="257"/>
        <v>0</v>
      </c>
      <c r="AM617" s="464">
        <f t="shared" si="258"/>
        <v>0</v>
      </c>
      <c r="AN617" s="464">
        <f t="shared" si="259"/>
        <v>0</v>
      </c>
      <c r="AO617" s="464">
        <f t="shared" si="260"/>
        <v>0</v>
      </c>
      <c r="AP617" s="464">
        <f t="shared" si="261"/>
        <v>0</v>
      </c>
      <c r="AQ617" s="464">
        <f t="shared" si="261"/>
        <v>0</v>
      </c>
      <c r="AR617" s="190"/>
      <c r="AS617" s="464">
        <f t="shared" si="249"/>
        <v>0</v>
      </c>
    </row>
    <row r="618" spans="1:45" s="191" customFormat="1" ht="24.95" customHeight="1">
      <c r="A618" s="1129"/>
      <c r="B618" s="1129"/>
      <c r="C618" s="1128" t="s">
        <v>825</v>
      </c>
      <c r="D618" s="1129" t="s">
        <v>826</v>
      </c>
      <c r="E618" s="1129" t="s">
        <v>827</v>
      </c>
      <c r="F618" s="1129">
        <v>5</v>
      </c>
      <c r="G618" s="1127">
        <v>4056</v>
      </c>
      <c r="H618" s="1127"/>
      <c r="I618" s="1126"/>
      <c r="J618" s="1126"/>
      <c r="K618" s="1126"/>
      <c r="L618" s="1126"/>
      <c r="M618" s="1126"/>
      <c r="N618" s="1127">
        <f>G618+H619+K619</f>
        <v>4056</v>
      </c>
      <c r="O618" s="1127">
        <v>1</v>
      </c>
      <c r="P618" s="1126"/>
      <c r="Q618" s="1126"/>
      <c r="R618" s="1174">
        <v>0</v>
      </c>
      <c r="S618" s="1176">
        <f>N618*R618</f>
        <v>0</v>
      </c>
      <c r="T618" s="1129"/>
      <c r="U618" s="1130"/>
      <c r="V618" s="1127"/>
      <c r="W618" s="1127">
        <f>AD618</f>
        <v>2644</v>
      </c>
      <c r="X618" s="1127">
        <f>(N618+V618+Q619+S618)*O618+W618</f>
        <v>6700</v>
      </c>
      <c r="Y618" s="1112"/>
      <c r="Z618" s="1112">
        <f>X618+Y618</f>
        <v>6700</v>
      </c>
      <c r="AA618" s="1109">
        <f t="shared" si="250"/>
        <v>6700</v>
      </c>
      <c r="AB618" s="1109">
        <f>AA618-X618</f>
        <v>0</v>
      </c>
      <c r="AC618" s="1127">
        <f>6700*O618</f>
        <v>6700</v>
      </c>
      <c r="AD618" s="1127">
        <f>AC618-(N618*O618)</f>
        <v>2644</v>
      </c>
      <c r="AE618" s="190">
        <f t="shared" si="251"/>
        <v>4056</v>
      </c>
      <c r="AF618" s="190">
        <f t="shared" si="252"/>
        <v>0</v>
      </c>
      <c r="AG618" s="190">
        <f t="shared" si="253"/>
        <v>4056</v>
      </c>
      <c r="AH618" s="190">
        <f t="shared" si="254"/>
        <v>0</v>
      </c>
      <c r="AI618" s="190">
        <f t="shared" si="255"/>
        <v>0</v>
      </c>
      <c r="AJ618" s="190">
        <f t="shared" si="255"/>
        <v>0</v>
      </c>
      <c r="AK618" s="464">
        <f t="shared" si="256"/>
        <v>0</v>
      </c>
      <c r="AL618" s="464">
        <f t="shared" si="257"/>
        <v>0</v>
      </c>
      <c r="AM618" s="464">
        <f t="shared" si="258"/>
        <v>2644</v>
      </c>
      <c r="AN618" s="464">
        <f t="shared" si="259"/>
        <v>0</v>
      </c>
      <c r="AO618" s="464">
        <f t="shared" si="260"/>
        <v>0</v>
      </c>
      <c r="AP618" s="464">
        <f t="shared" si="261"/>
        <v>4056</v>
      </c>
      <c r="AQ618" s="464">
        <f t="shared" si="261"/>
        <v>0</v>
      </c>
      <c r="AR618" s="190"/>
      <c r="AS618" s="464">
        <f t="shared" si="249"/>
        <v>4056</v>
      </c>
    </row>
    <row r="619" spans="1:45" s="191" customFormat="1" ht="24.95" customHeight="1">
      <c r="A619" s="1129"/>
      <c r="B619" s="1129"/>
      <c r="C619" s="1128"/>
      <c r="D619" s="1129"/>
      <c r="E619" s="1129"/>
      <c r="F619" s="1129"/>
      <c r="G619" s="1133"/>
      <c r="H619" s="1127"/>
      <c r="I619" s="1126"/>
      <c r="J619" s="1126"/>
      <c r="K619" s="1126"/>
      <c r="L619" s="1126"/>
      <c r="M619" s="1126"/>
      <c r="N619" s="1127"/>
      <c r="O619" s="1127"/>
      <c r="P619" s="1126"/>
      <c r="Q619" s="1126"/>
      <c r="R619" s="1175"/>
      <c r="S619" s="1176"/>
      <c r="T619" s="1129"/>
      <c r="U619" s="1130"/>
      <c r="V619" s="1127"/>
      <c r="W619" s="1127"/>
      <c r="X619" s="1127"/>
      <c r="Y619" s="1112"/>
      <c r="Z619" s="1112"/>
      <c r="AA619" s="1109"/>
      <c r="AB619" s="1109"/>
      <c r="AC619" s="1127"/>
      <c r="AD619" s="1127"/>
      <c r="AE619" s="190">
        <f t="shared" si="251"/>
        <v>0</v>
      </c>
      <c r="AF619" s="190">
        <f t="shared" si="252"/>
        <v>0</v>
      </c>
      <c r="AG619" s="190">
        <f t="shared" si="253"/>
        <v>0</v>
      </c>
      <c r="AH619" s="190">
        <f t="shared" si="254"/>
        <v>0</v>
      </c>
      <c r="AI619" s="190">
        <f t="shared" si="255"/>
        <v>0</v>
      </c>
      <c r="AJ619" s="190">
        <f t="shared" si="255"/>
        <v>0</v>
      </c>
      <c r="AK619" s="464">
        <f t="shared" si="256"/>
        <v>0</v>
      </c>
      <c r="AL619" s="464">
        <f t="shared" si="257"/>
        <v>0</v>
      </c>
      <c r="AM619" s="464">
        <f t="shared" si="258"/>
        <v>0</v>
      </c>
      <c r="AN619" s="464">
        <f t="shared" si="259"/>
        <v>0</v>
      </c>
      <c r="AO619" s="464">
        <f t="shared" si="260"/>
        <v>0</v>
      </c>
      <c r="AP619" s="464">
        <f t="shared" si="261"/>
        <v>0</v>
      </c>
      <c r="AQ619" s="464">
        <f t="shared" si="261"/>
        <v>0</v>
      </c>
      <c r="AR619" s="190"/>
      <c r="AS619" s="464">
        <f t="shared" si="249"/>
        <v>0</v>
      </c>
    </row>
    <row r="620" spans="1:45" s="191" customFormat="1" ht="24.95" customHeight="1">
      <c r="A620" s="1129"/>
      <c r="B620" s="1129"/>
      <c r="C620" s="1128" t="s">
        <v>825</v>
      </c>
      <c r="D620" s="1129" t="s">
        <v>826</v>
      </c>
      <c r="E620" s="1129" t="s">
        <v>828</v>
      </c>
      <c r="F620" s="1129">
        <v>5</v>
      </c>
      <c r="G620" s="1127">
        <v>4056</v>
      </c>
      <c r="H620" s="1127"/>
      <c r="I620" s="1127"/>
      <c r="J620" s="1127"/>
      <c r="K620" s="1127"/>
      <c r="L620" s="1127"/>
      <c r="M620" s="1127"/>
      <c r="N620" s="1127">
        <f>G620+H621</f>
        <v>4056</v>
      </c>
      <c r="O620" s="1127">
        <v>1</v>
      </c>
      <c r="P620" s="1126"/>
      <c r="Q620" s="1126"/>
      <c r="R620" s="1174">
        <v>0</v>
      </c>
      <c r="S620" s="1176">
        <f>N620*R620</f>
        <v>0</v>
      </c>
      <c r="T620" s="1129"/>
      <c r="U620" s="1130"/>
      <c r="V620" s="1127"/>
      <c r="W620" s="1127">
        <f>AD620</f>
        <v>2644</v>
      </c>
      <c r="X620" s="1127">
        <f>(N620+V620+Q621+S620)*O620+W620</f>
        <v>6700</v>
      </c>
      <c r="Y620" s="1112"/>
      <c r="Z620" s="1112">
        <f>X620+Y620</f>
        <v>6700</v>
      </c>
      <c r="AA620" s="1109">
        <f t="shared" si="250"/>
        <v>6700</v>
      </c>
      <c r="AB620" s="1109">
        <f>AA620-X620</f>
        <v>0</v>
      </c>
      <c r="AC620" s="1127">
        <f>6700*O620</f>
        <v>6700</v>
      </c>
      <c r="AD620" s="1127">
        <f>AC620-(N620*O620)</f>
        <v>2644</v>
      </c>
      <c r="AE620" s="190">
        <f t="shared" si="251"/>
        <v>4056</v>
      </c>
      <c r="AF620" s="190">
        <f t="shared" si="252"/>
        <v>0</v>
      </c>
      <c r="AG620" s="190">
        <f t="shared" si="253"/>
        <v>4056</v>
      </c>
      <c r="AH620" s="190">
        <f t="shared" si="254"/>
        <v>0</v>
      </c>
      <c r="AI620" s="190">
        <f t="shared" si="255"/>
        <v>0</v>
      </c>
      <c r="AJ620" s="190">
        <f t="shared" si="255"/>
        <v>0</v>
      </c>
      <c r="AK620" s="464">
        <f t="shared" si="256"/>
        <v>0</v>
      </c>
      <c r="AL620" s="464">
        <f t="shared" si="257"/>
        <v>0</v>
      </c>
      <c r="AM620" s="464">
        <f t="shared" si="258"/>
        <v>2644</v>
      </c>
      <c r="AN620" s="464">
        <f t="shared" si="259"/>
        <v>0</v>
      </c>
      <c r="AO620" s="464">
        <f t="shared" si="260"/>
        <v>0</v>
      </c>
      <c r="AP620" s="464">
        <f t="shared" si="261"/>
        <v>4056</v>
      </c>
      <c r="AQ620" s="464">
        <f t="shared" si="261"/>
        <v>0</v>
      </c>
      <c r="AR620" s="190"/>
      <c r="AS620" s="464">
        <f t="shared" si="249"/>
        <v>4056</v>
      </c>
    </row>
    <row r="621" spans="1:45" s="191" customFormat="1" ht="24.95" customHeight="1">
      <c r="A621" s="1129"/>
      <c r="B621" s="1129"/>
      <c r="C621" s="1128"/>
      <c r="D621" s="1129"/>
      <c r="E621" s="1129"/>
      <c r="F621" s="1129"/>
      <c r="G621" s="1133"/>
      <c r="H621" s="1127"/>
      <c r="I621" s="1127"/>
      <c r="J621" s="1127"/>
      <c r="K621" s="1127"/>
      <c r="L621" s="1127"/>
      <c r="M621" s="1127"/>
      <c r="N621" s="1127"/>
      <c r="O621" s="1127"/>
      <c r="P621" s="1126"/>
      <c r="Q621" s="1126"/>
      <c r="R621" s="1175"/>
      <c r="S621" s="1176"/>
      <c r="T621" s="1129"/>
      <c r="U621" s="1130"/>
      <c r="V621" s="1127"/>
      <c r="W621" s="1127"/>
      <c r="X621" s="1127"/>
      <c r="Y621" s="1112"/>
      <c r="Z621" s="1112"/>
      <c r="AA621" s="1109"/>
      <c r="AB621" s="1109"/>
      <c r="AC621" s="1127"/>
      <c r="AD621" s="1127"/>
      <c r="AE621" s="190">
        <f t="shared" si="251"/>
        <v>0</v>
      </c>
      <c r="AF621" s="190">
        <f t="shared" si="252"/>
        <v>0</v>
      </c>
      <c r="AG621" s="190">
        <f t="shared" si="253"/>
        <v>0</v>
      </c>
      <c r="AH621" s="190">
        <f t="shared" si="254"/>
        <v>0</v>
      </c>
      <c r="AI621" s="190">
        <f t="shared" si="255"/>
        <v>0</v>
      </c>
      <c r="AJ621" s="190">
        <f t="shared" si="255"/>
        <v>0</v>
      </c>
      <c r="AK621" s="464">
        <f t="shared" si="256"/>
        <v>0</v>
      </c>
      <c r="AL621" s="464">
        <f t="shared" si="257"/>
        <v>0</v>
      </c>
      <c r="AM621" s="464">
        <f t="shared" si="258"/>
        <v>0</v>
      </c>
      <c r="AN621" s="464">
        <f t="shared" si="259"/>
        <v>0</v>
      </c>
      <c r="AO621" s="464">
        <f t="shared" si="260"/>
        <v>0</v>
      </c>
      <c r="AP621" s="464">
        <f t="shared" si="261"/>
        <v>0</v>
      </c>
      <c r="AQ621" s="464">
        <f t="shared" si="261"/>
        <v>0</v>
      </c>
      <c r="AR621" s="190"/>
      <c r="AS621" s="464">
        <f t="shared" si="249"/>
        <v>0</v>
      </c>
    </row>
    <row r="622" spans="1:45" s="191" customFormat="1" ht="24.95" customHeight="1">
      <c r="A622" s="1129"/>
      <c r="B622" s="1129"/>
      <c r="C622" s="1128" t="s">
        <v>829</v>
      </c>
      <c r="D622" s="1129"/>
      <c r="E622" s="1129" t="s">
        <v>830</v>
      </c>
      <c r="F622" s="1129">
        <v>2</v>
      </c>
      <c r="G622" s="1127">
        <v>3250</v>
      </c>
      <c r="H622" s="1127"/>
      <c r="I622" s="1127"/>
      <c r="J622" s="1127"/>
      <c r="K622" s="1127"/>
      <c r="L622" s="1127"/>
      <c r="M622" s="1127"/>
      <c r="N622" s="1127">
        <f>G622+H623</f>
        <v>3250</v>
      </c>
      <c r="O622" s="1127">
        <v>1</v>
      </c>
      <c r="P622" s="1126"/>
      <c r="Q622" s="1126"/>
      <c r="R622" s="1126"/>
      <c r="S622" s="1126"/>
      <c r="T622" s="1129"/>
      <c r="U622" s="1130"/>
      <c r="V622" s="1127"/>
      <c r="W622" s="1127">
        <f>AD622</f>
        <v>3450</v>
      </c>
      <c r="X622" s="1127">
        <f>(N622+V622+Q623+S622)*O622+W622</f>
        <v>6700</v>
      </c>
      <c r="Y622" s="1112"/>
      <c r="Z622" s="1112">
        <f>X622+Y622</f>
        <v>6700</v>
      </c>
      <c r="AA622" s="1109">
        <f t="shared" si="250"/>
        <v>6700</v>
      </c>
      <c r="AB622" s="1109">
        <f>AA622-X622</f>
        <v>0</v>
      </c>
      <c r="AC622" s="1127">
        <f>6700*O622</f>
        <v>6700</v>
      </c>
      <c r="AD622" s="1127">
        <f>AC622-(N622*O622)</f>
        <v>3450</v>
      </c>
      <c r="AE622" s="190">
        <f t="shared" si="251"/>
        <v>3250</v>
      </c>
      <c r="AF622" s="190">
        <f t="shared" si="252"/>
        <v>0</v>
      </c>
      <c r="AG622" s="190">
        <f t="shared" si="253"/>
        <v>3250</v>
      </c>
      <c r="AH622" s="190">
        <f t="shared" si="254"/>
        <v>0</v>
      </c>
      <c r="AI622" s="190">
        <f t="shared" si="255"/>
        <v>0</v>
      </c>
      <c r="AJ622" s="190">
        <f t="shared" si="255"/>
        <v>0</v>
      </c>
      <c r="AK622" s="464">
        <f t="shared" si="256"/>
        <v>0</v>
      </c>
      <c r="AL622" s="464">
        <f t="shared" si="257"/>
        <v>0</v>
      </c>
      <c r="AM622" s="464">
        <f t="shared" si="258"/>
        <v>3450</v>
      </c>
      <c r="AN622" s="464">
        <f t="shared" si="259"/>
        <v>0</v>
      </c>
      <c r="AO622" s="464">
        <f t="shared" si="260"/>
        <v>0</v>
      </c>
      <c r="AP622" s="464">
        <f t="shared" si="261"/>
        <v>3250</v>
      </c>
      <c r="AQ622" s="464">
        <f t="shared" si="261"/>
        <v>0</v>
      </c>
      <c r="AR622" s="190"/>
      <c r="AS622" s="464">
        <f t="shared" si="249"/>
        <v>3250</v>
      </c>
    </row>
    <row r="623" spans="1:45" s="191" customFormat="1" ht="24.95" customHeight="1">
      <c r="A623" s="1129"/>
      <c r="B623" s="1129"/>
      <c r="C623" s="1128"/>
      <c r="D623" s="1129"/>
      <c r="E623" s="1129"/>
      <c r="F623" s="1129"/>
      <c r="G623" s="1127"/>
      <c r="H623" s="1127"/>
      <c r="I623" s="1127"/>
      <c r="J623" s="1127"/>
      <c r="K623" s="1127"/>
      <c r="L623" s="1127"/>
      <c r="M623" s="1127"/>
      <c r="N623" s="1127"/>
      <c r="O623" s="1127"/>
      <c r="P623" s="1126"/>
      <c r="Q623" s="1126"/>
      <c r="R623" s="1126"/>
      <c r="S623" s="1126"/>
      <c r="T623" s="1129"/>
      <c r="U623" s="1130"/>
      <c r="V623" s="1127"/>
      <c r="W623" s="1127"/>
      <c r="X623" s="1127"/>
      <c r="Y623" s="1112"/>
      <c r="Z623" s="1112"/>
      <c r="AA623" s="1109"/>
      <c r="AB623" s="1109"/>
      <c r="AC623" s="1127"/>
      <c r="AD623" s="1127"/>
      <c r="AE623" s="190">
        <f t="shared" si="251"/>
        <v>0</v>
      </c>
      <c r="AF623" s="190">
        <f t="shared" si="252"/>
        <v>0</v>
      </c>
      <c r="AG623" s="190">
        <f t="shared" si="253"/>
        <v>0</v>
      </c>
      <c r="AH623" s="190">
        <f t="shared" si="254"/>
        <v>0</v>
      </c>
      <c r="AI623" s="190">
        <f t="shared" si="255"/>
        <v>0</v>
      </c>
      <c r="AJ623" s="190">
        <f t="shared" si="255"/>
        <v>0</v>
      </c>
      <c r="AK623" s="464">
        <f t="shared" si="256"/>
        <v>0</v>
      </c>
      <c r="AL623" s="464">
        <f t="shared" si="257"/>
        <v>0</v>
      </c>
      <c r="AM623" s="464">
        <f t="shared" si="258"/>
        <v>0</v>
      </c>
      <c r="AN623" s="464">
        <f t="shared" si="259"/>
        <v>0</v>
      </c>
      <c r="AO623" s="464">
        <f t="shared" si="260"/>
        <v>0</v>
      </c>
      <c r="AP623" s="464">
        <f t="shared" si="261"/>
        <v>0</v>
      </c>
      <c r="AQ623" s="464">
        <f t="shared" si="261"/>
        <v>0</v>
      </c>
      <c r="AR623" s="190"/>
      <c r="AS623" s="464">
        <f t="shared" si="249"/>
        <v>0</v>
      </c>
    </row>
    <row r="624" spans="1:45" s="191" customFormat="1" ht="24.95" customHeight="1">
      <c r="A624" s="1129"/>
      <c r="B624" s="1129"/>
      <c r="C624" s="1128" t="s">
        <v>829</v>
      </c>
      <c r="D624" s="1129"/>
      <c r="E624" s="1129" t="s">
        <v>831</v>
      </c>
      <c r="F624" s="1129">
        <v>2</v>
      </c>
      <c r="G624" s="1127">
        <v>3250</v>
      </c>
      <c r="H624" s="1127"/>
      <c r="I624" s="1127"/>
      <c r="J624" s="1127"/>
      <c r="K624" s="1127"/>
      <c r="L624" s="1127"/>
      <c r="M624" s="1127"/>
      <c r="N624" s="1127">
        <f>G624+H625</f>
        <v>3250</v>
      </c>
      <c r="O624" s="1127">
        <v>1</v>
      </c>
      <c r="P624" s="1126"/>
      <c r="Q624" s="1126"/>
      <c r="R624" s="1126"/>
      <c r="S624" s="1126"/>
      <c r="T624" s="1129"/>
      <c r="U624" s="1130"/>
      <c r="V624" s="1127"/>
      <c r="W624" s="1127">
        <f>AD624</f>
        <v>3450</v>
      </c>
      <c r="X624" s="1127">
        <f>(N624+V624+Q625+S624)*O624+W624</f>
        <v>6700</v>
      </c>
      <c r="Y624" s="1112"/>
      <c r="Z624" s="1112">
        <f>X624+Y624</f>
        <v>6700</v>
      </c>
      <c r="AA624" s="1109">
        <f t="shared" si="250"/>
        <v>6700</v>
      </c>
      <c r="AB624" s="1109">
        <f>AA624-X624</f>
        <v>0</v>
      </c>
      <c r="AC624" s="1127">
        <f>6700*O624</f>
        <v>6700</v>
      </c>
      <c r="AD624" s="1127">
        <f>AC624-(N624*O624)</f>
        <v>3450</v>
      </c>
      <c r="AE624" s="190">
        <f t="shared" si="251"/>
        <v>3250</v>
      </c>
      <c r="AF624" s="190">
        <f t="shared" si="252"/>
        <v>0</v>
      </c>
      <c r="AG624" s="190">
        <f t="shared" si="253"/>
        <v>3250</v>
      </c>
      <c r="AH624" s="190">
        <f t="shared" si="254"/>
        <v>0</v>
      </c>
      <c r="AI624" s="190">
        <f t="shared" si="255"/>
        <v>0</v>
      </c>
      <c r="AJ624" s="190">
        <f t="shared" si="255"/>
        <v>0</v>
      </c>
      <c r="AK624" s="464">
        <f t="shared" si="256"/>
        <v>0</v>
      </c>
      <c r="AL624" s="464">
        <f t="shared" si="257"/>
        <v>0</v>
      </c>
      <c r="AM624" s="464">
        <f t="shared" si="258"/>
        <v>3450</v>
      </c>
      <c r="AN624" s="464">
        <f t="shared" si="259"/>
        <v>0</v>
      </c>
      <c r="AO624" s="464">
        <f t="shared" si="260"/>
        <v>0</v>
      </c>
      <c r="AP624" s="464">
        <f t="shared" si="261"/>
        <v>3250</v>
      </c>
      <c r="AQ624" s="464">
        <f t="shared" si="261"/>
        <v>0</v>
      </c>
      <c r="AR624" s="190"/>
      <c r="AS624" s="464">
        <f t="shared" si="249"/>
        <v>3250</v>
      </c>
    </row>
    <row r="625" spans="1:45" s="191" customFormat="1" ht="24.95" customHeight="1">
      <c r="A625" s="1129"/>
      <c r="B625" s="1129"/>
      <c r="C625" s="1128"/>
      <c r="D625" s="1129"/>
      <c r="E625" s="1129"/>
      <c r="F625" s="1129"/>
      <c r="G625" s="1127"/>
      <c r="H625" s="1127"/>
      <c r="I625" s="1127"/>
      <c r="J625" s="1127"/>
      <c r="K625" s="1127"/>
      <c r="L625" s="1127"/>
      <c r="M625" s="1127"/>
      <c r="N625" s="1127"/>
      <c r="O625" s="1127"/>
      <c r="P625" s="1126"/>
      <c r="Q625" s="1126"/>
      <c r="R625" s="1126"/>
      <c r="S625" s="1126"/>
      <c r="T625" s="1129"/>
      <c r="U625" s="1130"/>
      <c r="V625" s="1127"/>
      <c r="W625" s="1127"/>
      <c r="X625" s="1127"/>
      <c r="Y625" s="1112"/>
      <c r="Z625" s="1112"/>
      <c r="AA625" s="1109"/>
      <c r="AB625" s="1109"/>
      <c r="AC625" s="1127"/>
      <c r="AD625" s="1127"/>
      <c r="AE625" s="190">
        <f t="shared" si="251"/>
        <v>0</v>
      </c>
      <c r="AF625" s="190">
        <f t="shared" si="252"/>
        <v>0</v>
      </c>
      <c r="AG625" s="190">
        <f t="shared" si="253"/>
        <v>0</v>
      </c>
      <c r="AH625" s="190">
        <f t="shared" si="254"/>
        <v>0</v>
      </c>
      <c r="AI625" s="190">
        <f t="shared" si="255"/>
        <v>0</v>
      </c>
      <c r="AJ625" s="190">
        <f t="shared" si="255"/>
        <v>0</v>
      </c>
      <c r="AK625" s="464">
        <f t="shared" si="256"/>
        <v>0</v>
      </c>
      <c r="AL625" s="464">
        <f t="shared" si="257"/>
        <v>0</v>
      </c>
      <c r="AM625" s="464">
        <f t="shared" si="258"/>
        <v>0</v>
      </c>
      <c r="AN625" s="464">
        <f t="shared" si="259"/>
        <v>0</v>
      </c>
      <c r="AO625" s="464">
        <f t="shared" si="260"/>
        <v>0</v>
      </c>
      <c r="AP625" s="464">
        <f t="shared" si="261"/>
        <v>0</v>
      </c>
      <c r="AQ625" s="464">
        <f t="shared" si="261"/>
        <v>0</v>
      </c>
      <c r="AR625" s="190"/>
      <c r="AS625" s="464">
        <f t="shared" si="249"/>
        <v>0</v>
      </c>
    </row>
    <row r="626" spans="1:45" s="191" customFormat="1" ht="24.95" customHeight="1">
      <c r="A626" s="1129"/>
      <c r="B626" s="1129"/>
      <c r="C626" s="1132" t="s">
        <v>832</v>
      </c>
      <c r="D626" s="1126"/>
      <c r="E626" s="1126" t="s">
        <v>833</v>
      </c>
      <c r="F626" s="1126">
        <v>1</v>
      </c>
      <c r="G626" s="1127">
        <v>2982</v>
      </c>
      <c r="H626" s="1127"/>
      <c r="I626" s="1127"/>
      <c r="J626" s="1127"/>
      <c r="K626" s="1127"/>
      <c r="L626" s="1127"/>
      <c r="M626" s="1127"/>
      <c r="N626" s="1127">
        <f>G626+H627</f>
        <v>2982</v>
      </c>
      <c r="O626" s="1127">
        <f>0.5+0.5</f>
        <v>1</v>
      </c>
      <c r="P626" s="1126"/>
      <c r="Q626" s="1126"/>
      <c r="R626" s="1126"/>
      <c r="S626" s="1126"/>
      <c r="T626" s="1129"/>
      <c r="U626" s="1130"/>
      <c r="V626" s="1127"/>
      <c r="W626" s="1127">
        <f>AD626</f>
        <v>3718</v>
      </c>
      <c r="X626" s="1127">
        <f>(N626+V626+Q627+S626)*O626+W626</f>
        <v>6700</v>
      </c>
      <c r="Y626" s="1112"/>
      <c r="Z626" s="1112">
        <f>X626+Y626</f>
        <v>6700</v>
      </c>
      <c r="AA626" s="1109">
        <f t="shared" si="250"/>
        <v>6700</v>
      </c>
      <c r="AB626" s="1109">
        <f>AA626-X626</f>
        <v>0</v>
      </c>
      <c r="AC626" s="1127">
        <f>6700*O626</f>
        <v>6700</v>
      </c>
      <c r="AD626" s="1127">
        <f>AC626-(N626*O626)</f>
        <v>3718</v>
      </c>
      <c r="AE626" s="190">
        <f t="shared" si="251"/>
        <v>2982</v>
      </c>
      <c r="AF626" s="190">
        <f t="shared" si="252"/>
        <v>0</v>
      </c>
      <c r="AG626" s="190">
        <f t="shared" si="253"/>
        <v>2982</v>
      </c>
      <c r="AH626" s="190">
        <f t="shared" si="254"/>
        <v>0</v>
      </c>
      <c r="AI626" s="190">
        <f t="shared" si="255"/>
        <v>0</v>
      </c>
      <c r="AJ626" s="190">
        <f t="shared" si="255"/>
        <v>0</v>
      </c>
      <c r="AK626" s="464">
        <f t="shared" si="256"/>
        <v>0</v>
      </c>
      <c r="AL626" s="464">
        <f t="shared" si="257"/>
        <v>0</v>
      </c>
      <c r="AM626" s="464">
        <f t="shared" si="258"/>
        <v>3718</v>
      </c>
      <c r="AN626" s="464">
        <f t="shared" si="259"/>
        <v>0</v>
      </c>
      <c r="AO626" s="464">
        <f t="shared" si="260"/>
        <v>0</v>
      </c>
      <c r="AP626" s="464">
        <f t="shared" si="261"/>
        <v>2982</v>
      </c>
      <c r="AQ626" s="464">
        <f t="shared" si="261"/>
        <v>0</v>
      </c>
      <c r="AR626" s="190"/>
      <c r="AS626" s="464">
        <f t="shared" si="249"/>
        <v>2982</v>
      </c>
    </row>
    <row r="627" spans="1:45" s="191" customFormat="1" ht="24.95" customHeight="1">
      <c r="A627" s="1129"/>
      <c r="B627" s="1129"/>
      <c r="C627" s="1132"/>
      <c r="D627" s="1126"/>
      <c r="E627" s="1126"/>
      <c r="F627" s="1126"/>
      <c r="G627" s="1127"/>
      <c r="H627" s="1127"/>
      <c r="I627" s="1127"/>
      <c r="J627" s="1127"/>
      <c r="K627" s="1127"/>
      <c r="L627" s="1127"/>
      <c r="M627" s="1127"/>
      <c r="N627" s="1127"/>
      <c r="O627" s="1127"/>
      <c r="P627" s="1126"/>
      <c r="Q627" s="1126"/>
      <c r="R627" s="1126"/>
      <c r="S627" s="1126"/>
      <c r="T627" s="1129"/>
      <c r="U627" s="1130"/>
      <c r="V627" s="1127"/>
      <c r="W627" s="1127"/>
      <c r="X627" s="1127"/>
      <c r="Y627" s="1112"/>
      <c r="Z627" s="1112"/>
      <c r="AA627" s="1109"/>
      <c r="AB627" s="1109"/>
      <c r="AC627" s="1127"/>
      <c r="AD627" s="1127"/>
      <c r="AE627" s="190">
        <f t="shared" si="251"/>
        <v>0</v>
      </c>
      <c r="AF627" s="190">
        <f t="shared" si="252"/>
        <v>0</v>
      </c>
      <c r="AG627" s="190">
        <f t="shared" si="253"/>
        <v>0</v>
      </c>
      <c r="AH627" s="190">
        <f t="shared" si="254"/>
        <v>0</v>
      </c>
      <c r="AI627" s="190">
        <f t="shared" si="255"/>
        <v>0</v>
      </c>
      <c r="AJ627" s="190">
        <f t="shared" si="255"/>
        <v>0</v>
      </c>
      <c r="AK627" s="464">
        <f t="shared" si="256"/>
        <v>0</v>
      </c>
      <c r="AL627" s="464">
        <f t="shared" si="257"/>
        <v>0</v>
      </c>
      <c r="AM627" s="464">
        <f t="shared" si="258"/>
        <v>0</v>
      </c>
      <c r="AN627" s="464">
        <f t="shared" si="259"/>
        <v>0</v>
      </c>
      <c r="AO627" s="464">
        <f t="shared" si="260"/>
        <v>0</v>
      </c>
      <c r="AP627" s="464">
        <f t="shared" si="261"/>
        <v>0</v>
      </c>
      <c r="AQ627" s="464">
        <f t="shared" si="261"/>
        <v>0</v>
      </c>
      <c r="AR627" s="190"/>
      <c r="AS627" s="464">
        <f t="shared" si="249"/>
        <v>0</v>
      </c>
    </row>
    <row r="628" spans="1:45" s="191" customFormat="1" ht="24.95" customHeight="1">
      <c r="A628" s="1129"/>
      <c r="B628" s="1129"/>
      <c r="C628" s="1132" t="s">
        <v>834</v>
      </c>
      <c r="D628" s="1129" t="s">
        <v>835</v>
      </c>
      <c r="E628" s="1126" t="s">
        <v>836</v>
      </c>
      <c r="F628" s="1129">
        <v>5</v>
      </c>
      <c r="G628" s="1127">
        <v>4056</v>
      </c>
      <c r="H628" s="1127"/>
      <c r="I628" s="1127"/>
      <c r="J628" s="1127"/>
      <c r="K628" s="1127"/>
      <c r="L628" s="1127"/>
      <c r="M628" s="1127"/>
      <c r="N628" s="1127">
        <f>G628+H629+K629</f>
        <v>4056</v>
      </c>
      <c r="O628" s="1127">
        <v>0.5</v>
      </c>
      <c r="P628" s="1126"/>
      <c r="Q628" s="1126"/>
      <c r="R628" s="1126"/>
      <c r="S628" s="1126"/>
      <c r="T628" s="1129"/>
      <c r="U628" s="1130"/>
      <c r="V628" s="1127"/>
      <c r="W628" s="1127">
        <f>AD628</f>
        <v>1322</v>
      </c>
      <c r="X628" s="1127">
        <f>(N628+V628+Q629+S628)*O628+W628</f>
        <v>3350</v>
      </c>
      <c r="Y628" s="1112"/>
      <c r="Z628" s="1112">
        <f>X628+Y628</f>
        <v>3350</v>
      </c>
      <c r="AA628" s="1109">
        <f t="shared" si="250"/>
        <v>3350</v>
      </c>
      <c r="AB628" s="1109">
        <f>AA628-X628</f>
        <v>0</v>
      </c>
      <c r="AC628" s="1127">
        <f>6700*O628</f>
        <v>3350</v>
      </c>
      <c r="AD628" s="1127">
        <f>AC628-(N628*O628)</f>
        <v>1322</v>
      </c>
      <c r="AE628" s="190">
        <f t="shared" si="251"/>
        <v>2028</v>
      </c>
      <c r="AF628" s="190">
        <f t="shared" si="252"/>
        <v>0</v>
      </c>
      <c r="AG628" s="190">
        <f t="shared" si="253"/>
        <v>2028</v>
      </c>
      <c r="AH628" s="190">
        <f t="shared" si="254"/>
        <v>0</v>
      </c>
      <c r="AI628" s="190">
        <f t="shared" si="255"/>
        <v>0</v>
      </c>
      <c r="AJ628" s="190">
        <f t="shared" si="255"/>
        <v>0</v>
      </c>
      <c r="AK628" s="464">
        <f t="shared" si="256"/>
        <v>0</v>
      </c>
      <c r="AL628" s="464">
        <f t="shared" si="257"/>
        <v>0</v>
      </c>
      <c r="AM628" s="464">
        <f t="shared" si="258"/>
        <v>1322</v>
      </c>
      <c r="AN628" s="464">
        <f t="shared" si="259"/>
        <v>0</v>
      </c>
      <c r="AO628" s="464">
        <f t="shared" si="260"/>
        <v>0</v>
      </c>
      <c r="AP628" s="464">
        <f t="shared" si="261"/>
        <v>2028</v>
      </c>
      <c r="AQ628" s="464">
        <f t="shared" si="261"/>
        <v>0</v>
      </c>
      <c r="AR628" s="190"/>
      <c r="AS628" s="464">
        <f t="shared" si="249"/>
        <v>2028</v>
      </c>
    </row>
    <row r="629" spans="1:45" s="191" customFormat="1" ht="24.95" customHeight="1">
      <c r="A629" s="1129"/>
      <c r="B629" s="1129"/>
      <c r="C629" s="1132"/>
      <c r="D629" s="1129"/>
      <c r="E629" s="1126"/>
      <c r="F629" s="1129"/>
      <c r="G629" s="1127"/>
      <c r="H629" s="1127"/>
      <c r="I629" s="1127"/>
      <c r="J629" s="1127"/>
      <c r="K629" s="1127"/>
      <c r="L629" s="1127"/>
      <c r="M629" s="1127"/>
      <c r="N629" s="1127"/>
      <c r="O629" s="1127"/>
      <c r="P629" s="1126"/>
      <c r="Q629" s="1126"/>
      <c r="R629" s="1126"/>
      <c r="S629" s="1126"/>
      <c r="T629" s="1129"/>
      <c r="U629" s="1130"/>
      <c r="V629" s="1127"/>
      <c r="W629" s="1127"/>
      <c r="X629" s="1127"/>
      <c r="Y629" s="1112"/>
      <c r="Z629" s="1112"/>
      <c r="AA629" s="1109"/>
      <c r="AB629" s="1109"/>
      <c r="AC629" s="1127"/>
      <c r="AD629" s="1127"/>
      <c r="AE629" s="190">
        <f t="shared" si="251"/>
        <v>0</v>
      </c>
      <c r="AF629" s="190">
        <f t="shared" si="252"/>
        <v>0</v>
      </c>
      <c r="AG629" s="190">
        <f t="shared" si="253"/>
        <v>0</v>
      </c>
      <c r="AH629" s="190">
        <f t="shared" si="254"/>
        <v>0</v>
      </c>
      <c r="AI629" s="190">
        <f t="shared" si="255"/>
        <v>0</v>
      </c>
      <c r="AJ629" s="190">
        <f t="shared" si="255"/>
        <v>0</v>
      </c>
      <c r="AK629" s="464">
        <f t="shared" si="256"/>
        <v>0</v>
      </c>
      <c r="AL629" s="464">
        <f t="shared" si="257"/>
        <v>0</v>
      </c>
      <c r="AM629" s="464">
        <f t="shared" si="258"/>
        <v>0</v>
      </c>
      <c r="AN629" s="464">
        <f t="shared" si="259"/>
        <v>0</v>
      </c>
      <c r="AO629" s="464">
        <f t="shared" si="260"/>
        <v>0</v>
      </c>
      <c r="AP629" s="464">
        <f t="shared" si="261"/>
        <v>0</v>
      </c>
      <c r="AQ629" s="464">
        <f t="shared" si="261"/>
        <v>0</v>
      </c>
      <c r="AR629" s="190"/>
      <c r="AS629" s="464">
        <f t="shared" si="249"/>
        <v>0</v>
      </c>
    </row>
    <row r="630" spans="1:45" s="191" customFormat="1" ht="24.95" customHeight="1">
      <c r="A630" s="1129"/>
      <c r="B630" s="1129"/>
      <c r="C630" s="1128" t="s">
        <v>837</v>
      </c>
      <c r="D630" s="1129"/>
      <c r="E630" s="1129" t="s">
        <v>838</v>
      </c>
      <c r="F630" s="1129">
        <v>5</v>
      </c>
      <c r="G630" s="1127">
        <v>4056</v>
      </c>
      <c r="H630" s="1127"/>
      <c r="I630" s="1127"/>
      <c r="J630" s="1127"/>
      <c r="K630" s="1127"/>
      <c r="L630" s="1127"/>
      <c r="M630" s="1127"/>
      <c r="N630" s="1127">
        <f>G630+H631</f>
        <v>4056</v>
      </c>
      <c r="O630" s="1127">
        <v>1</v>
      </c>
      <c r="P630" s="1126"/>
      <c r="Q630" s="1126"/>
      <c r="R630" s="1126"/>
      <c r="S630" s="1126"/>
      <c r="T630" s="1129"/>
      <c r="U630" s="1130"/>
      <c r="V630" s="1127"/>
      <c r="W630" s="1127">
        <f>AD630</f>
        <v>2644</v>
      </c>
      <c r="X630" s="1127">
        <f>(N630+V630+Q631+S630)*O630+W630</f>
        <v>6700</v>
      </c>
      <c r="Y630" s="1112"/>
      <c r="Z630" s="1112">
        <f>X630+Y630</f>
        <v>6700</v>
      </c>
      <c r="AA630" s="1109">
        <f t="shared" si="250"/>
        <v>6700</v>
      </c>
      <c r="AB630" s="1109">
        <f>AA630-X630</f>
        <v>0</v>
      </c>
      <c r="AC630" s="1127">
        <f>6700*O630</f>
        <v>6700</v>
      </c>
      <c r="AD630" s="1127">
        <f>AC630-(N630*O630)</f>
        <v>2644</v>
      </c>
      <c r="AE630" s="190">
        <f t="shared" si="251"/>
        <v>4056</v>
      </c>
      <c r="AF630" s="190">
        <f t="shared" si="252"/>
        <v>0</v>
      </c>
      <c r="AG630" s="190">
        <f t="shared" si="253"/>
        <v>4056</v>
      </c>
      <c r="AH630" s="190">
        <f t="shared" si="254"/>
        <v>0</v>
      </c>
      <c r="AI630" s="190">
        <f t="shared" si="255"/>
        <v>0</v>
      </c>
      <c r="AJ630" s="190">
        <f t="shared" si="255"/>
        <v>0</v>
      </c>
      <c r="AK630" s="464">
        <f t="shared" si="256"/>
        <v>0</v>
      </c>
      <c r="AL630" s="464">
        <f t="shared" si="257"/>
        <v>0</v>
      </c>
      <c r="AM630" s="464">
        <f t="shared" si="258"/>
        <v>2644</v>
      </c>
      <c r="AN630" s="464">
        <f t="shared" si="259"/>
        <v>0</v>
      </c>
      <c r="AO630" s="464">
        <f t="shared" si="260"/>
        <v>0</v>
      </c>
      <c r="AP630" s="464">
        <f t="shared" si="261"/>
        <v>4056</v>
      </c>
      <c r="AQ630" s="464">
        <f t="shared" si="261"/>
        <v>0</v>
      </c>
      <c r="AR630" s="190"/>
      <c r="AS630" s="464">
        <f t="shared" si="249"/>
        <v>4056</v>
      </c>
    </row>
    <row r="631" spans="1:45" s="191" customFormat="1" ht="24.95" customHeight="1">
      <c r="A631" s="1129"/>
      <c r="B631" s="1129"/>
      <c r="C631" s="1128"/>
      <c r="D631" s="1129"/>
      <c r="E631" s="1129"/>
      <c r="F631" s="1129"/>
      <c r="G631" s="1127"/>
      <c r="H631" s="1127"/>
      <c r="I631" s="1127"/>
      <c r="J631" s="1127"/>
      <c r="K631" s="1127"/>
      <c r="L631" s="1127"/>
      <c r="M631" s="1127"/>
      <c r="N631" s="1127"/>
      <c r="O631" s="1127"/>
      <c r="P631" s="1126"/>
      <c r="Q631" s="1126"/>
      <c r="R631" s="1126"/>
      <c r="S631" s="1126"/>
      <c r="T631" s="1129"/>
      <c r="U631" s="1130"/>
      <c r="V631" s="1127"/>
      <c r="W631" s="1127"/>
      <c r="X631" s="1127"/>
      <c r="Y631" s="1112"/>
      <c r="Z631" s="1112"/>
      <c r="AA631" s="1109"/>
      <c r="AB631" s="1109"/>
      <c r="AC631" s="1127"/>
      <c r="AD631" s="1127"/>
      <c r="AE631" s="190">
        <f t="shared" si="251"/>
        <v>0</v>
      </c>
      <c r="AF631" s="190">
        <f t="shared" si="252"/>
        <v>0</v>
      </c>
      <c r="AG631" s="190">
        <f t="shared" si="253"/>
        <v>0</v>
      </c>
      <c r="AH631" s="190">
        <f t="shared" si="254"/>
        <v>0</v>
      </c>
      <c r="AI631" s="190">
        <f t="shared" si="255"/>
        <v>0</v>
      </c>
      <c r="AJ631" s="190">
        <f t="shared" si="255"/>
        <v>0</v>
      </c>
      <c r="AK631" s="464">
        <f t="shared" si="256"/>
        <v>0</v>
      </c>
      <c r="AL631" s="464">
        <f t="shared" si="257"/>
        <v>0</v>
      </c>
      <c r="AM631" s="464">
        <f t="shared" si="258"/>
        <v>0</v>
      </c>
      <c r="AN631" s="464">
        <f t="shared" si="259"/>
        <v>0</v>
      </c>
      <c r="AO631" s="464">
        <f t="shared" si="260"/>
        <v>0</v>
      </c>
      <c r="AP631" s="464">
        <f t="shared" si="261"/>
        <v>0</v>
      </c>
      <c r="AQ631" s="464">
        <f t="shared" si="261"/>
        <v>0</v>
      </c>
      <c r="AR631" s="190"/>
      <c r="AS631" s="464">
        <f t="shared" si="249"/>
        <v>0</v>
      </c>
    </row>
    <row r="632" spans="1:45" s="191" customFormat="1" ht="24.95" customHeight="1">
      <c r="A632" s="1129"/>
      <c r="B632" s="1129"/>
      <c r="C632" s="1132" t="s">
        <v>839</v>
      </c>
      <c r="D632" s="1129"/>
      <c r="E632" s="1126" t="s">
        <v>1073</v>
      </c>
      <c r="F632" s="1126">
        <v>1</v>
      </c>
      <c r="G632" s="1127">
        <v>2982</v>
      </c>
      <c r="H632" s="1127"/>
      <c r="I632" s="1127"/>
      <c r="J632" s="1127"/>
      <c r="K632" s="1127"/>
      <c r="L632" s="1127"/>
      <c r="M632" s="1127"/>
      <c r="N632" s="1127">
        <f>G632+H633</f>
        <v>2982</v>
      </c>
      <c r="O632" s="1127">
        <v>1</v>
      </c>
      <c r="P632" s="1126"/>
      <c r="Q632" s="1126"/>
      <c r="R632" s="1130">
        <v>0.1</v>
      </c>
      <c r="S632" s="1127">
        <f>N632*R632</f>
        <v>298.2</v>
      </c>
      <c r="T632" s="1129"/>
      <c r="U632" s="1130"/>
      <c r="V632" s="1127"/>
      <c r="W632" s="1127">
        <f>AD632</f>
        <v>3718</v>
      </c>
      <c r="X632" s="1127">
        <f>(N632+V632+Q633+S632)*O632+W632</f>
        <v>6998.2</v>
      </c>
      <c r="Y632" s="1112"/>
      <c r="Z632" s="1112">
        <f>X632+Y632</f>
        <v>6998.2</v>
      </c>
      <c r="AA632" s="1109">
        <f t="shared" si="250"/>
        <v>6998.2</v>
      </c>
      <c r="AB632" s="1109">
        <f>AA632-X632</f>
        <v>0</v>
      </c>
      <c r="AC632" s="1127">
        <f>6700*O632</f>
        <v>6700</v>
      </c>
      <c r="AD632" s="1127">
        <f>AC632-(N632*O632)</f>
        <v>3718</v>
      </c>
      <c r="AE632" s="190">
        <f t="shared" si="251"/>
        <v>2982</v>
      </c>
      <c r="AF632" s="190">
        <f t="shared" si="252"/>
        <v>0</v>
      </c>
      <c r="AG632" s="190">
        <f t="shared" si="253"/>
        <v>2982</v>
      </c>
      <c r="AH632" s="190">
        <f t="shared" si="254"/>
        <v>0</v>
      </c>
      <c r="AI632" s="190">
        <f t="shared" ref="AI632:AJ641" si="262">AG632-AE632</f>
        <v>0</v>
      </c>
      <c r="AJ632" s="190">
        <f t="shared" si="262"/>
        <v>0</v>
      </c>
      <c r="AK632" s="464">
        <f t="shared" si="256"/>
        <v>0</v>
      </c>
      <c r="AL632" s="464">
        <f t="shared" si="257"/>
        <v>0</v>
      </c>
      <c r="AM632" s="464">
        <f t="shared" si="258"/>
        <v>3718</v>
      </c>
      <c r="AN632" s="464">
        <f t="shared" si="259"/>
        <v>298.2</v>
      </c>
      <c r="AO632" s="464">
        <f t="shared" si="260"/>
        <v>0</v>
      </c>
      <c r="AP632" s="464">
        <f t="shared" ref="AP632:AQ641" si="263">AG632</f>
        <v>2982</v>
      </c>
      <c r="AQ632" s="464">
        <f t="shared" si="263"/>
        <v>0</v>
      </c>
      <c r="AR632" s="190"/>
      <c r="AS632" s="464">
        <f t="shared" si="249"/>
        <v>2982</v>
      </c>
    </row>
    <row r="633" spans="1:45" s="191" customFormat="1" ht="24.95" customHeight="1">
      <c r="A633" s="1129"/>
      <c r="B633" s="1129"/>
      <c r="C633" s="1132"/>
      <c r="D633" s="1129"/>
      <c r="E633" s="1126"/>
      <c r="F633" s="1126"/>
      <c r="G633" s="1127"/>
      <c r="H633" s="1127"/>
      <c r="I633" s="1127"/>
      <c r="J633" s="1127"/>
      <c r="K633" s="1127"/>
      <c r="L633" s="1127"/>
      <c r="M633" s="1127"/>
      <c r="N633" s="1127"/>
      <c r="O633" s="1127"/>
      <c r="P633" s="1126"/>
      <c r="Q633" s="1126"/>
      <c r="R633" s="1126"/>
      <c r="S633" s="1131"/>
      <c r="T633" s="1129"/>
      <c r="U633" s="1130"/>
      <c r="V633" s="1127"/>
      <c r="W633" s="1127"/>
      <c r="X633" s="1127"/>
      <c r="Y633" s="1112"/>
      <c r="Z633" s="1112"/>
      <c r="AA633" s="1109"/>
      <c r="AB633" s="1109"/>
      <c r="AC633" s="1127"/>
      <c r="AD633" s="1127"/>
      <c r="AE633" s="190">
        <f t="shared" si="251"/>
        <v>0</v>
      </c>
      <c r="AF633" s="190">
        <f t="shared" si="252"/>
        <v>0</v>
      </c>
      <c r="AG633" s="190">
        <f t="shared" si="253"/>
        <v>0</v>
      </c>
      <c r="AH633" s="190">
        <f t="shared" si="254"/>
        <v>0</v>
      </c>
      <c r="AI633" s="190">
        <f t="shared" si="262"/>
        <v>0</v>
      </c>
      <c r="AJ633" s="190">
        <f t="shared" si="262"/>
        <v>0</v>
      </c>
      <c r="AK633" s="464">
        <f t="shared" si="256"/>
        <v>0</v>
      </c>
      <c r="AL633" s="464">
        <f t="shared" si="257"/>
        <v>0</v>
      </c>
      <c r="AM633" s="464">
        <f t="shared" si="258"/>
        <v>0</v>
      </c>
      <c r="AN633" s="464">
        <f t="shared" si="259"/>
        <v>0</v>
      </c>
      <c r="AO633" s="464">
        <f t="shared" si="260"/>
        <v>0</v>
      </c>
      <c r="AP633" s="464">
        <f t="shared" si="263"/>
        <v>0</v>
      </c>
      <c r="AQ633" s="464">
        <f t="shared" si="263"/>
        <v>0</v>
      </c>
      <c r="AR633" s="190"/>
      <c r="AS633" s="464">
        <f t="shared" si="249"/>
        <v>0</v>
      </c>
    </row>
    <row r="634" spans="1:45" s="191" customFormat="1" ht="24.95" customHeight="1">
      <c r="A634" s="1129"/>
      <c r="B634" s="1129"/>
      <c r="C634" s="1132" t="s">
        <v>839</v>
      </c>
      <c r="D634" s="1129"/>
      <c r="E634" s="1126" t="s">
        <v>840</v>
      </c>
      <c r="F634" s="1126">
        <v>1</v>
      </c>
      <c r="G634" s="1127">
        <v>2982</v>
      </c>
      <c r="H634" s="1127"/>
      <c r="I634" s="1127"/>
      <c r="J634" s="1127"/>
      <c r="K634" s="1127"/>
      <c r="L634" s="1127"/>
      <c r="M634" s="1127"/>
      <c r="N634" s="1127">
        <f>G634+H635</f>
        <v>2982</v>
      </c>
      <c r="O634" s="1127">
        <v>1</v>
      </c>
      <c r="P634" s="1126"/>
      <c r="Q634" s="1126"/>
      <c r="R634" s="1130">
        <v>0.1</v>
      </c>
      <c r="S634" s="1127">
        <f>N634*R634</f>
        <v>298.2</v>
      </c>
      <c r="T634" s="1129"/>
      <c r="U634" s="1130"/>
      <c r="V634" s="1127"/>
      <c r="W634" s="1127">
        <f>AD634</f>
        <v>3718</v>
      </c>
      <c r="X634" s="1127">
        <f>(N634+V634+Q635+S634)*O634+W634</f>
        <v>6998.2</v>
      </c>
      <c r="Y634" s="1112"/>
      <c r="Z634" s="1112">
        <f>X634+Y634</f>
        <v>6998.2</v>
      </c>
      <c r="AA634" s="1109">
        <f t="shared" si="250"/>
        <v>6998.2</v>
      </c>
      <c r="AB634" s="1109">
        <f>AA634-X634</f>
        <v>0</v>
      </c>
      <c r="AC634" s="1127">
        <f>6700*O634</f>
        <v>6700</v>
      </c>
      <c r="AD634" s="1127">
        <f>AC634-(N634*O634)</f>
        <v>3718</v>
      </c>
      <c r="AE634" s="190">
        <f t="shared" si="251"/>
        <v>2982</v>
      </c>
      <c r="AF634" s="190">
        <f t="shared" si="252"/>
        <v>0</v>
      </c>
      <c r="AG634" s="190">
        <f t="shared" si="253"/>
        <v>2982</v>
      </c>
      <c r="AH634" s="190">
        <f t="shared" si="254"/>
        <v>0</v>
      </c>
      <c r="AI634" s="190">
        <f t="shared" si="262"/>
        <v>0</v>
      </c>
      <c r="AJ634" s="190">
        <f t="shared" si="262"/>
        <v>0</v>
      </c>
      <c r="AK634" s="464">
        <f t="shared" si="256"/>
        <v>0</v>
      </c>
      <c r="AL634" s="464">
        <f t="shared" si="257"/>
        <v>0</v>
      </c>
      <c r="AM634" s="464">
        <f t="shared" si="258"/>
        <v>3718</v>
      </c>
      <c r="AN634" s="464">
        <f t="shared" si="259"/>
        <v>298.2</v>
      </c>
      <c r="AO634" s="464">
        <f t="shared" si="260"/>
        <v>0</v>
      </c>
      <c r="AP634" s="464">
        <f t="shared" si="263"/>
        <v>2982</v>
      </c>
      <c r="AQ634" s="464">
        <f t="shared" si="263"/>
        <v>0</v>
      </c>
      <c r="AR634" s="190"/>
      <c r="AS634" s="464">
        <f t="shared" si="249"/>
        <v>2982</v>
      </c>
    </row>
    <row r="635" spans="1:45" s="191" customFormat="1" ht="24.95" customHeight="1">
      <c r="A635" s="1129"/>
      <c r="B635" s="1129"/>
      <c r="C635" s="1132"/>
      <c r="D635" s="1129"/>
      <c r="E635" s="1126"/>
      <c r="F635" s="1126"/>
      <c r="G635" s="1127"/>
      <c r="H635" s="1127"/>
      <c r="I635" s="1127"/>
      <c r="J635" s="1127"/>
      <c r="K635" s="1127"/>
      <c r="L635" s="1127"/>
      <c r="M635" s="1127"/>
      <c r="N635" s="1127"/>
      <c r="O635" s="1127"/>
      <c r="P635" s="1126"/>
      <c r="Q635" s="1126"/>
      <c r="R635" s="1126"/>
      <c r="S635" s="1131"/>
      <c r="T635" s="1129"/>
      <c r="U635" s="1130"/>
      <c r="V635" s="1127"/>
      <c r="W635" s="1127"/>
      <c r="X635" s="1127"/>
      <c r="Y635" s="1112"/>
      <c r="Z635" s="1112"/>
      <c r="AA635" s="1109"/>
      <c r="AB635" s="1109"/>
      <c r="AC635" s="1127"/>
      <c r="AD635" s="1127"/>
      <c r="AE635" s="190">
        <f t="shared" si="251"/>
        <v>0</v>
      </c>
      <c r="AF635" s="190">
        <f t="shared" si="252"/>
        <v>0</v>
      </c>
      <c r="AG635" s="190">
        <f t="shared" si="253"/>
        <v>0</v>
      </c>
      <c r="AH635" s="190">
        <f t="shared" si="254"/>
        <v>0</v>
      </c>
      <c r="AI635" s="190">
        <f t="shared" si="262"/>
        <v>0</v>
      </c>
      <c r="AJ635" s="190">
        <f t="shared" si="262"/>
        <v>0</v>
      </c>
      <c r="AK635" s="464">
        <f t="shared" si="256"/>
        <v>0</v>
      </c>
      <c r="AL635" s="464">
        <f t="shared" si="257"/>
        <v>0</v>
      </c>
      <c r="AM635" s="464">
        <f t="shared" si="258"/>
        <v>0</v>
      </c>
      <c r="AN635" s="464">
        <f t="shared" si="259"/>
        <v>0</v>
      </c>
      <c r="AO635" s="464">
        <f t="shared" si="260"/>
        <v>0</v>
      </c>
      <c r="AP635" s="464">
        <f t="shared" si="263"/>
        <v>0</v>
      </c>
      <c r="AQ635" s="464">
        <f t="shared" si="263"/>
        <v>0</v>
      </c>
      <c r="AR635" s="190"/>
      <c r="AS635" s="464">
        <f t="shared" si="249"/>
        <v>0</v>
      </c>
    </row>
    <row r="636" spans="1:45" s="191" customFormat="1" ht="24.95" customHeight="1">
      <c r="A636" s="1129"/>
      <c r="B636" s="1129"/>
      <c r="C636" s="1132" t="s">
        <v>839</v>
      </c>
      <c r="D636" s="1129"/>
      <c r="E636" s="1126" t="s">
        <v>841</v>
      </c>
      <c r="F636" s="1126">
        <v>1</v>
      </c>
      <c r="G636" s="1127">
        <v>2982</v>
      </c>
      <c r="H636" s="1127"/>
      <c r="I636" s="1127"/>
      <c r="J636" s="1127"/>
      <c r="K636" s="1127"/>
      <c r="L636" s="1127"/>
      <c r="M636" s="1127"/>
      <c r="N636" s="1127">
        <f>G636+H637</f>
        <v>2982</v>
      </c>
      <c r="O636" s="1127">
        <v>1</v>
      </c>
      <c r="P636" s="1126"/>
      <c r="Q636" s="1126"/>
      <c r="R636" s="1130">
        <v>0.1</v>
      </c>
      <c r="S636" s="1127">
        <f>N636*R636</f>
        <v>298.2</v>
      </c>
      <c r="T636" s="1129"/>
      <c r="U636" s="1130"/>
      <c r="V636" s="1127"/>
      <c r="W636" s="1127">
        <f>AD636</f>
        <v>3718</v>
      </c>
      <c r="X636" s="1127">
        <f>(N636+V636+Q637+S636)*O636+W636</f>
        <v>6998.2</v>
      </c>
      <c r="Y636" s="1112"/>
      <c r="Z636" s="1112">
        <f>X636+Y636</f>
        <v>6998.2</v>
      </c>
      <c r="AA636" s="1109">
        <f t="shared" si="250"/>
        <v>6998.2</v>
      </c>
      <c r="AB636" s="1109">
        <f>AA636-X636</f>
        <v>0</v>
      </c>
      <c r="AC636" s="1127">
        <f>6700*O636</f>
        <v>6700</v>
      </c>
      <c r="AD636" s="1127">
        <f>AC636-(N636*O636)</f>
        <v>3718</v>
      </c>
      <c r="AE636" s="190">
        <f t="shared" si="251"/>
        <v>2982</v>
      </c>
      <c r="AF636" s="190">
        <f t="shared" si="252"/>
        <v>0</v>
      </c>
      <c r="AG636" s="190">
        <f t="shared" si="253"/>
        <v>2982</v>
      </c>
      <c r="AH636" s="190">
        <f t="shared" si="254"/>
        <v>0</v>
      </c>
      <c r="AI636" s="190">
        <f t="shared" si="262"/>
        <v>0</v>
      </c>
      <c r="AJ636" s="190">
        <f t="shared" si="262"/>
        <v>0</v>
      </c>
      <c r="AK636" s="464">
        <f t="shared" si="256"/>
        <v>0</v>
      </c>
      <c r="AL636" s="464">
        <f t="shared" si="257"/>
        <v>0</v>
      </c>
      <c r="AM636" s="464">
        <f t="shared" si="258"/>
        <v>3718</v>
      </c>
      <c r="AN636" s="464">
        <f>S636*O636</f>
        <v>298.2</v>
      </c>
      <c r="AO636" s="464">
        <f>S636*P636</f>
        <v>0</v>
      </c>
      <c r="AP636" s="464">
        <f t="shared" si="263"/>
        <v>2982</v>
      </c>
      <c r="AQ636" s="464">
        <f t="shared" si="263"/>
        <v>0</v>
      </c>
      <c r="AR636" s="190"/>
      <c r="AS636" s="464">
        <f t="shared" si="249"/>
        <v>2982</v>
      </c>
    </row>
    <row r="637" spans="1:45" s="191" customFormat="1" ht="24.95" customHeight="1">
      <c r="A637" s="1129"/>
      <c r="B637" s="1129"/>
      <c r="C637" s="1132"/>
      <c r="D637" s="1129"/>
      <c r="E637" s="1126"/>
      <c r="F637" s="1126"/>
      <c r="G637" s="1127"/>
      <c r="H637" s="1127"/>
      <c r="I637" s="1127"/>
      <c r="J637" s="1127"/>
      <c r="K637" s="1127"/>
      <c r="L637" s="1127"/>
      <c r="M637" s="1127"/>
      <c r="N637" s="1127"/>
      <c r="O637" s="1127"/>
      <c r="P637" s="1126"/>
      <c r="Q637" s="1126"/>
      <c r="R637" s="1126"/>
      <c r="S637" s="1131"/>
      <c r="T637" s="1129"/>
      <c r="U637" s="1130"/>
      <c r="V637" s="1127"/>
      <c r="W637" s="1127"/>
      <c r="X637" s="1127"/>
      <c r="Y637" s="1112"/>
      <c r="Z637" s="1112"/>
      <c r="AA637" s="1109"/>
      <c r="AB637" s="1109"/>
      <c r="AC637" s="1127"/>
      <c r="AD637" s="1127"/>
      <c r="AE637" s="190">
        <f t="shared" si="251"/>
        <v>0</v>
      </c>
      <c r="AF637" s="190">
        <f t="shared" si="252"/>
        <v>0</v>
      </c>
      <c r="AG637" s="190">
        <f t="shared" si="253"/>
        <v>0</v>
      </c>
      <c r="AH637" s="190">
        <f t="shared" si="254"/>
        <v>0</v>
      </c>
      <c r="AI637" s="190">
        <f t="shared" si="262"/>
        <v>0</v>
      </c>
      <c r="AJ637" s="190">
        <f t="shared" si="262"/>
        <v>0</v>
      </c>
      <c r="AK637" s="464">
        <f t="shared" si="256"/>
        <v>0</v>
      </c>
      <c r="AL637" s="464">
        <f t="shared" si="257"/>
        <v>0</v>
      </c>
      <c r="AM637" s="464">
        <f t="shared" si="258"/>
        <v>0</v>
      </c>
      <c r="AN637" s="464">
        <f>S637*O637</f>
        <v>0</v>
      </c>
      <c r="AO637" s="464">
        <f>S637*P637</f>
        <v>0</v>
      </c>
      <c r="AP637" s="464">
        <f t="shared" si="263"/>
        <v>0</v>
      </c>
      <c r="AQ637" s="464">
        <f t="shared" si="263"/>
        <v>0</v>
      </c>
      <c r="AR637" s="190"/>
      <c r="AS637" s="464">
        <f t="shared" si="249"/>
        <v>0</v>
      </c>
    </row>
    <row r="638" spans="1:45" s="191" customFormat="1" ht="24.95" customHeight="1">
      <c r="A638" s="1129"/>
      <c r="B638" s="1129"/>
      <c r="C638" s="1132" t="s">
        <v>839</v>
      </c>
      <c r="D638" s="1129"/>
      <c r="E638" s="1126" t="s">
        <v>842</v>
      </c>
      <c r="F638" s="1126">
        <v>1</v>
      </c>
      <c r="G638" s="1127">
        <v>2982</v>
      </c>
      <c r="H638" s="1127"/>
      <c r="I638" s="1127"/>
      <c r="J638" s="1127"/>
      <c r="K638" s="1127"/>
      <c r="L638" s="1127"/>
      <c r="M638" s="1127"/>
      <c r="N638" s="1127">
        <f>G638+H639</f>
        <v>2982</v>
      </c>
      <c r="O638" s="1127">
        <v>1</v>
      </c>
      <c r="P638" s="1126"/>
      <c r="Q638" s="1126"/>
      <c r="R638" s="1130">
        <v>0.1</v>
      </c>
      <c r="S638" s="1127">
        <f>N638*R638</f>
        <v>298.2</v>
      </c>
      <c r="T638" s="1129"/>
      <c r="U638" s="1130"/>
      <c r="V638" s="1127"/>
      <c r="W638" s="1127">
        <f>AD638</f>
        <v>3718</v>
      </c>
      <c r="X638" s="1127">
        <f>(N638+V638+Q639+S638)*O638+W638</f>
        <v>6998.2</v>
      </c>
      <c r="Y638" s="1112"/>
      <c r="Z638" s="1112">
        <f>X638+Y638</f>
        <v>6998.2</v>
      </c>
      <c r="AA638" s="1109">
        <f t="shared" si="250"/>
        <v>6998.2</v>
      </c>
      <c r="AB638" s="1109">
        <f>AA638-X638</f>
        <v>0</v>
      </c>
      <c r="AC638" s="1127">
        <f>6700*O638</f>
        <v>6700</v>
      </c>
      <c r="AD638" s="1127">
        <f>AC638-(N638*O638)</f>
        <v>3718</v>
      </c>
      <c r="AE638" s="190">
        <f>G638*O638</f>
        <v>2982</v>
      </c>
      <c r="AF638" s="190">
        <f>G638*P638</f>
        <v>0</v>
      </c>
      <c r="AG638" s="190">
        <f>N638*O638</f>
        <v>2982</v>
      </c>
      <c r="AH638" s="190">
        <f>N638*P638</f>
        <v>0</v>
      </c>
      <c r="AI638" s="190">
        <f>AG638-AE638</f>
        <v>0</v>
      </c>
      <c r="AJ638" s="190">
        <f>AH638-AF638</f>
        <v>0</v>
      </c>
      <c r="AK638" s="464">
        <f>V638*O638</f>
        <v>0</v>
      </c>
      <c r="AL638" s="464">
        <f>V638*P638</f>
        <v>0</v>
      </c>
      <c r="AM638" s="464">
        <f>W638</f>
        <v>3718</v>
      </c>
      <c r="AN638" s="464">
        <f>S638*O638</f>
        <v>298.2</v>
      </c>
      <c r="AO638" s="464">
        <f>S638*P638</f>
        <v>0</v>
      </c>
      <c r="AP638" s="464">
        <f>AG638</f>
        <v>2982</v>
      </c>
      <c r="AQ638" s="464">
        <f>AH638</f>
        <v>0</v>
      </c>
      <c r="AR638" s="190"/>
      <c r="AS638" s="464">
        <f>AP638+AQ638-AR638</f>
        <v>2982</v>
      </c>
    </row>
    <row r="639" spans="1:45" s="191" customFormat="1" ht="24.95" customHeight="1">
      <c r="A639" s="1129"/>
      <c r="B639" s="1129"/>
      <c r="C639" s="1132"/>
      <c r="D639" s="1129"/>
      <c r="E639" s="1126"/>
      <c r="F639" s="1126"/>
      <c r="G639" s="1127"/>
      <c r="H639" s="1127"/>
      <c r="I639" s="1127"/>
      <c r="J639" s="1127"/>
      <c r="K639" s="1127"/>
      <c r="L639" s="1127"/>
      <c r="M639" s="1127"/>
      <c r="N639" s="1127"/>
      <c r="O639" s="1127"/>
      <c r="P639" s="1126"/>
      <c r="Q639" s="1126"/>
      <c r="R639" s="1126"/>
      <c r="S639" s="1131"/>
      <c r="T639" s="1129"/>
      <c r="U639" s="1130"/>
      <c r="V639" s="1127"/>
      <c r="W639" s="1127"/>
      <c r="X639" s="1127"/>
      <c r="Y639" s="1112"/>
      <c r="Z639" s="1112"/>
      <c r="AA639" s="1109"/>
      <c r="AB639" s="1109"/>
      <c r="AC639" s="1127"/>
      <c r="AD639" s="1127"/>
      <c r="AE639" s="190">
        <f>G639*O639</f>
        <v>0</v>
      </c>
      <c r="AF639" s="190">
        <f>G639*P639</f>
        <v>0</v>
      </c>
      <c r="AG639" s="190">
        <f>N639*O639</f>
        <v>0</v>
      </c>
      <c r="AH639" s="190">
        <f>N639*P639</f>
        <v>0</v>
      </c>
      <c r="AI639" s="190">
        <f>AG639-AE639</f>
        <v>0</v>
      </c>
      <c r="AJ639" s="190">
        <f>AH639-AF639</f>
        <v>0</v>
      </c>
      <c r="AK639" s="464">
        <f>V639*O639</f>
        <v>0</v>
      </c>
      <c r="AL639" s="464">
        <f>V639*P639</f>
        <v>0</v>
      </c>
      <c r="AM639" s="464">
        <f>W639</f>
        <v>0</v>
      </c>
      <c r="AN639" s="464">
        <f>S639*O639</f>
        <v>0</v>
      </c>
      <c r="AO639" s="464">
        <f>S639*P639</f>
        <v>0</v>
      </c>
      <c r="AP639" s="464">
        <f>AG639</f>
        <v>0</v>
      </c>
      <c r="AQ639" s="464">
        <f>AH639</f>
        <v>0</v>
      </c>
      <c r="AR639" s="190"/>
      <c r="AS639" s="464">
        <f>AP639+AQ639-AR639</f>
        <v>0</v>
      </c>
    </row>
    <row r="640" spans="1:45" s="191" customFormat="1" ht="24.95" customHeight="1">
      <c r="A640" s="1129"/>
      <c r="B640" s="1129"/>
      <c r="C640" s="1128" t="s">
        <v>843</v>
      </c>
      <c r="D640" s="1129"/>
      <c r="E640" s="1129" t="s">
        <v>844</v>
      </c>
      <c r="F640" s="1129">
        <v>1</v>
      </c>
      <c r="G640" s="1127">
        <v>2982</v>
      </c>
      <c r="H640" s="1127"/>
      <c r="I640" s="1127"/>
      <c r="J640" s="1127"/>
      <c r="K640" s="1127"/>
      <c r="L640" s="1127"/>
      <c r="M640" s="1127"/>
      <c r="N640" s="1127">
        <f>G640+H641</f>
        <v>2982</v>
      </c>
      <c r="O640" s="1127">
        <v>1</v>
      </c>
      <c r="P640" s="1126"/>
      <c r="Q640" s="1126"/>
      <c r="R640" s="1126"/>
      <c r="S640" s="1126"/>
      <c r="T640" s="1129"/>
      <c r="U640" s="1130"/>
      <c r="V640" s="1127"/>
      <c r="W640" s="1127">
        <f>AD640</f>
        <v>3718</v>
      </c>
      <c r="X640" s="1127">
        <f>(N640+V640+Q641+S640)*O640+W640</f>
        <v>6700</v>
      </c>
      <c r="Y640" s="1112"/>
      <c r="Z640" s="1112">
        <f>X640+Y640</f>
        <v>6700</v>
      </c>
      <c r="AA640" s="1109">
        <f t="shared" si="250"/>
        <v>6700</v>
      </c>
      <c r="AB640" s="1109">
        <f>AA640-X640</f>
        <v>0</v>
      </c>
      <c r="AC640" s="1127">
        <f>6700*O640</f>
        <v>6700</v>
      </c>
      <c r="AD640" s="1127">
        <f>AC640-(N640*O640)</f>
        <v>3718</v>
      </c>
      <c r="AE640" s="190">
        <f t="shared" si="251"/>
        <v>2982</v>
      </c>
      <c r="AF640" s="190">
        <f t="shared" si="252"/>
        <v>0</v>
      </c>
      <c r="AG640" s="190">
        <f t="shared" si="253"/>
        <v>2982</v>
      </c>
      <c r="AH640" s="190">
        <f t="shared" si="254"/>
        <v>0</v>
      </c>
      <c r="AI640" s="190">
        <f t="shared" si="262"/>
        <v>0</v>
      </c>
      <c r="AJ640" s="190">
        <f t="shared" si="262"/>
        <v>0</v>
      </c>
      <c r="AK640" s="464">
        <f t="shared" si="256"/>
        <v>0</v>
      </c>
      <c r="AL640" s="464">
        <f t="shared" si="257"/>
        <v>0</v>
      </c>
      <c r="AM640" s="464">
        <f t="shared" si="258"/>
        <v>3718</v>
      </c>
      <c r="AN640" s="464">
        <f t="shared" si="259"/>
        <v>0</v>
      </c>
      <c r="AO640" s="464">
        <f t="shared" si="260"/>
        <v>0</v>
      </c>
      <c r="AP640" s="464">
        <f t="shared" si="263"/>
        <v>2982</v>
      </c>
      <c r="AQ640" s="464">
        <f t="shared" si="263"/>
        <v>0</v>
      </c>
      <c r="AR640" s="190"/>
      <c r="AS640" s="464">
        <f t="shared" si="249"/>
        <v>2982</v>
      </c>
    </row>
    <row r="641" spans="1:45" s="191" customFormat="1" ht="24.95" customHeight="1">
      <c r="A641" s="1129"/>
      <c r="B641" s="1129"/>
      <c r="C641" s="1128"/>
      <c r="D641" s="1129"/>
      <c r="E641" s="1129"/>
      <c r="F641" s="1129"/>
      <c r="G641" s="1127"/>
      <c r="H641" s="1127"/>
      <c r="I641" s="1127"/>
      <c r="J641" s="1127"/>
      <c r="K641" s="1127"/>
      <c r="L641" s="1127"/>
      <c r="M641" s="1127"/>
      <c r="N641" s="1127"/>
      <c r="O641" s="1127"/>
      <c r="P641" s="1126"/>
      <c r="Q641" s="1126"/>
      <c r="R641" s="1126"/>
      <c r="S641" s="1126"/>
      <c r="T641" s="1129"/>
      <c r="U641" s="1130"/>
      <c r="V641" s="1127"/>
      <c r="W641" s="1127"/>
      <c r="X641" s="1127"/>
      <c r="Y641" s="1112"/>
      <c r="Z641" s="1112"/>
      <c r="AA641" s="1109"/>
      <c r="AB641" s="1109"/>
      <c r="AC641" s="1127"/>
      <c r="AD641" s="1127"/>
      <c r="AE641" s="190">
        <f t="shared" si="251"/>
        <v>0</v>
      </c>
      <c r="AF641" s="190">
        <f t="shared" si="252"/>
        <v>0</v>
      </c>
      <c r="AG641" s="190">
        <f t="shared" si="253"/>
        <v>0</v>
      </c>
      <c r="AH641" s="190">
        <f t="shared" si="254"/>
        <v>0</v>
      </c>
      <c r="AI641" s="190">
        <f t="shared" si="262"/>
        <v>0</v>
      </c>
      <c r="AJ641" s="190">
        <f t="shared" si="262"/>
        <v>0</v>
      </c>
      <c r="AK641" s="464">
        <f t="shared" si="256"/>
        <v>0</v>
      </c>
      <c r="AL641" s="464">
        <f t="shared" si="257"/>
        <v>0</v>
      </c>
      <c r="AM641" s="464">
        <f t="shared" si="258"/>
        <v>0</v>
      </c>
      <c r="AN641" s="464">
        <f t="shared" si="259"/>
        <v>0</v>
      </c>
      <c r="AO641" s="464">
        <f t="shared" si="260"/>
        <v>0</v>
      </c>
      <c r="AP641" s="464">
        <f t="shared" si="263"/>
        <v>0</v>
      </c>
      <c r="AQ641" s="464">
        <f t="shared" si="263"/>
        <v>0</v>
      </c>
      <c r="AR641" s="190"/>
      <c r="AS641" s="464">
        <f t="shared" si="249"/>
        <v>0</v>
      </c>
    </row>
    <row r="642" spans="1:45" s="191" customFormat="1" ht="24.95" customHeight="1">
      <c r="A642" s="1129"/>
      <c r="B642" s="1129"/>
      <c r="C642" s="1132" t="s">
        <v>845</v>
      </c>
      <c r="D642" s="1129"/>
      <c r="E642" s="1126" t="s">
        <v>846</v>
      </c>
      <c r="F642" s="1126">
        <v>4</v>
      </c>
      <c r="G642" s="1127">
        <v>3787</v>
      </c>
      <c r="H642" s="1127"/>
      <c r="I642" s="1127"/>
      <c r="J642" s="1127"/>
      <c r="K642" s="1127"/>
      <c r="L642" s="1127"/>
      <c r="M642" s="1127"/>
      <c r="N642" s="1127">
        <f>G642+H643</f>
        <v>3787</v>
      </c>
      <c r="O642" s="1127">
        <v>1</v>
      </c>
      <c r="P642" s="1126"/>
      <c r="Q642" s="1126"/>
      <c r="R642" s="1126"/>
      <c r="S642" s="1126"/>
      <c r="T642" s="1129"/>
      <c r="U642" s="1130"/>
      <c r="V642" s="1127"/>
      <c r="W642" s="1127">
        <f>AD642</f>
        <v>2913</v>
      </c>
      <c r="X642" s="1127">
        <f>(N642+V642+Q643+S642)*O642+W642</f>
        <v>6700</v>
      </c>
      <c r="Y642" s="1112"/>
      <c r="Z642" s="1112">
        <f>X642+Y642</f>
        <v>6700</v>
      </c>
      <c r="AA642" s="1109">
        <f t="shared" si="250"/>
        <v>6700</v>
      </c>
      <c r="AB642" s="1109">
        <f>AA642-X642</f>
        <v>0</v>
      </c>
      <c r="AC642" s="1127">
        <f>6700*O642</f>
        <v>6700</v>
      </c>
      <c r="AD642" s="1127">
        <f>AC642-(N642*O642)</f>
        <v>2913</v>
      </c>
      <c r="AE642" s="190">
        <f>G642*O642</f>
        <v>3787</v>
      </c>
      <c r="AF642" s="190">
        <f>G642*P642</f>
        <v>0</v>
      </c>
      <c r="AG642" s="190">
        <f>N642*O642</f>
        <v>3787</v>
      </c>
      <c r="AH642" s="190">
        <f>N642*P642</f>
        <v>0</v>
      </c>
      <c r="AI642" s="190">
        <f>AG642-AE642</f>
        <v>0</v>
      </c>
      <c r="AJ642" s="190">
        <f>AH642-AF642</f>
        <v>0</v>
      </c>
      <c r="AK642" s="464">
        <f>V642*O642</f>
        <v>0</v>
      </c>
      <c r="AL642" s="464">
        <f>V642*P642</f>
        <v>0</v>
      </c>
      <c r="AM642" s="464">
        <f>W642</f>
        <v>2913</v>
      </c>
      <c r="AN642" s="464">
        <f>S642*O642</f>
        <v>0</v>
      </c>
      <c r="AO642" s="464">
        <f>S642*P642</f>
        <v>0</v>
      </c>
      <c r="AP642" s="464">
        <f>AG642</f>
        <v>3787</v>
      </c>
      <c r="AQ642" s="464">
        <f>AH642</f>
        <v>0</v>
      </c>
      <c r="AR642" s="190"/>
      <c r="AS642" s="464">
        <f>AP642+AQ642-AR642</f>
        <v>3787</v>
      </c>
    </row>
    <row r="643" spans="1:45" s="191" customFormat="1" ht="24.95" customHeight="1">
      <c r="A643" s="1129"/>
      <c r="B643" s="1129"/>
      <c r="C643" s="1132"/>
      <c r="D643" s="1129"/>
      <c r="E643" s="1126"/>
      <c r="F643" s="1126"/>
      <c r="G643" s="1127"/>
      <c r="H643" s="1127"/>
      <c r="I643" s="1127"/>
      <c r="J643" s="1127"/>
      <c r="K643" s="1127"/>
      <c r="L643" s="1127"/>
      <c r="M643" s="1127"/>
      <c r="N643" s="1127"/>
      <c r="O643" s="1127"/>
      <c r="P643" s="1126"/>
      <c r="Q643" s="1126"/>
      <c r="R643" s="1126"/>
      <c r="S643" s="1126"/>
      <c r="T643" s="1129"/>
      <c r="U643" s="1130"/>
      <c r="V643" s="1127"/>
      <c r="W643" s="1127"/>
      <c r="X643" s="1127"/>
      <c r="Y643" s="1112"/>
      <c r="Z643" s="1112"/>
      <c r="AA643" s="1109"/>
      <c r="AB643" s="1109"/>
      <c r="AC643" s="1127"/>
      <c r="AD643" s="1127"/>
      <c r="AE643" s="190">
        <f>G643*O643</f>
        <v>0</v>
      </c>
      <c r="AF643" s="190">
        <f>G643*P643</f>
        <v>0</v>
      </c>
      <c r="AG643" s="190">
        <f>N643*O643</f>
        <v>0</v>
      </c>
      <c r="AH643" s="190">
        <f>N643*P643</f>
        <v>0</v>
      </c>
      <c r="AI643" s="190">
        <f>AG643-AE643</f>
        <v>0</v>
      </c>
      <c r="AJ643" s="190">
        <f>AH643-AF643</f>
        <v>0</v>
      </c>
      <c r="AK643" s="464">
        <f>V643*O643</f>
        <v>0</v>
      </c>
      <c r="AL643" s="464">
        <f>V643*P643</f>
        <v>0</v>
      </c>
      <c r="AM643" s="464">
        <f>W643</f>
        <v>0</v>
      </c>
      <c r="AN643" s="464">
        <f>S643*O643</f>
        <v>0</v>
      </c>
      <c r="AO643" s="464">
        <f>S643*P643</f>
        <v>0</v>
      </c>
      <c r="AP643" s="464">
        <f>AG643</f>
        <v>0</v>
      </c>
      <c r="AQ643" s="464">
        <f>AH643</f>
        <v>0</v>
      </c>
      <c r="AR643" s="190"/>
      <c r="AS643" s="464">
        <f>AP643+AQ643-AR643</f>
        <v>0</v>
      </c>
    </row>
    <row r="644" spans="1:45" s="191" customFormat="1" ht="24.95" customHeight="1">
      <c r="A644" s="1129"/>
      <c r="B644" s="1129"/>
      <c r="C644" s="1128" t="s">
        <v>847</v>
      </c>
      <c r="D644" s="1129"/>
      <c r="E644" s="1129" t="s">
        <v>848</v>
      </c>
      <c r="F644" s="1129">
        <v>3</v>
      </c>
      <c r="G644" s="1127">
        <v>3519</v>
      </c>
      <c r="H644" s="1127"/>
      <c r="I644" s="1127"/>
      <c r="J644" s="1127"/>
      <c r="K644" s="1127"/>
      <c r="L644" s="1127"/>
      <c r="M644" s="1127"/>
      <c r="N644" s="1127">
        <f>G644+H645</f>
        <v>3519</v>
      </c>
      <c r="O644" s="1127">
        <v>1</v>
      </c>
      <c r="P644" s="1126"/>
      <c r="Q644" s="1126"/>
      <c r="R644" s="1126"/>
      <c r="S644" s="1126"/>
      <c r="T644" s="1129"/>
      <c r="U644" s="1130"/>
      <c r="V644" s="1127"/>
      <c r="W644" s="1127">
        <f>AD644</f>
        <v>3181</v>
      </c>
      <c r="X644" s="1127">
        <f>(N644+V644+Q645+S644)*O644+W644</f>
        <v>6700</v>
      </c>
      <c r="Y644" s="1112"/>
      <c r="Z644" s="1112">
        <f>X644+Y644</f>
        <v>6700</v>
      </c>
      <c r="AA644" s="1109">
        <f t="shared" si="250"/>
        <v>6700</v>
      </c>
      <c r="AB644" s="1109">
        <f>AA644-X644</f>
        <v>0</v>
      </c>
      <c r="AC644" s="1127">
        <f>6700*O644</f>
        <v>6700</v>
      </c>
      <c r="AD644" s="1127">
        <f>AC644-(N644*O644)</f>
        <v>3181</v>
      </c>
      <c r="AE644" s="190">
        <f t="shared" ref="AE644:AE661" si="264">G644*O644</f>
        <v>3519</v>
      </c>
      <c r="AF644" s="190">
        <f t="shared" ref="AF644:AF661" si="265">G644*P644</f>
        <v>0</v>
      </c>
      <c r="AG644" s="190">
        <f t="shared" ref="AG644:AG661" si="266">N644*O644</f>
        <v>3519</v>
      </c>
      <c r="AH644" s="190">
        <f t="shared" ref="AH644:AH661" si="267">N644*P644</f>
        <v>0</v>
      </c>
      <c r="AI644" s="190">
        <f t="shared" ref="AI644:AJ661" si="268">AG644-AE644</f>
        <v>0</v>
      </c>
      <c r="AJ644" s="190">
        <f t="shared" si="268"/>
        <v>0</v>
      </c>
      <c r="AK644" s="464">
        <f t="shared" ref="AK644:AK661" si="269">V644*O644</f>
        <v>0</v>
      </c>
      <c r="AL644" s="464">
        <f t="shared" ref="AL644:AL661" si="270">V644*P644</f>
        <v>0</v>
      </c>
      <c r="AM644" s="464">
        <f t="shared" ref="AM644:AM661" si="271">W644</f>
        <v>3181</v>
      </c>
      <c r="AN644" s="464">
        <f t="shared" si="259"/>
        <v>0</v>
      </c>
      <c r="AO644" s="464">
        <f t="shared" si="260"/>
        <v>0</v>
      </c>
      <c r="AP644" s="464">
        <f t="shared" ref="AP644:AQ661" si="272">AG644</f>
        <v>3519</v>
      </c>
      <c r="AQ644" s="464">
        <f t="shared" si="272"/>
        <v>0</v>
      </c>
      <c r="AR644" s="190"/>
      <c r="AS644" s="464">
        <f t="shared" ref="AS644:AS662" si="273">AP644+AQ644-AR644</f>
        <v>3519</v>
      </c>
    </row>
    <row r="645" spans="1:45" s="191" customFormat="1" ht="24.95" customHeight="1">
      <c r="A645" s="1129"/>
      <c r="B645" s="1129"/>
      <c r="C645" s="1128"/>
      <c r="D645" s="1129"/>
      <c r="E645" s="1129"/>
      <c r="F645" s="1129"/>
      <c r="G645" s="1127"/>
      <c r="H645" s="1127"/>
      <c r="I645" s="1127"/>
      <c r="J645" s="1127"/>
      <c r="K645" s="1127"/>
      <c r="L645" s="1127"/>
      <c r="M645" s="1127"/>
      <c r="N645" s="1127"/>
      <c r="O645" s="1127"/>
      <c r="P645" s="1126"/>
      <c r="Q645" s="1126"/>
      <c r="R645" s="1126"/>
      <c r="S645" s="1126"/>
      <c r="T645" s="1129"/>
      <c r="U645" s="1130"/>
      <c r="V645" s="1127"/>
      <c r="W645" s="1127"/>
      <c r="X645" s="1127"/>
      <c r="Y645" s="1112"/>
      <c r="Z645" s="1112"/>
      <c r="AA645" s="1109"/>
      <c r="AB645" s="1109"/>
      <c r="AC645" s="1127"/>
      <c r="AD645" s="1127"/>
      <c r="AE645" s="190">
        <f t="shared" si="264"/>
        <v>0</v>
      </c>
      <c r="AF645" s="190">
        <f t="shared" si="265"/>
        <v>0</v>
      </c>
      <c r="AG645" s="190">
        <f t="shared" si="266"/>
        <v>0</v>
      </c>
      <c r="AH645" s="190">
        <f t="shared" si="267"/>
        <v>0</v>
      </c>
      <c r="AI645" s="190">
        <f t="shared" si="268"/>
        <v>0</v>
      </c>
      <c r="AJ645" s="190">
        <f t="shared" si="268"/>
        <v>0</v>
      </c>
      <c r="AK645" s="464">
        <f t="shared" si="269"/>
        <v>0</v>
      </c>
      <c r="AL645" s="464">
        <f t="shared" si="270"/>
        <v>0</v>
      </c>
      <c r="AM645" s="464">
        <f t="shared" si="271"/>
        <v>0</v>
      </c>
      <c r="AN645" s="464">
        <f t="shared" si="259"/>
        <v>0</v>
      </c>
      <c r="AO645" s="464">
        <f t="shared" si="260"/>
        <v>0</v>
      </c>
      <c r="AP645" s="464">
        <f t="shared" si="272"/>
        <v>0</v>
      </c>
      <c r="AQ645" s="464">
        <f t="shared" si="272"/>
        <v>0</v>
      </c>
      <c r="AR645" s="190"/>
      <c r="AS645" s="464">
        <f t="shared" si="273"/>
        <v>0</v>
      </c>
    </row>
    <row r="646" spans="1:45" s="191" customFormat="1" ht="24.95" customHeight="1">
      <c r="A646" s="1129"/>
      <c r="B646" s="1129"/>
      <c r="C646" s="1128" t="s">
        <v>847</v>
      </c>
      <c r="D646" s="1129"/>
      <c r="E646" s="1129" t="s">
        <v>849</v>
      </c>
      <c r="F646" s="1129">
        <v>3</v>
      </c>
      <c r="G646" s="1127">
        <v>3519</v>
      </c>
      <c r="H646" s="1127"/>
      <c r="I646" s="1127"/>
      <c r="J646" s="1127"/>
      <c r="K646" s="1127"/>
      <c r="L646" s="1127"/>
      <c r="M646" s="1127"/>
      <c r="N646" s="1127">
        <f>G646+H647</f>
        <v>3519</v>
      </c>
      <c r="O646" s="1127">
        <v>1</v>
      </c>
      <c r="P646" s="1126"/>
      <c r="Q646" s="1126"/>
      <c r="R646" s="1126"/>
      <c r="S646" s="1126"/>
      <c r="T646" s="1129"/>
      <c r="U646" s="1130"/>
      <c r="V646" s="1127"/>
      <c r="W646" s="1127">
        <f>AD646</f>
        <v>3181</v>
      </c>
      <c r="X646" s="1127">
        <f>(N646+V646+Q647+S646)*O646+W646</f>
        <v>6700</v>
      </c>
      <c r="Y646" s="1112"/>
      <c r="Z646" s="1112">
        <f>X646+Y646</f>
        <v>6700</v>
      </c>
      <c r="AA646" s="1109">
        <f t="shared" si="250"/>
        <v>6700</v>
      </c>
      <c r="AB646" s="1109">
        <f>AA646-X646</f>
        <v>0</v>
      </c>
      <c r="AC646" s="1127">
        <f>6700*O646</f>
        <v>6700</v>
      </c>
      <c r="AD646" s="1127">
        <f>AC646-(N646*O646)</f>
        <v>3181</v>
      </c>
      <c r="AE646" s="190">
        <f t="shared" si="264"/>
        <v>3519</v>
      </c>
      <c r="AF646" s="190">
        <f t="shared" si="265"/>
        <v>0</v>
      </c>
      <c r="AG646" s="190">
        <f t="shared" si="266"/>
        <v>3519</v>
      </c>
      <c r="AH646" s="190">
        <f t="shared" si="267"/>
        <v>0</v>
      </c>
      <c r="AI646" s="190">
        <f t="shared" si="268"/>
        <v>0</v>
      </c>
      <c r="AJ646" s="190">
        <f t="shared" si="268"/>
        <v>0</v>
      </c>
      <c r="AK646" s="464">
        <f t="shared" si="269"/>
        <v>0</v>
      </c>
      <c r="AL646" s="464">
        <f t="shared" si="270"/>
        <v>0</v>
      </c>
      <c r="AM646" s="464">
        <f t="shared" si="271"/>
        <v>3181</v>
      </c>
      <c r="AN646" s="464">
        <f t="shared" si="259"/>
        <v>0</v>
      </c>
      <c r="AO646" s="464">
        <f t="shared" si="260"/>
        <v>0</v>
      </c>
      <c r="AP646" s="464">
        <f t="shared" si="272"/>
        <v>3519</v>
      </c>
      <c r="AQ646" s="464">
        <f t="shared" si="272"/>
        <v>0</v>
      </c>
      <c r="AR646" s="190"/>
      <c r="AS646" s="464">
        <f t="shared" si="273"/>
        <v>3519</v>
      </c>
    </row>
    <row r="647" spans="1:45" s="191" customFormat="1" ht="24.95" customHeight="1">
      <c r="A647" s="1129"/>
      <c r="B647" s="1129"/>
      <c r="C647" s="1128"/>
      <c r="D647" s="1129"/>
      <c r="E647" s="1129"/>
      <c r="F647" s="1129"/>
      <c r="G647" s="1127"/>
      <c r="H647" s="1127"/>
      <c r="I647" s="1127"/>
      <c r="J647" s="1127"/>
      <c r="K647" s="1127"/>
      <c r="L647" s="1127"/>
      <c r="M647" s="1127"/>
      <c r="N647" s="1127"/>
      <c r="O647" s="1127"/>
      <c r="P647" s="1126"/>
      <c r="Q647" s="1126"/>
      <c r="R647" s="1126"/>
      <c r="S647" s="1126"/>
      <c r="T647" s="1129"/>
      <c r="U647" s="1130"/>
      <c r="V647" s="1127"/>
      <c r="W647" s="1127"/>
      <c r="X647" s="1127"/>
      <c r="Y647" s="1112"/>
      <c r="Z647" s="1112"/>
      <c r="AA647" s="1109"/>
      <c r="AB647" s="1109"/>
      <c r="AC647" s="1127"/>
      <c r="AD647" s="1127"/>
      <c r="AE647" s="190">
        <f t="shared" si="264"/>
        <v>0</v>
      </c>
      <c r="AF647" s="190">
        <f t="shared" si="265"/>
        <v>0</v>
      </c>
      <c r="AG647" s="190">
        <f t="shared" si="266"/>
        <v>0</v>
      </c>
      <c r="AH647" s="190">
        <f t="shared" si="267"/>
        <v>0</v>
      </c>
      <c r="AI647" s="190">
        <f t="shared" si="268"/>
        <v>0</v>
      </c>
      <c r="AJ647" s="190">
        <f t="shared" si="268"/>
        <v>0</v>
      </c>
      <c r="AK647" s="464">
        <f t="shared" si="269"/>
        <v>0</v>
      </c>
      <c r="AL647" s="464">
        <f t="shared" si="270"/>
        <v>0</v>
      </c>
      <c r="AM647" s="464">
        <f t="shared" si="271"/>
        <v>0</v>
      </c>
      <c r="AN647" s="464">
        <f t="shared" si="259"/>
        <v>0</v>
      </c>
      <c r="AO647" s="464">
        <f t="shared" si="260"/>
        <v>0</v>
      </c>
      <c r="AP647" s="464">
        <f t="shared" si="272"/>
        <v>0</v>
      </c>
      <c r="AQ647" s="464">
        <f t="shared" si="272"/>
        <v>0</v>
      </c>
      <c r="AR647" s="190"/>
      <c r="AS647" s="464">
        <f t="shared" si="273"/>
        <v>0</v>
      </c>
    </row>
    <row r="648" spans="1:45" s="191" customFormat="1" ht="24.95" customHeight="1">
      <c r="A648" s="1129"/>
      <c r="B648" s="1129"/>
      <c r="C648" s="1128" t="s">
        <v>847</v>
      </c>
      <c r="D648" s="1129"/>
      <c r="E648" s="1129" t="s">
        <v>850</v>
      </c>
      <c r="F648" s="1129">
        <v>3</v>
      </c>
      <c r="G648" s="1127">
        <v>3519</v>
      </c>
      <c r="H648" s="1127"/>
      <c r="I648" s="1127"/>
      <c r="J648" s="1127"/>
      <c r="K648" s="1127"/>
      <c r="L648" s="1127"/>
      <c r="M648" s="1127"/>
      <c r="N648" s="1127">
        <f>G648+H649</f>
        <v>3519</v>
      </c>
      <c r="O648" s="1127">
        <v>1</v>
      </c>
      <c r="P648" s="1126"/>
      <c r="Q648" s="1126"/>
      <c r="R648" s="1126"/>
      <c r="S648" s="1126"/>
      <c r="T648" s="1129"/>
      <c r="U648" s="1130"/>
      <c r="V648" s="1127"/>
      <c r="W648" s="1127">
        <f>AD648</f>
        <v>3181</v>
      </c>
      <c r="X648" s="1127">
        <f>(N648+V648+Q649+S648)*O648+W648</f>
        <v>6700</v>
      </c>
      <c r="Y648" s="1112"/>
      <c r="Z648" s="1112">
        <f>X648+Y648</f>
        <v>6700</v>
      </c>
      <c r="AA648" s="1109">
        <f t="shared" si="250"/>
        <v>6700</v>
      </c>
      <c r="AB648" s="1109">
        <f>AA648-X648</f>
        <v>0</v>
      </c>
      <c r="AC648" s="1127">
        <f>6700*O648</f>
        <v>6700</v>
      </c>
      <c r="AD648" s="1127">
        <f>AC648-(N648*O648)</f>
        <v>3181</v>
      </c>
      <c r="AE648" s="190">
        <f t="shared" si="264"/>
        <v>3519</v>
      </c>
      <c r="AF648" s="190">
        <f t="shared" si="265"/>
        <v>0</v>
      </c>
      <c r="AG648" s="190">
        <f t="shared" si="266"/>
        <v>3519</v>
      </c>
      <c r="AH648" s="190">
        <f t="shared" si="267"/>
        <v>0</v>
      </c>
      <c r="AI648" s="190">
        <f t="shared" si="268"/>
        <v>0</v>
      </c>
      <c r="AJ648" s="190">
        <f t="shared" si="268"/>
        <v>0</v>
      </c>
      <c r="AK648" s="464">
        <f t="shared" si="269"/>
        <v>0</v>
      </c>
      <c r="AL648" s="464">
        <f t="shared" si="270"/>
        <v>0</v>
      </c>
      <c r="AM648" s="464">
        <f t="shared" si="271"/>
        <v>3181</v>
      </c>
      <c r="AN648" s="464">
        <f t="shared" si="259"/>
        <v>0</v>
      </c>
      <c r="AO648" s="464">
        <f t="shared" si="260"/>
        <v>0</v>
      </c>
      <c r="AP648" s="464">
        <f t="shared" si="272"/>
        <v>3519</v>
      </c>
      <c r="AQ648" s="464">
        <f t="shared" si="272"/>
        <v>0</v>
      </c>
      <c r="AR648" s="190"/>
      <c r="AS648" s="464">
        <f t="shared" si="273"/>
        <v>3519</v>
      </c>
    </row>
    <row r="649" spans="1:45" s="191" customFormat="1" ht="24.95" customHeight="1">
      <c r="A649" s="1129"/>
      <c r="B649" s="1129"/>
      <c r="C649" s="1128"/>
      <c r="D649" s="1129"/>
      <c r="E649" s="1129"/>
      <c r="F649" s="1129"/>
      <c r="G649" s="1127"/>
      <c r="H649" s="1127"/>
      <c r="I649" s="1127"/>
      <c r="J649" s="1127"/>
      <c r="K649" s="1127"/>
      <c r="L649" s="1127"/>
      <c r="M649" s="1127"/>
      <c r="N649" s="1127"/>
      <c r="O649" s="1127"/>
      <c r="P649" s="1126"/>
      <c r="Q649" s="1126"/>
      <c r="R649" s="1126"/>
      <c r="S649" s="1126"/>
      <c r="T649" s="1129"/>
      <c r="U649" s="1130"/>
      <c r="V649" s="1127"/>
      <c r="W649" s="1127"/>
      <c r="X649" s="1127"/>
      <c r="Y649" s="1112"/>
      <c r="Z649" s="1112"/>
      <c r="AA649" s="1109"/>
      <c r="AB649" s="1109"/>
      <c r="AC649" s="1127"/>
      <c r="AD649" s="1127"/>
      <c r="AE649" s="190">
        <f t="shared" si="264"/>
        <v>0</v>
      </c>
      <c r="AF649" s="190">
        <f t="shared" si="265"/>
        <v>0</v>
      </c>
      <c r="AG649" s="190">
        <f t="shared" si="266"/>
        <v>0</v>
      </c>
      <c r="AH649" s="190">
        <f t="shared" si="267"/>
        <v>0</v>
      </c>
      <c r="AI649" s="190">
        <f t="shared" si="268"/>
        <v>0</v>
      </c>
      <c r="AJ649" s="190">
        <f t="shared" si="268"/>
        <v>0</v>
      </c>
      <c r="AK649" s="464">
        <f t="shared" si="269"/>
        <v>0</v>
      </c>
      <c r="AL649" s="464">
        <f t="shared" si="270"/>
        <v>0</v>
      </c>
      <c r="AM649" s="464">
        <f t="shared" si="271"/>
        <v>0</v>
      </c>
      <c r="AN649" s="464">
        <f t="shared" si="259"/>
        <v>0</v>
      </c>
      <c r="AO649" s="464">
        <f t="shared" si="260"/>
        <v>0</v>
      </c>
      <c r="AP649" s="464">
        <f t="shared" si="272"/>
        <v>0</v>
      </c>
      <c r="AQ649" s="464">
        <f t="shared" si="272"/>
        <v>0</v>
      </c>
      <c r="AR649" s="190"/>
      <c r="AS649" s="464">
        <f t="shared" si="273"/>
        <v>0</v>
      </c>
    </row>
    <row r="650" spans="1:45" s="191" customFormat="1" ht="24.95" customHeight="1">
      <c r="A650" s="1129"/>
      <c r="B650" s="1129"/>
      <c r="C650" s="1128" t="s">
        <v>847</v>
      </c>
      <c r="D650" s="1129"/>
      <c r="E650" s="1129" t="s">
        <v>1074</v>
      </c>
      <c r="F650" s="1129">
        <v>3</v>
      </c>
      <c r="G650" s="1127">
        <v>3519</v>
      </c>
      <c r="H650" s="1127"/>
      <c r="I650" s="1127"/>
      <c r="J650" s="1127"/>
      <c r="K650" s="1127"/>
      <c r="L650" s="1127"/>
      <c r="M650" s="1127"/>
      <c r="N650" s="1127">
        <f>G650+H651</f>
        <v>3519</v>
      </c>
      <c r="O650" s="1127">
        <v>1</v>
      </c>
      <c r="P650" s="1126"/>
      <c r="Q650" s="1126"/>
      <c r="R650" s="1126"/>
      <c r="S650" s="1126"/>
      <c r="T650" s="1129"/>
      <c r="U650" s="1130"/>
      <c r="V650" s="1127"/>
      <c r="W650" s="1127">
        <f>AD650</f>
        <v>3181</v>
      </c>
      <c r="X650" s="1127">
        <f>(N650+V650+Q651+S650)*O650+W650</f>
        <v>6700</v>
      </c>
      <c r="Y650" s="1112"/>
      <c r="Z650" s="1112">
        <f>X650+Y650</f>
        <v>6700</v>
      </c>
      <c r="AA650" s="1109">
        <f t="shared" si="250"/>
        <v>6700</v>
      </c>
      <c r="AB650" s="1109">
        <f>AA650-X650</f>
        <v>0</v>
      </c>
      <c r="AC650" s="1127">
        <f>6700*O650</f>
        <v>6700</v>
      </c>
      <c r="AD650" s="1127">
        <f>AC650-(N650*O650)</f>
        <v>3181</v>
      </c>
      <c r="AE650" s="190">
        <f t="shared" si="264"/>
        <v>3519</v>
      </c>
      <c r="AF650" s="190">
        <f t="shared" si="265"/>
        <v>0</v>
      </c>
      <c r="AG650" s="190">
        <f t="shared" si="266"/>
        <v>3519</v>
      </c>
      <c r="AH650" s="190">
        <f t="shared" si="267"/>
        <v>0</v>
      </c>
      <c r="AI650" s="190">
        <f t="shared" si="268"/>
        <v>0</v>
      </c>
      <c r="AJ650" s="190">
        <f t="shared" si="268"/>
        <v>0</v>
      </c>
      <c r="AK650" s="464">
        <f t="shared" si="269"/>
        <v>0</v>
      </c>
      <c r="AL650" s="464">
        <f t="shared" si="270"/>
        <v>0</v>
      </c>
      <c r="AM650" s="464">
        <f t="shared" si="271"/>
        <v>3181</v>
      </c>
      <c r="AN650" s="464">
        <f t="shared" si="259"/>
        <v>0</v>
      </c>
      <c r="AO650" s="464">
        <f t="shared" si="260"/>
        <v>0</v>
      </c>
      <c r="AP650" s="464">
        <f t="shared" si="272"/>
        <v>3519</v>
      </c>
      <c r="AQ650" s="464">
        <f t="shared" si="272"/>
        <v>0</v>
      </c>
      <c r="AR650" s="190"/>
      <c r="AS650" s="464">
        <f t="shared" si="273"/>
        <v>3519</v>
      </c>
    </row>
    <row r="651" spans="1:45" s="191" customFormat="1" ht="24.95" customHeight="1">
      <c r="A651" s="1129"/>
      <c r="B651" s="1129"/>
      <c r="C651" s="1128"/>
      <c r="D651" s="1129"/>
      <c r="E651" s="1129"/>
      <c r="F651" s="1129"/>
      <c r="G651" s="1127"/>
      <c r="H651" s="1127"/>
      <c r="I651" s="1127"/>
      <c r="J651" s="1127"/>
      <c r="K651" s="1127"/>
      <c r="L651" s="1127"/>
      <c r="M651" s="1127"/>
      <c r="N651" s="1127"/>
      <c r="O651" s="1127"/>
      <c r="P651" s="1126"/>
      <c r="Q651" s="1126"/>
      <c r="R651" s="1126"/>
      <c r="S651" s="1126"/>
      <c r="T651" s="1129"/>
      <c r="U651" s="1130"/>
      <c r="V651" s="1127"/>
      <c r="W651" s="1127"/>
      <c r="X651" s="1127"/>
      <c r="Y651" s="1112"/>
      <c r="Z651" s="1112"/>
      <c r="AA651" s="1109"/>
      <c r="AB651" s="1109"/>
      <c r="AC651" s="1127"/>
      <c r="AD651" s="1127"/>
      <c r="AE651" s="190">
        <f t="shared" si="264"/>
        <v>0</v>
      </c>
      <c r="AF651" s="190">
        <f t="shared" si="265"/>
        <v>0</v>
      </c>
      <c r="AG651" s="190">
        <f t="shared" si="266"/>
        <v>0</v>
      </c>
      <c r="AH651" s="190">
        <f t="shared" si="267"/>
        <v>0</v>
      </c>
      <c r="AI651" s="190">
        <f t="shared" si="268"/>
        <v>0</v>
      </c>
      <c r="AJ651" s="190">
        <f t="shared" si="268"/>
        <v>0</v>
      </c>
      <c r="AK651" s="464">
        <f t="shared" si="269"/>
        <v>0</v>
      </c>
      <c r="AL651" s="464">
        <f t="shared" si="270"/>
        <v>0</v>
      </c>
      <c r="AM651" s="464">
        <f t="shared" si="271"/>
        <v>0</v>
      </c>
      <c r="AN651" s="464">
        <f t="shared" si="259"/>
        <v>0</v>
      </c>
      <c r="AO651" s="464">
        <f t="shared" si="260"/>
        <v>0</v>
      </c>
      <c r="AP651" s="464">
        <f t="shared" si="272"/>
        <v>0</v>
      </c>
      <c r="AQ651" s="464">
        <f t="shared" si="272"/>
        <v>0</v>
      </c>
      <c r="AR651" s="190"/>
      <c r="AS651" s="464">
        <f t="shared" si="273"/>
        <v>0</v>
      </c>
    </row>
    <row r="652" spans="1:45" s="191" customFormat="1" ht="24.95" customHeight="1">
      <c r="A652" s="1129"/>
      <c r="B652" s="1129"/>
      <c r="C652" s="1128" t="s">
        <v>847</v>
      </c>
      <c r="D652" s="1129"/>
      <c r="E652" s="1129" t="s">
        <v>851</v>
      </c>
      <c r="F652" s="1129">
        <v>3</v>
      </c>
      <c r="G652" s="1127">
        <v>3519</v>
      </c>
      <c r="H652" s="1127"/>
      <c r="I652" s="1127"/>
      <c r="J652" s="1127"/>
      <c r="K652" s="1127"/>
      <c r="L652" s="1127"/>
      <c r="M652" s="1127"/>
      <c r="N652" s="1127">
        <f>G652+H653</f>
        <v>3519</v>
      </c>
      <c r="O652" s="1127">
        <v>1</v>
      </c>
      <c r="P652" s="1126"/>
      <c r="Q652" s="1126"/>
      <c r="R652" s="1126"/>
      <c r="S652" s="1126"/>
      <c r="T652" s="1129"/>
      <c r="U652" s="1130"/>
      <c r="V652" s="1127"/>
      <c r="W652" s="1127">
        <f>AD652</f>
        <v>3181</v>
      </c>
      <c r="X652" s="1127">
        <f>(N652+V652+Q653+S652)*O652+W652</f>
        <v>6700</v>
      </c>
      <c r="Y652" s="1112"/>
      <c r="Z652" s="1112">
        <f>X652+Y652</f>
        <v>6700</v>
      </c>
      <c r="AA652" s="1109">
        <f t="shared" si="250"/>
        <v>6700</v>
      </c>
      <c r="AB652" s="1109">
        <f>AA652-X652</f>
        <v>0</v>
      </c>
      <c r="AC652" s="1127">
        <f>6700*O652</f>
        <v>6700</v>
      </c>
      <c r="AD652" s="1127">
        <f>AC652-(N652*O652)</f>
        <v>3181</v>
      </c>
      <c r="AE652" s="190">
        <f t="shared" si="264"/>
        <v>3519</v>
      </c>
      <c r="AF652" s="190">
        <f t="shared" si="265"/>
        <v>0</v>
      </c>
      <c r="AG652" s="190">
        <f t="shared" si="266"/>
        <v>3519</v>
      </c>
      <c r="AH652" s="190">
        <f t="shared" si="267"/>
        <v>0</v>
      </c>
      <c r="AI652" s="190">
        <f t="shared" si="268"/>
        <v>0</v>
      </c>
      <c r="AJ652" s="190">
        <f t="shared" si="268"/>
        <v>0</v>
      </c>
      <c r="AK652" s="464">
        <f t="shared" si="269"/>
        <v>0</v>
      </c>
      <c r="AL652" s="464">
        <f t="shared" si="270"/>
        <v>0</v>
      </c>
      <c r="AM652" s="464">
        <f t="shared" si="271"/>
        <v>3181</v>
      </c>
      <c r="AN652" s="464">
        <f t="shared" si="259"/>
        <v>0</v>
      </c>
      <c r="AO652" s="464">
        <f t="shared" si="260"/>
        <v>0</v>
      </c>
      <c r="AP652" s="464">
        <f t="shared" si="272"/>
        <v>3519</v>
      </c>
      <c r="AQ652" s="464">
        <f t="shared" si="272"/>
        <v>0</v>
      </c>
      <c r="AR652" s="190"/>
      <c r="AS652" s="464">
        <f t="shared" si="273"/>
        <v>3519</v>
      </c>
    </row>
    <row r="653" spans="1:45" s="191" customFormat="1" ht="24.95" customHeight="1">
      <c r="A653" s="1129"/>
      <c r="B653" s="1129"/>
      <c r="C653" s="1128"/>
      <c r="D653" s="1129"/>
      <c r="E653" s="1129"/>
      <c r="F653" s="1129"/>
      <c r="G653" s="1127"/>
      <c r="H653" s="1127"/>
      <c r="I653" s="1127"/>
      <c r="J653" s="1127"/>
      <c r="K653" s="1127"/>
      <c r="L653" s="1127"/>
      <c r="M653" s="1127"/>
      <c r="N653" s="1127"/>
      <c r="O653" s="1127"/>
      <c r="P653" s="1126"/>
      <c r="Q653" s="1126"/>
      <c r="R653" s="1126"/>
      <c r="S653" s="1126"/>
      <c r="T653" s="1129"/>
      <c r="U653" s="1130"/>
      <c r="V653" s="1127"/>
      <c r="W653" s="1127"/>
      <c r="X653" s="1127"/>
      <c r="Y653" s="1112"/>
      <c r="Z653" s="1112"/>
      <c r="AA653" s="1109"/>
      <c r="AB653" s="1109"/>
      <c r="AC653" s="1127"/>
      <c r="AD653" s="1127"/>
      <c r="AE653" s="190">
        <f t="shared" si="264"/>
        <v>0</v>
      </c>
      <c r="AF653" s="190">
        <f t="shared" si="265"/>
        <v>0</v>
      </c>
      <c r="AG653" s="190">
        <f t="shared" si="266"/>
        <v>0</v>
      </c>
      <c r="AH653" s="190">
        <f t="shared" si="267"/>
        <v>0</v>
      </c>
      <c r="AI653" s="190">
        <f t="shared" si="268"/>
        <v>0</v>
      </c>
      <c r="AJ653" s="190">
        <f t="shared" si="268"/>
        <v>0</v>
      </c>
      <c r="AK653" s="464">
        <f t="shared" si="269"/>
        <v>0</v>
      </c>
      <c r="AL653" s="464">
        <f t="shared" si="270"/>
        <v>0</v>
      </c>
      <c r="AM653" s="464">
        <f t="shared" si="271"/>
        <v>0</v>
      </c>
      <c r="AN653" s="464">
        <f t="shared" si="259"/>
        <v>0</v>
      </c>
      <c r="AO653" s="464">
        <f t="shared" si="260"/>
        <v>0</v>
      </c>
      <c r="AP653" s="464">
        <f t="shared" si="272"/>
        <v>0</v>
      </c>
      <c r="AQ653" s="464">
        <f t="shared" si="272"/>
        <v>0</v>
      </c>
      <c r="AR653" s="190"/>
      <c r="AS653" s="464">
        <f t="shared" si="273"/>
        <v>0</v>
      </c>
    </row>
    <row r="654" spans="1:45" s="191" customFormat="1" ht="24.95" customHeight="1">
      <c r="A654" s="1129"/>
      <c r="B654" s="1129"/>
      <c r="C654" s="1128" t="s">
        <v>847</v>
      </c>
      <c r="D654" s="1129"/>
      <c r="E654" s="1129" t="s">
        <v>852</v>
      </c>
      <c r="F654" s="1129">
        <v>3</v>
      </c>
      <c r="G654" s="1127">
        <v>3519</v>
      </c>
      <c r="H654" s="1127"/>
      <c r="I654" s="1127"/>
      <c r="J654" s="1127"/>
      <c r="K654" s="1127"/>
      <c r="L654" s="1127"/>
      <c r="M654" s="1127"/>
      <c r="N654" s="1127">
        <f>G654+H655</f>
        <v>3519</v>
      </c>
      <c r="O654" s="1127">
        <v>1</v>
      </c>
      <c r="P654" s="1126"/>
      <c r="Q654" s="1126"/>
      <c r="R654" s="1126"/>
      <c r="S654" s="1126"/>
      <c r="T654" s="1129"/>
      <c r="U654" s="1130"/>
      <c r="V654" s="1127"/>
      <c r="W654" s="1127">
        <f>AD654</f>
        <v>3181</v>
      </c>
      <c r="X654" s="1127">
        <f>(N654+V654+Q655+S654)*O654+W654</f>
        <v>6700</v>
      </c>
      <c r="Y654" s="1112"/>
      <c r="Z654" s="1112">
        <f>X654+Y654</f>
        <v>6700</v>
      </c>
      <c r="AA654" s="1109">
        <f t="shared" si="250"/>
        <v>6700</v>
      </c>
      <c r="AB654" s="1109">
        <f>AA654-X654</f>
        <v>0</v>
      </c>
      <c r="AC654" s="1127">
        <f>6700*O654</f>
        <v>6700</v>
      </c>
      <c r="AD654" s="1127">
        <f>AC654-(N654*O654)</f>
        <v>3181</v>
      </c>
      <c r="AE654" s="190">
        <f t="shared" si="264"/>
        <v>3519</v>
      </c>
      <c r="AF654" s="190">
        <f t="shared" si="265"/>
        <v>0</v>
      </c>
      <c r="AG654" s="190">
        <f t="shared" si="266"/>
        <v>3519</v>
      </c>
      <c r="AH654" s="190">
        <f t="shared" si="267"/>
        <v>0</v>
      </c>
      <c r="AI654" s="190">
        <f t="shared" si="268"/>
        <v>0</v>
      </c>
      <c r="AJ654" s="190">
        <f t="shared" si="268"/>
        <v>0</v>
      </c>
      <c r="AK654" s="464">
        <f t="shared" si="269"/>
        <v>0</v>
      </c>
      <c r="AL654" s="464">
        <f t="shared" si="270"/>
        <v>0</v>
      </c>
      <c r="AM654" s="464">
        <f t="shared" si="271"/>
        <v>3181</v>
      </c>
      <c r="AN654" s="464">
        <f t="shared" si="259"/>
        <v>0</v>
      </c>
      <c r="AO654" s="464">
        <f t="shared" si="260"/>
        <v>0</v>
      </c>
      <c r="AP654" s="464">
        <f t="shared" si="272"/>
        <v>3519</v>
      </c>
      <c r="AQ654" s="464">
        <f t="shared" si="272"/>
        <v>0</v>
      </c>
      <c r="AR654" s="190"/>
      <c r="AS654" s="464">
        <f t="shared" si="273"/>
        <v>3519</v>
      </c>
    </row>
    <row r="655" spans="1:45" s="191" customFormat="1" ht="24.95" customHeight="1">
      <c r="A655" s="1129"/>
      <c r="B655" s="1129"/>
      <c r="C655" s="1128"/>
      <c r="D655" s="1129"/>
      <c r="E655" s="1129"/>
      <c r="F655" s="1129"/>
      <c r="G655" s="1127"/>
      <c r="H655" s="1127"/>
      <c r="I655" s="1127"/>
      <c r="J655" s="1127"/>
      <c r="K655" s="1127"/>
      <c r="L655" s="1127"/>
      <c r="M655" s="1127"/>
      <c r="N655" s="1127"/>
      <c r="O655" s="1127"/>
      <c r="P655" s="1126"/>
      <c r="Q655" s="1126"/>
      <c r="R655" s="1126"/>
      <c r="S655" s="1126"/>
      <c r="T655" s="1129"/>
      <c r="U655" s="1130"/>
      <c r="V655" s="1127"/>
      <c r="W655" s="1127"/>
      <c r="X655" s="1127"/>
      <c r="Y655" s="1112"/>
      <c r="Z655" s="1112"/>
      <c r="AA655" s="1109"/>
      <c r="AB655" s="1109"/>
      <c r="AC655" s="1127"/>
      <c r="AD655" s="1127"/>
      <c r="AE655" s="190">
        <f t="shared" si="264"/>
        <v>0</v>
      </c>
      <c r="AF655" s="190">
        <f t="shared" si="265"/>
        <v>0</v>
      </c>
      <c r="AG655" s="190">
        <f t="shared" si="266"/>
        <v>0</v>
      </c>
      <c r="AH655" s="190">
        <f t="shared" si="267"/>
        <v>0</v>
      </c>
      <c r="AI655" s="190">
        <f t="shared" si="268"/>
        <v>0</v>
      </c>
      <c r="AJ655" s="190">
        <f t="shared" si="268"/>
        <v>0</v>
      </c>
      <c r="AK655" s="464">
        <f t="shared" si="269"/>
        <v>0</v>
      </c>
      <c r="AL655" s="464">
        <f t="shared" si="270"/>
        <v>0</v>
      </c>
      <c r="AM655" s="464">
        <f t="shared" si="271"/>
        <v>0</v>
      </c>
      <c r="AN655" s="464">
        <f t="shared" si="259"/>
        <v>0</v>
      </c>
      <c r="AO655" s="464">
        <f t="shared" si="260"/>
        <v>0</v>
      </c>
      <c r="AP655" s="464">
        <f t="shared" si="272"/>
        <v>0</v>
      </c>
      <c r="AQ655" s="464">
        <f t="shared" si="272"/>
        <v>0</v>
      </c>
      <c r="AR655" s="190"/>
      <c r="AS655" s="464">
        <f t="shared" si="273"/>
        <v>0</v>
      </c>
    </row>
    <row r="656" spans="1:45" s="191" customFormat="1" ht="24.95" customHeight="1">
      <c r="A656" s="1129"/>
      <c r="B656" s="1129"/>
      <c r="C656" s="1128" t="s">
        <v>847</v>
      </c>
      <c r="D656" s="1129"/>
      <c r="E656" s="1129" t="s">
        <v>853</v>
      </c>
      <c r="F656" s="1129">
        <v>3</v>
      </c>
      <c r="G656" s="1127">
        <v>3519</v>
      </c>
      <c r="H656" s="1127"/>
      <c r="I656" s="1127"/>
      <c r="J656" s="1127"/>
      <c r="K656" s="1127"/>
      <c r="L656" s="1127"/>
      <c r="M656" s="1127"/>
      <c r="N656" s="1127">
        <f>G656+H657</f>
        <v>3519</v>
      </c>
      <c r="O656" s="1127">
        <v>1</v>
      </c>
      <c r="P656" s="1126"/>
      <c r="Q656" s="1126"/>
      <c r="R656" s="1126"/>
      <c r="S656" s="1126"/>
      <c r="T656" s="1129"/>
      <c r="U656" s="1130"/>
      <c r="V656" s="1127"/>
      <c r="W656" s="1127">
        <f>AD656</f>
        <v>3181</v>
      </c>
      <c r="X656" s="1127">
        <f>(N656+V656+Q657+S656)*O656+W656</f>
        <v>6700</v>
      </c>
      <c r="Y656" s="1112"/>
      <c r="Z656" s="1112">
        <f>X656+Y656</f>
        <v>6700</v>
      </c>
      <c r="AA656" s="1109">
        <f t="shared" si="250"/>
        <v>6700</v>
      </c>
      <c r="AB656" s="1109">
        <f>AA656-X656</f>
        <v>0</v>
      </c>
      <c r="AC656" s="1127">
        <f>6700*O656</f>
        <v>6700</v>
      </c>
      <c r="AD656" s="1127">
        <f>AC656-(N656*O656)</f>
        <v>3181</v>
      </c>
      <c r="AE656" s="190">
        <f t="shared" si="264"/>
        <v>3519</v>
      </c>
      <c r="AF656" s="190">
        <f t="shared" si="265"/>
        <v>0</v>
      </c>
      <c r="AG656" s="190">
        <f t="shared" si="266"/>
        <v>3519</v>
      </c>
      <c r="AH656" s="190">
        <f t="shared" si="267"/>
        <v>0</v>
      </c>
      <c r="AI656" s="190">
        <f t="shared" si="268"/>
        <v>0</v>
      </c>
      <c r="AJ656" s="190">
        <f t="shared" si="268"/>
        <v>0</v>
      </c>
      <c r="AK656" s="464">
        <f t="shared" si="269"/>
        <v>0</v>
      </c>
      <c r="AL656" s="464">
        <f t="shared" si="270"/>
        <v>0</v>
      </c>
      <c r="AM656" s="464">
        <f t="shared" si="271"/>
        <v>3181</v>
      </c>
      <c r="AN656" s="464">
        <f t="shared" si="259"/>
        <v>0</v>
      </c>
      <c r="AO656" s="464">
        <f t="shared" si="260"/>
        <v>0</v>
      </c>
      <c r="AP656" s="464">
        <f t="shared" si="272"/>
        <v>3519</v>
      </c>
      <c r="AQ656" s="464">
        <f t="shared" si="272"/>
        <v>0</v>
      </c>
      <c r="AR656" s="190"/>
      <c r="AS656" s="464">
        <f t="shared" si="273"/>
        <v>3519</v>
      </c>
    </row>
    <row r="657" spans="1:45" s="191" customFormat="1" ht="24.95" customHeight="1">
      <c r="A657" s="1129"/>
      <c r="B657" s="1129"/>
      <c r="C657" s="1128"/>
      <c r="D657" s="1129"/>
      <c r="E657" s="1129"/>
      <c r="F657" s="1129"/>
      <c r="G657" s="1127"/>
      <c r="H657" s="1127"/>
      <c r="I657" s="1127"/>
      <c r="J657" s="1127"/>
      <c r="K657" s="1127"/>
      <c r="L657" s="1127"/>
      <c r="M657" s="1127"/>
      <c r="N657" s="1127"/>
      <c r="O657" s="1127"/>
      <c r="P657" s="1126"/>
      <c r="Q657" s="1126"/>
      <c r="R657" s="1126"/>
      <c r="S657" s="1126"/>
      <c r="T657" s="1129"/>
      <c r="U657" s="1130"/>
      <c r="V657" s="1127"/>
      <c r="W657" s="1127"/>
      <c r="X657" s="1127"/>
      <c r="Y657" s="1112"/>
      <c r="Z657" s="1112"/>
      <c r="AA657" s="1109"/>
      <c r="AB657" s="1109"/>
      <c r="AC657" s="1127"/>
      <c r="AD657" s="1127"/>
      <c r="AE657" s="190">
        <f t="shared" si="264"/>
        <v>0</v>
      </c>
      <c r="AF657" s="190">
        <f t="shared" si="265"/>
        <v>0</v>
      </c>
      <c r="AG657" s="190">
        <f t="shared" si="266"/>
        <v>0</v>
      </c>
      <c r="AH657" s="190">
        <f t="shared" si="267"/>
        <v>0</v>
      </c>
      <c r="AI657" s="190">
        <f t="shared" si="268"/>
        <v>0</v>
      </c>
      <c r="AJ657" s="190">
        <f t="shared" si="268"/>
        <v>0</v>
      </c>
      <c r="AK657" s="464">
        <f t="shared" si="269"/>
        <v>0</v>
      </c>
      <c r="AL657" s="464">
        <f t="shared" si="270"/>
        <v>0</v>
      </c>
      <c r="AM657" s="464">
        <f t="shared" si="271"/>
        <v>0</v>
      </c>
      <c r="AN657" s="464">
        <f t="shared" si="259"/>
        <v>0</v>
      </c>
      <c r="AO657" s="464">
        <f t="shared" si="260"/>
        <v>0</v>
      </c>
      <c r="AP657" s="464">
        <f t="shared" si="272"/>
        <v>0</v>
      </c>
      <c r="AQ657" s="464">
        <f t="shared" si="272"/>
        <v>0</v>
      </c>
      <c r="AR657" s="190"/>
      <c r="AS657" s="464">
        <f t="shared" si="273"/>
        <v>0</v>
      </c>
    </row>
    <row r="658" spans="1:45" s="191" customFormat="1" ht="24.95" customHeight="1">
      <c r="A658" s="1129"/>
      <c r="B658" s="1129"/>
      <c r="C658" s="1128" t="s">
        <v>847</v>
      </c>
      <c r="D658" s="1129"/>
      <c r="E658" s="1129" t="s">
        <v>854</v>
      </c>
      <c r="F658" s="1129">
        <v>3</v>
      </c>
      <c r="G658" s="1127">
        <v>3519</v>
      </c>
      <c r="H658" s="1127"/>
      <c r="I658" s="1127"/>
      <c r="J658" s="1127"/>
      <c r="K658" s="1127"/>
      <c r="L658" s="1127"/>
      <c r="M658" s="1127"/>
      <c r="N658" s="1127">
        <f>G658+H659</f>
        <v>3519</v>
      </c>
      <c r="O658" s="1127">
        <v>1</v>
      </c>
      <c r="P658" s="1126"/>
      <c r="Q658" s="1126"/>
      <c r="R658" s="1126"/>
      <c r="S658" s="1126"/>
      <c r="T658" s="1129"/>
      <c r="U658" s="1130"/>
      <c r="V658" s="1127"/>
      <c r="W658" s="1127">
        <f>AD658</f>
        <v>3181</v>
      </c>
      <c r="X658" s="1127">
        <f>(N658+V658+Q659+S658)*O658+W658</f>
        <v>6700</v>
      </c>
      <c r="Y658" s="1112"/>
      <c r="Z658" s="1112">
        <f>X658+Y658</f>
        <v>6700</v>
      </c>
      <c r="AA658" s="1109">
        <f t="shared" si="250"/>
        <v>6700</v>
      </c>
      <c r="AB658" s="1109">
        <f>AA658-X658</f>
        <v>0</v>
      </c>
      <c r="AC658" s="1127">
        <f>6700*O658</f>
        <v>6700</v>
      </c>
      <c r="AD658" s="1127">
        <f>AC658-(N658*O658)</f>
        <v>3181</v>
      </c>
      <c r="AE658" s="190">
        <f t="shared" si="264"/>
        <v>3519</v>
      </c>
      <c r="AF658" s="190">
        <f t="shared" si="265"/>
        <v>0</v>
      </c>
      <c r="AG658" s="190">
        <f t="shared" si="266"/>
        <v>3519</v>
      </c>
      <c r="AH658" s="190">
        <f t="shared" si="267"/>
        <v>0</v>
      </c>
      <c r="AI658" s="190">
        <f t="shared" si="268"/>
        <v>0</v>
      </c>
      <c r="AJ658" s="190">
        <f t="shared" si="268"/>
        <v>0</v>
      </c>
      <c r="AK658" s="464">
        <f t="shared" si="269"/>
        <v>0</v>
      </c>
      <c r="AL658" s="464">
        <f t="shared" si="270"/>
        <v>0</v>
      </c>
      <c r="AM658" s="464">
        <f t="shared" si="271"/>
        <v>3181</v>
      </c>
      <c r="AN658" s="464">
        <f t="shared" si="259"/>
        <v>0</v>
      </c>
      <c r="AO658" s="464">
        <f t="shared" si="260"/>
        <v>0</v>
      </c>
      <c r="AP658" s="464">
        <f t="shared" si="272"/>
        <v>3519</v>
      </c>
      <c r="AQ658" s="464">
        <f t="shared" si="272"/>
        <v>0</v>
      </c>
      <c r="AR658" s="190"/>
      <c r="AS658" s="464">
        <f t="shared" si="273"/>
        <v>3519</v>
      </c>
    </row>
    <row r="659" spans="1:45" s="191" customFormat="1" ht="24.95" customHeight="1">
      <c r="A659" s="1129"/>
      <c r="B659" s="1129"/>
      <c r="C659" s="1128"/>
      <c r="D659" s="1129"/>
      <c r="E659" s="1129"/>
      <c r="F659" s="1129"/>
      <c r="G659" s="1127"/>
      <c r="H659" s="1127"/>
      <c r="I659" s="1127"/>
      <c r="J659" s="1127"/>
      <c r="K659" s="1127"/>
      <c r="L659" s="1127"/>
      <c r="M659" s="1127"/>
      <c r="N659" s="1127"/>
      <c r="O659" s="1127"/>
      <c r="P659" s="1126"/>
      <c r="Q659" s="1126"/>
      <c r="R659" s="1126"/>
      <c r="S659" s="1126"/>
      <c r="T659" s="1129"/>
      <c r="U659" s="1130"/>
      <c r="V659" s="1127"/>
      <c r="W659" s="1127"/>
      <c r="X659" s="1127"/>
      <c r="Y659" s="1112"/>
      <c r="Z659" s="1112"/>
      <c r="AA659" s="1109"/>
      <c r="AB659" s="1109"/>
      <c r="AC659" s="1127"/>
      <c r="AD659" s="1127"/>
      <c r="AE659" s="190">
        <f t="shared" si="264"/>
        <v>0</v>
      </c>
      <c r="AF659" s="190">
        <f t="shared" si="265"/>
        <v>0</v>
      </c>
      <c r="AG659" s="190">
        <f t="shared" si="266"/>
        <v>0</v>
      </c>
      <c r="AH659" s="190">
        <f t="shared" si="267"/>
        <v>0</v>
      </c>
      <c r="AI659" s="190">
        <f t="shared" si="268"/>
        <v>0</v>
      </c>
      <c r="AJ659" s="190">
        <f t="shared" si="268"/>
        <v>0</v>
      </c>
      <c r="AK659" s="464">
        <f t="shared" si="269"/>
        <v>0</v>
      </c>
      <c r="AL659" s="464">
        <f t="shared" si="270"/>
        <v>0</v>
      </c>
      <c r="AM659" s="464">
        <f t="shared" si="271"/>
        <v>0</v>
      </c>
      <c r="AN659" s="464">
        <f t="shared" si="259"/>
        <v>0</v>
      </c>
      <c r="AO659" s="464">
        <f t="shared" si="260"/>
        <v>0</v>
      </c>
      <c r="AP659" s="464">
        <f t="shared" si="272"/>
        <v>0</v>
      </c>
      <c r="AQ659" s="464">
        <f t="shared" si="272"/>
        <v>0</v>
      </c>
      <c r="AR659" s="190"/>
      <c r="AS659" s="464">
        <f t="shared" si="273"/>
        <v>0</v>
      </c>
    </row>
    <row r="660" spans="1:45" s="191" customFormat="1" ht="24.95" customHeight="1">
      <c r="A660" s="1129"/>
      <c r="B660" s="1129"/>
      <c r="C660" s="1128" t="s">
        <v>847</v>
      </c>
      <c r="D660" s="1129"/>
      <c r="E660" s="1129" t="s">
        <v>1075</v>
      </c>
      <c r="F660" s="1129">
        <v>3</v>
      </c>
      <c r="G660" s="1127">
        <v>3519</v>
      </c>
      <c r="H660" s="1127"/>
      <c r="I660" s="1127"/>
      <c r="J660" s="1127"/>
      <c r="K660" s="1127"/>
      <c r="L660" s="1127"/>
      <c r="M660" s="1127"/>
      <c r="N660" s="1127">
        <f>G660+H661</f>
        <v>3519</v>
      </c>
      <c r="O660" s="1127">
        <v>1</v>
      </c>
      <c r="P660" s="1127"/>
      <c r="Q660" s="1126"/>
      <c r="R660" s="1126"/>
      <c r="S660" s="1126"/>
      <c r="T660" s="1129"/>
      <c r="U660" s="1130"/>
      <c r="V660" s="1127"/>
      <c r="W660" s="1127">
        <f>AD660</f>
        <v>3181</v>
      </c>
      <c r="X660" s="1127">
        <f>(N660+V660+Q661+S660)*O660+W660</f>
        <v>6700</v>
      </c>
      <c r="Y660" s="1112"/>
      <c r="Z660" s="1112">
        <f>X660+Y660</f>
        <v>6700</v>
      </c>
      <c r="AA660" s="1109">
        <f t="shared" si="250"/>
        <v>6700</v>
      </c>
      <c r="AB660" s="1109">
        <f>AA660-X660</f>
        <v>0</v>
      </c>
      <c r="AC660" s="1127">
        <f>6700*O660</f>
        <v>6700</v>
      </c>
      <c r="AD660" s="1127">
        <f>AC660-(N660*O660)</f>
        <v>3181</v>
      </c>
      <c r="AE660" s="190">
        <f t="shared" si="264"/>
        <v>3519</v>
      </c>
      <c r="AF660" s="190">
        <f t="shared" si="265"/>
        <v>0</v>
      </c>
      <c r="AG660" s="190">
        <f t="shared" si="266"/>
        <v>3519</v>
      </c>
      <c r="AH660" s="190">
        <f t="shared" si="267"/>
        <v>0</v>
      </c>
      <c r="AI660" s="190">
        <f t="shared" si="268"/>
        <v>0</v>
      </c>
      <c r="AJ660" s="190">
        <f t="shared" si="268"/>
        <v>0</v>
      </c>
      <c r="AK660" s="464">
        <f t="shared" si="269"/>
        <v>0</v>
      </c>
      <c r="AL660" s="464">
        <f t="shared" si="270"/>
        <v>0</v>
      </c>
      <c r="AM660" s="464">
        <f t="shared" si="271"/>
        <v>3181</v>
      </c>
      <c r="AN660" s="464">
        <f t="shared" si="259"/>
        <v>0</v>
      </c>
      <c r="AO660" s="464">
        <f t="shared" si="260"/>
        <v>0</v>
      </c>
      <c r="AP660" s="464">
        <f t="shared" si="272"/>
        <v>3519</v>
      </c>
      <c r="AQ660" s="464">
        <f t="shared" si="272"/>
        <v>0</v>
      </c>
      <c r="AR660" s="190"/>
      <c r="AS660" s="464">
        <f t="shared" si="273"/>
        <v>3519</v>
      </c>
    </row>
    <row r="661" spans="1:45" s="191" customFormat="1" ht="24.95" customHeight="1">
      <c r="A661" s="1129"/>
      <c r="B661" s="1129"/>
      <c r="C661" s="1128"/>
      <c r="D661" s="1129"/>
      <c r="E661" s="1129"/>
      <c r="F661" s="1129"/>
      <c r="G661" s="1127"/>
      <c r="H661" s="1127"/>
      <c r="I661" s="1127"/>
      <c r="J661" s="1127"/>
      <c r="K661" s="1127"/>
      <c r="L661" s="1127"/>
      <c r="M661" s="1127"/>
      <c r="N661" s="1127"/>
      <c r="O661" s="1127"/>
      <c r="P661" s="1127"/>
      <c r="Q661" s="1126"/>
      <c r="R661" s="1126"/>
      <c r="S661" s="1126"/>
      <c r="T661" s="1129"/>
      <c r="U661" s="1130"/>
      <c r="V661" s="1127"/>
      <c r="W661" s="1127"/>
      <c r="X661" s="1127"/>
      <c r="Y661" s="1112"/>
      <c r="Z661" s="1112"/>
      <c r="AA661" s="1109"/>
      <c r="AB661" s="1109"/>
      <c r="AC661" s="1127"/>
      <c r="AD661" s="1127"/>
      <c r="AE661" s="190">
        <f t="shared" si="264"/>
        <v>0</v>
      </c>
      <c r="AF661" s="190">
        <f t="shared" si="265"/>
        <v>0</v>
      </c>
      <c r="AG661" s="190">
        <f t="shared" si="266"/>
        <v>0</v>
      </c>
      <c r="AH661" s="190">
        <f t="shared" si="267"/>
        <v>0</v>
      </c>
      <c r="AI661" s="190">
        <f t="shared" si="268"/>
        <v>0</v>
      </c>
      <c r="AJ661" s="190">
        <f t="shared" si="268"/>
        <v>0</v>
      </c>
      <c r="AK661" s="464">
        <f t="shared" si="269"/>
        <v>0</v>
      </c>
      <c r="AL661" s="464">
        <f t="shared" si="270"/>
        <v>0</v>
      </c>
      <c r="AM661" s="464">
        <f t="shared" si="271"/>
        <v>0</v>
      </c>
      <c r="AN661" s="464">
        <f t="shared" si="259"/>
        <v>0</v>
      </c>
      <c r="AO661" s="464">
        <f t="shared" si="260"/>
        <v>0</v>
      </c>
      <c r="AP661" s="464">
        <f t="shared" si="272"/>
        <v>0</v>
      </c>
      <c r="AQ661" s="464">
        <f t="shared" si="272"/>
        <v>0</v>
      </c>
      <c r="AR661" s="190"/>
      <c r="AS661" s="464">
        <f t="shared" si="273"/>
        <v>0</v>
      </c>
    </row>
    <row r="662" spans="1:45" s="446" customFormat="1" ht="24.95" customHeight="1">
      <c r="A662" s="441"/>
      <c r="B662" s="441"/>
      <c r="C662" s="442" t="s">
        <v>318</v>
      </c>
      <c r="D662" s="443"/>
      <c r="E662" s="441"/>
      <c r="F662" s="441"/>
      <c r="G662" s="467">
        <f>SUM(G604:G661)</f>
        <v>101780</v>
      </c>
      <c r="H662" s="468"/>
      <c r="I662" s="469"/>
      <c r="J662" s="469"/>
      <c r="K662" s="469"/>
      <c r="L662" s="469"/>
      <c r="M662" s="469"/>
      <c r="N662" s="467">
        <f>SUM(N604:N661)</f>
        <v>106110</v>
      </c>
      <c r="O662" s="469">
        <f>SUM(O604:O661)</f>
        <v>25.5</v>
      </c>
      <c r="P662" s="469">
        <f>SUM(P604:P661)</f>
        <v>1.5</v>
      </c>
      <c r="Q662" s="469"/>
      <c r="R662" s="469"/>
      <c r="S662" s="468"/>
      <c r="T662" s="469"/>
      <c r="U662" s="469"/>
      <c r="V662" s="469"/>
      <c r="W662" s="469">
        <f t="shared" ref="W662:AD662" si="274">SUM(W604:W661)</f>
        <v>83313</v>
      </c>
      <c r="X662" s="469">
        <f t="shared" si="274"/>
        <v>182092.79999999999</v>
      </c>
      <c r="Y662" s="469">
        <f t="shared" si="274"/>
        <v>0</v>
      </c>
      <c r="Z662" s="469">
        <f t="shared" si="274"/>
        <v>182092.79999999999</v>
      </c>
      <c r="AA662" s="505">
        <f t="shared" si="274"/>
        <v>182092.79999999999</v>
      </c>
      <c r="AB662" s="505">
        <f t="shared" si="274"/>
        <v>0</v>
      </c>
      <c r="AC662" s="469">
        <f t="shared" si="274"/>
        <v>180900</v>
      </c>
      <c r="AD662" s="469">
        <f t="shared" si="274"/>
        <v>83313</v>
      </c>
      <c r="AE662" s="436"/>
      <c r="AF662" s="436"/>
      <c r="AG662" s="453"/>
      <c r="AH662" s="453"/>
      <c r="AI662" s="453"/>
      <c r="AJ662" s="453"/>
      <c r="AK662" s="437"/>
      <c r="AL662" s="437"/>
      <c r="AM662" s="437"/>
      <c r="AN662" s="437"/>
      <c r="AO662" s="437"/>
      <c r="AP662" s="437"/>
      <c r="AQ662" s="437"/>
      <c r="AR662" s="453"/>
      <c r="AS662" s="437">
        <f t="shared" si="273"/>
        <v>0</v>
      </c>
    </row>
    <row r="663" spans="1:45" s="446" customFormat="1" ht="24.95" customHeight="1">
      <c r="A663" s="441"/>
      <c r="B663" s="441"/>
      <c r="C663" s="442" t="s">
        <v>318</v>
      </c>
      <c r="D663" s="443"/>
      <c r="E663" s="441"/>
      <c r="F663" s="441"/>
      <c r="G663" s="467">
        <f>G189+G193+G434+G553+G557+G602+G662</f>
        <v>358867.88</v>
      </c>
      <c r="H663" s="468"/>
      <c r="I663" s="469"/>
      <c r="J663" s="469"/>
      <c r="K663" s="469"/>
      <c r="L663" s="469"/>
      <c r="M663" s="469"/>
      <c r="N663" s="467">
        <f>N189+N193+N434+N553+N557+N602+N662</f>
        <v>1514477.4511000004</v>
      </c>
      <c r="O663" s="469">
        <f>O189+O193+O434+O553+O557+O602+O662</f>
        <v>221.25</v>
      </c>
      <c r="P663" s="469">
        <f>P189+P193+P434+P553+P557+P602+P662</f>
        <v>13.25</v>
      </c>
      <c r="Q663" s="469"/>
      <c r="R663" s="469"/>
      <c r="S663" s="468"/>
      <c r="T663" s="469"/>
      <c r="U663" s="469"/>
      <c r="V663" s="467"/>
      <c r="W663" s="469">
        <f t="shared" ref="W663:AD663" si="275">W189+W193+W434+W553+W557+W602+W662</f>
        <v>257017.07500000001</v>
      </c>
      <c r="X663" s="469">
        <f t="shared" si="275"/>
        <v>1810995.0200100001</v>
      </c>
      <c r="Y663" s="469">
        <f t="shared" si="275"/>
        <v>1135715.7094000001</v>
      </c>
      <c r="Z663" s="469">
        <f t="shared" si="275"/>
        <v>2946710.7294099997</v>
      </c>
      <c r="AA663" s="505">
        <f t="shared" si="275"/>
        <v>2945334.0969999996</v>
      </c>
      <c r="AB663" s="505">
        <f t="shared" si="275"/>
        <v>1141039.07699</v>
      </c>
      <c r="AC663" s="469">
        <f t="shared" si="275"/>
        <v>1455175</v>
      </c>
      <c r="AD663" s="469">
        <f t="shared" si="275"/>
        <v>358813.554</v>
      </c>
      <c r="AE663" s="470">
        <f t="shared" ref="AE663:AO663" si="276">SUM(AE11:AE662)</f>
        <v>1227341.5999999999</v>
      </c>
      <c r="AF663" s="470">
        <f t="shared" si="276"/>
        <v>78806</v>
      </c>
      <c r="AG663" s="470">
        <f t="shared" si="276"/>
        <v>1349230.9860999999</v>
      </c>
      <c r="AH663" s="470">
        <f t="shared" si="276"/>
        <v>92374.08749999998</v>
      </c>
      <c r="AI663" s="470">
        <f t="shared" si="276"/>
        <v>121889.38610000016</v>
      </c>
      <c r="AJ663" s="470">
        <f t="shared" si="276"/>
        <v>13568.0875</v>
      </c>
      <c r="AK663" s="470">
        <f t="shared" si="276"/>
        <v>237799.0806600003</v>
      </c>
      <c r="AL663" s="470">
        <f t="shared" si="276"/>
        <v>16533.291249999998</v>
      </c>
      <c r="AM663" s="470">
        <f t="shared" si="276"/>
        <v>286934.6050000001</v>
      </c>
      <c r="AN663" s="470">
        <f t="shared" si="276"/>
        <v>20002.670000000009</v>
      </c>
      <c r="AO663" s="470">
        <f t="shared" si="276"/>
        <v>0</v>
      </c>
      <c r="AP663" s="470">
        <f>SUM(AP11:AP662)-AP67</f>
        <v>1216092.1510999997</v>
      </c>
      <c r="AQ663" s="470">
        <f>SUM(AQ11:AQ662)-AQ67</f>
        <v>92374.087499999951</v>
      </c>
      <c r="AR663" s="470">
        <f>SUM(AR11:AR662)-AR67</f>
        <v>0</v>
      </c>
      <c r="AS663" s="470">
        <f>SUM(AS11:AS662)-AS67</f>
        <v>1308466.238600001</v>
      </c>
    </row>
    <row r="664" spans="1:45" s="456" customFormat="1" ht="24.95" customHeight="1">
      <c r="A664" s="455"/>
      <c r="B664" s="455"/>
      <c r="C664" s="471" t="s">
        <v>1076</v>
      </c>
      <c r="D664" s="472"/>
      <c r="E664" s="455"/>
      <c r="F664" s="455"/>
      <c r="G664" s="469"/>
      <c r="H664" s="469"/>
      <c r="I664" s="469"/>
      <c r="J664" s="469"/>
      <c r="K664" s="469"/>
      <c r="L664" s="469"/>
      <c r="M664" s="469"/>
      <c r="N664" s="469"/>
      <c r="O664" s="469">
        <f>O665+O666+O667+O668+O669+O670+O671</f>
        <v>221.25</v>
      </c>
      <c r="P664" s="469">
        <f>P665+P666+P667+P668+P669+P670+P671</f>
        <v>13.25</v>
      </c>
      <c r="Q664" s="473"/>
      <c r="R664" s="473"/>
      <c r="S664" s="473"/>
      <c r="T664" s="473"/>
      <c r="U664" s="473"/>
      <c r="V664" s="473"/>
      <c r="W664" s="469">
        <f t="shared" ref="W664:AS664" si="277">W665+W666+W667+W668+W669+W670+W671</f>
        <v>257017.07500000001</v>
      </c>
      <c r="X664" s="469">
        <f t="shared" si="277"/>
        <v>1810995.0200099999</v>
      </c>
      <c r="Y664" s="469">
        <f t="shared" si="277"/>
        <v>1135715.7094000001</v>
      </c>
      <c r="Z664" s="469">
        <f t="shared" si="277"/>
        <v>2946710.7294100001</v>
      </c>
      <c r="AA664" s="505">
        <f t="shared" si="277"/>
        <v>2945334.0969999996</v>
      </c>
      <c r="AB664" s="505">
        <f t="shared" si="277"/>
        <v>1141039.07699</v>
      </c>
      <c r="AC664" s="469">
        <f t="shared" si="277"/>
        <v>1455175</v>
      </c>
      <c r="AD664" s="469">
        <f t="shared" si="277"/>
        <v>358813.554</v>
      </c>
      <c r="AE664" s="470">
        <f t="shared" si="277"/>
        <v>1227341.6000000001</v>
      </c>
      <c r="AF664" s="470">
        <f t="shared" si="277"/>
        <v>78806</v>
      </c>
      <c r="AG664" s="470">
        <f t="shared" si="277"/>
        <v>1349230.9860999996</v>
      </c>
      <c r="AH664" s="470">
        <f t="shared" si="277"/>
        <v>92374.087499999994</v>
      </c>
      <c r="AI664" s="470">
        <f t="shared" si="277"/>
        <v>121889.38610000002</v>
      </c>
      <c r="AJ664" s="470">
        <f t="shared" si="277"/>
        <v>13568.087499999998</v>
      </c>
      <c r="AK664" s="470">
        <f t="shared" si="277"/>
        <v>237799.08066000015</v>
      </c>
      <c r="AL664" s="470">
        <f t="shared" si="277"/>
        <v>16533.291249999998</v>
      </c>
      <c r="AM664" s="470">
        <f t="shared" si="277"/>
        <v>286934.60499999998</v>
      </c>
      <c r="AN664" s="470">
        <f t="shared" si="277"/>
        <v>20002.670000000006</v>
      </c>
      <c r="AO664" s="470">
        <f t="shared" si="277"/>
        <v>0</v>
      </c>
      <c r="AP664" s="470">
        <f t="shared" si="277"/>
        <v>1216092.1510999997</v>
      </c>
      <c r="AQ664" s="470">
        <f t="shared" si="277"/>
        <v>92374.087499999965</v>
      </c>
      <c r="AR664" s="470">
        <f t="shared" si="277"/>
        <v>0</v>
      </c>
      <c r="AS664" s="470">
        <f t="shared" si="277"/>
        <v>1308466.2386</v>
      </c>
    </row>
    <row r="665" spans="1:45" s="478" customFormat="1" ht="24.95" customHeight="1">
      <c r="A665" s="472"/>
      <c r="B665" s="472"/>
      <c r="C665" s="474" t="s">
        <v>16</v>
      </c>
      <c r="D665" s="472"/>
      <c r="E665" s="472"/>
      <c r="F665" s="472"/>
      <c r="G665" s="475"/>
      <c r="H665" s="475"/>
      <c r="I665" s="475"/>
      <c r="J665" s="476"/>
      <c r="K665" s="476"/>
      <c r="L665" s="475"/>
      <c r="M665" s="475"/>
      <c r="N665" s="475"/>
      <c r="O665" s="475">
        <f>O189-O21</f>
        <v>40.75</v>
      </c>
      <c r="P665" s="475">
        <f>P189</f>
        <v>10.25</v>
      </c>
      <c r="Q665" s="476"/>
      <c r="R665" s="476"/>
      <c r="S665" s="475"/>
      <c r="T665" s="476"/>
      <c r="U665" s="476"/>
      <c r="V665" s="475"/>
      <c r="W665" s="475">
        <f>W189</f>
        <v>2546</v>
      </c>
      <c r="X665" s="475">
        <f>X189-X21</f>
        <v>503197.75481000001</v>
      </c>
      <c r="Y665" s="475">
        <f>Y189</f>
        <v>517682.78759999998</v>
      </c>
      <c r="Z665" s="475">
        <f>Z189-Z21</f>
        <v>1020880.54241</v>
      </c>
      <c r="AA665" s="506">
        <f>AA189</f>
        <v>1040000</v>
      </c>
      <c r="AB665" s="506">
        <f>AB189-AB21</f>
        <v>516802.24518999999</v>
      </c>
      <c r="AC665" s="475">
        <f>AC189</f>
        <v>239525</v>
      </c>
      <c r="AD665" s="475">
        <f>AD189</f>
        <v>106984.07900000001</v>
      </c>
      <c r="AE665" s="477">
        <f t="shared" ref="AE665:AO665" si="278">SUM(AE15:AE189)-AE21</f>
        <v>277891.62</v>
      </c>
      <c r="AF665" s="477">
        <f t="shared" si="278"/>
        <v>65804.5</v>
      </c>
      <c r="AG665" s="477">
        <f t="shared" si="278"/>
        <v>334909.41009999992</v>
      </c>
      <c r="AH665" s="477">
        <f t="shared" si="278"/>
        <v>77883.0625</v>
      </c>
      <c r="AI665" s="477">
        <f t="shared" si="278"/>
        <v>57017.790100000006</v>
      </c>
      <c r="AJ665" s="477">
        <f t="shared" si="278"/>
        <v>12078.562499999998</v>
      </c>
      <c r="AK665" s="477">
        <f t="shared" si="278"/>
        <v>72910.748459999988</v>
      </c>
      <c r="AL665" s="477">
        <f t="shared" si="278"/>
        <v>14948.533749999999</v>
      </c>
      <c r="AM665" s="477">
        <f t="shared" si="278"/>
        <v>2546</v>
      </c>
      <c r="AN665" s="477">
        <f t="shared" si="278"/>
        <v>0</v>
      </c>
      <c r="AO665" s="477">
        <f t="shared" si="278"/>
        <v>0</v>
      </c>
      <c r="AP665" s="477">
        <f>SUM(AP25:AP189)+AP15+AP17+AP19-AP67</f>
        <v>334909.41009999992</v>
      </c>
      <c r="AQ665" s="477">
        <f>SUM(AQ25:AQ189)+AQ15+AQ17+AQ19-AQ67</f>
        <v>77883.062499999971</v>
      </c>
      <c r="AR665" s="477">
        <f>SUM(AR25:AR189)+AR15+AR17+AR19-AR67</f>
        <v>0</v>
      </c>
      <c r="AS665" s="477">
        <f>SUM(AS25:AS189)+AS15+AS17+AS19-AS67</f>
        <v>412792.4726000001</v>
      </c>
    </row>
    <row r="666" spans="1:45" s="478" customFormat="1" ht="24.95" customHeight="1">
      <c r="A666" s="472"/>
      <c r="B666" s="472"/>
      <c r="C666" s="474" t="s">
        <v>855</v>
      </c>
      <c r="D666" s="472"/>
      <c r="E666" s="472"/>
      <c r="F666" s="472"/>
      <c r="G666" s="475"/>
      <c r="H666" s="475"/>
      <c r="I666" s="475"/>
      <c r="J666" s="476"/>
      <c r="K666" s="476"/>
      <c r="L666" s="475"/>
      <c r="M666" s="475"/>
      <c r="N666" s="475"/>
      <c r="O666" s="475">
        <f>O193</f>
        <v>1</v>
      </c>
      <c r="P666" s="475">
        <f>P193</f>
        <v>0</v>
      </c>
      <c r="Q666" s="476"/>
      <c r="R666" s="476"/>
      <c r="S666" s="475"/>
      <c r="T666" s="476"/>
      <c r="U666" s="476"/>
      <c r="V666" s="475"/>
      <c r="W666" s="475">
        <f t="shared" ref="W666:AD666" si="279">W193</f>
        <v>458.94999999999982</v>
      </c>
      <c r="X666" s="475">
        <f t="shared" si="279"/>
        <v>6700</v>
      </c>
      <c r="Y666" s="475">
        <f t="shared" si="279"/>
        <v>13300</v>
      </c>
      <c r="Z666" s="475">
        <f t="shared" si="279"/>
        <v>20000</v>
      </c>
      <c r="AA666" s="506">
        <f t="shared" si="279"/>
        <v>20000</v>
      </c>
      <c r="AB666" s="506">
        <f t="shared" si="279"/>
        <v>13300</v>
      </c>
      <c r="AC666" s="475">
        <f t="shared" si="279"/>
        <v>6700</v>
      </c>
      <c r="AD666" s="475">
        <f t="shared" si="279"/>
        <v>458.94999999999982</v>
      </c>
      <c r="AE666" s="477">
        <f t="shared" ref="AE666:AS666" si="280">SUM(AE191:AE192)</f>
        <v>5427</v>
      </c>
      <c r="AF666" s="477">
        <f t="shared" si="280"/>
        <v>0</v>
      </c>
      <c r="AG666" s="477">
        <f t="shared" si="280"/>
        <v>6241.05</v>
      </c>
      <c r="AH666" s="477">
        <f t="shared" si="280"/>
        <v>0</v>
      </c>
      <c r="AI666" s="477">
        <f t="shared" si="280"/>
        <v>814.05000000000018</v>
      </c>
      <c r="AJ666" s="477">
        <f t="shared" si="280"/>
        <v>0</v>
      </c>
      <c r="AK666" s="477">
        <f t="shared" si="280"/>
        <v>0</v>
      </c>
      <c r="AL666" s="477">
        <f t="shared" si="280"/>
        <v>0</v>
      </c>
      <c r="AM666" s="477">
        <f t="shared" si="280"/>
        <v>458.94999999999982</v>
      </c>
      <c r="AN666" s="477">
        <f t="shared" si="280"/>
        <v>0</v>
      </c>
      <c r="AO666" s="477">
        <f t="shared" si="280"/>
        <v>0</v>
      </c>
      <c r="AP666" s="477">
        <f t="shared" si="280"/>
        <v>6241.05</v>
      </c>
      <c r="AQ666" s="477">
        <f t="shared" si="280"/>
        <v>0</v>
      </c>
      <c r="AR666" s="477">
        <f t="shared" si="280"/>
        <v>0</v>
      </c>
      <c r="AS666" s="477">
        <f t="shared" si="280"/>
        <v>6241.05</v>
      </c>
    </row>
    <row r="667" spans="1:45" s="478" customFormat="1" ht="46.5">
      <c r="A667" s="472"/>
      <c r="B667" s="472"/>
      <c r="C667" s="474" t="s">
        <v>856</v>
      </c>
      <c r="D667" s="472"/>
      <c r="E667" s="472"/>
      <c r="F667" s="472"/>
      <c r="G667" s="475"/>
      <c r="H667" s="475"/>
      <c r="I667" s="475"/>
      <c r="J667" s="476"/>
      <c r="K667" s="476"/>
      <c r="L667" s="475"/>
      <c r="M667" s="475"/>
      <c r="N667" s="475"/>
      <c r="O667" s="475">
        <f>O434</f>
        <v>94.5</v>
      </c>
      <c r="P667" s="475">
        <f>P434</f>
        <v>1</v>
      </c>
      <c r="Q667" s="476"/>
      <c r="R667" s="476"/>
      <c r="S667" s="475"/>
      <c r="T667" s="476"/>
      <c r="U667" s="476"/>
      <c r="V667" s="475"/>
      <c r="W667" s="475">
        <f t="shared" ref="W667:AD667" si="281">W434</f>
        <v>17737.474999999999</v>
      </c>
      <c r="X667" s="475">
        <f t="shared" si="281"/>
        <v>684517.07819999999</v>
      </c>
      <c r="Y667" s="475">
        <f t="shared" si="281"/>
        <v>604732.92180000013</v>
      </c>
      <c r="Z667" s="475">
        <f t="shared" si="281"/>
        <v>1289250</v>
      </c>
      <c r="AA667" s="506">
        <f t="shared" si="281"/>
        <v>1289250</v>
      </c>
      <c r="AB667" s="506">
        <f t="shared" si="281"/>
        <v>604732.92180000013</v>
      </c>
      <c r="AC667" s="475">
        <f t="shared" si="281"/>
        <v>639850</v>
      </c>
      <c r="AD667" s="475">
        <f t="shared" si="281"/>
        <v>18276.875</v>
      </c>
      <c r="AE667" s="477">
        <f>SUM(AE196:AE432)</f>
        <v>562778</v>
      </c>
      <c r="AF667" s="477">
        <f t="shared" ref="AF667:AS667" si="282">SUM(AF196:AF432)</f>
        <v>4875.5</v>
      </c>
      <c r="AG667" s="477">
        <f t="shared" si="282"/>
        <v>608019.27399999986</v>
      </c>
      <c r="AH667" s="477">
        <f t="shared" si="282"/>
        <v>5282.5249999999996</v>
      </c>
      <c r="AI667" s="477">
        <f t="shared" si="282"/>
        <v>45241.274000000012</v>
      </c>
      <c r="AJ667" s="477">
        <f t="shared" si="282"/>
        <v>407.02500000000009</v>
      </c>
      <c r="AK667" s="477">
        <f t="shared" si="282"/>
        <v>164888.33220000015</v>
      </c>
      <c r="AL667" s="477">
        <f t="shared" si="282"/>
        <v>1584.7575000000002</v>
      </c>
      <c r="AM667" s="477">
        <f t="shared" si="282"/>
        <v>18470.355</v>
      </c>
      <c r="AN667" s="477">
        <f t="shared" si="282"/>
        <v>0</v>
      </c>
      <c r="AO667" s="477">
        <f t="shared" si="282"/>
        <v>0</v>
      </c>
      <c r="AP667" s="477">
        <f>SUM(AP196:AP432)</f>
        <v>519395.78899999987</v>
      </c>
      <c r="AQ667" s="477">
        <f t="shared" si="282"/>
        <v>5282.5249999999996</v>
      </c>
      <c r="AR667" s="477">
        <f t="shared" si="282"/>
        <v>0</v>
      </c>
      <c r="AS667" s="477">
        <f t="shared" si="282"/>
        <v>524678.3139999999</v>
      </c>
    </row>
    <row r="668" spans="1:45" s="478" customFormat="1" ht="24.95" customHeight="1">
      <c r="A668" s="472"/>
      <c r="B668" s="472"/>
      <c r="C668" s="474" t="s">
        <v>857</v>
      </c>
      <c r="D668" s="472"/>
      <c r="E668" s="472"/>
      <c r="F668" s="472"/>
      <c r="G668" s="475"/>
      <c r="H668" s="475"/>
      <c r="I668" s="475"/>
      <c r="J668" s="476"/>
      <c r="K668" s="476"/>
      <c r="L668" s="475"/>
      <c r="M668" s="475"/>
      <c r="N668" s="475"/>
      <c r="O668" s="475">
        <f>O553</f>
        <v>39</v>
      </c>
      <c r="P668" s="475">
        <f>P553</f>
        <v>0</v>
      </c>
      <c r="Q668" s="476"/>
      <c r="R668" s="476"/>
      <c r="S668" s="475"/>
      <c r="T668" s="476"/>
      <c r="U668" s="476"/>
      <c r="V668" s="475"/>
      <c r="W668" s="475">
        <f t="shared" ref="W668:AD668" si="283">W553</f>
        <v>117716.65000000001</v>
      </c>
      <c r="X668" s="475">
        <f t="shared" si="283"/>
        <v>275658.33499999996</v>
      </c>
      <c r="Y668" s="475">
        <f t="shared" si="283"/>
        <v>0</v>
      </c>
      <c r="Z668" s="475">
        <f t="shared" si="283"/>
        <v>275658.33499999996</v>
      </c>
      <c r="AA668" s="506">
        <f t="shared" si="283"/>
        <v>275658.33499999996</v>
      </c>
      <c r="AB668" s="506">
        <f t="shared" si="283"/>
        <v>0</v>
      </c>
      <c r="AC668" s="475">
        <f t="shared" si="283"/>
        <v>254600</v>
      </c>
      <c r="AD668" s="475">
        <f t="shared" si="283"/>
        <v>114535.65000000001</v>
      </c>
      <c r="AE668" s="479">
        <f>SUM(AE435:AE551)</f>
        <v>176486</v>
      </c>
      <c r="AF668" s="479">
        <f t="shared" ref="AF668:AS668" si="284">SUM(AF435:AF551)</f>
        <v>0</v>
      </c>
      <c r="AG668" s="479">
        <f t="shared" si="284"/>
        <v>188098.69999999998</v>
      </c>
      <c r="AH668" s="479">
        <f t="shared" si="284"/>
        <v>0</v>
      </c>
      <c r="AI668" s="479">
        <f t="shared" si="284"/>
        <v>11612.7</v>
      </c>
      <c r="AJ668" s="479">
        <f t="shared" si="284"/>
        <v>0</v>
      </c>
      <c r="AK668" s="479">
        <f t="shared" si="284"/>
        <v>0</v>
      </c>
      <c r="AL668" s="479">
        <f t="shared" si="284"/>
        <v>0</v>
      </c>
      <c r="AM668" s="479">
        <f t="shared" si="284"/>
        <v>146901.30000000002</v>
      </c>
      <c r="AN668" s="479">
        <f t="shared" si="284"/>
        <v>18809.870000000006</v>
      </c>
      <c r="AO668" s="479">
        <f t="shared" si="284"/>
        <v>0</v>
      </c>
      <c r="AP668" s="479">
        <f t="shared" si="284"/>
        <v>143583.34999999998</v>
      </c>
      <c r="AQ668" s="479">
        <f t="shared" si="284"/>
        <v>0</v>
      </c>
      <c r="AR668" s="479">
        <f t="shared" si="284"/>
        <v>0</v>
      </c>
      <c r="AS668" s="479">
        <f t="shared" si="284"/>
        <v>143583.34999999998</v>
      </c>
    </row>
    <row r="669" spans="1:45" s="478" customFormat="1" ht="24.95" customHeight="1">
      <c r="A669" s="472"/>
      <c r="B669" s="472"/>
      <c r="C669" s="474" t="s">
        <v>858</v>
      </c>
      <c r="D669" s="472"/>
      <c r="E669" s="472"/>
      <c r="F669" s="472"/>
      <c r="G669" s="475"/>
      <c r="H669" s="475"/>
      <c r="I669" s="475"/>
      <c r="J669" s="476"/>
      <c r="K669" s="476"/>
      <c r="L669" s="475"/>
      <c r="M669" s="475"/>
      <c r="N669" s="475"/>
      <c r="O669" s="475">
        <f>O557</f>
        <v>1</v>
      </c>
      <c r="P669" s="475">
        <f>P557</f>
        <v>0</v>
      </c>
      <c r="Q669" s="476"/>
      <c r="R669" s="476"/>
      <c r="S669" s="475"/>
      <c r="T669" s="476"/>
      <c r="U669" s="476"/>
      <c r="V669" s="475"/>
      <c r="W669" s="475">
        <f t="shared" ref="W669:AD669" si="285">W557</f>
        <v>2644</v>
      </c>
      <c r="X669" s="475">
        <f t="shared" si="285"/>
        <v>6700</v>
      </c>
      <c r="Y669" s="475">
        <f t="shared" si="285"/>
        <v>0</v>
      </c>
      <c r="Z669" s="475">
        <f t="shared" si="285"/>
        <v>6700</v>
      </c>
      <c r="AA669" s="506">
        <f t="shared" si="285"/>
        <v>0</v>
      </c>
      <c r="AB669" s="506">
        <f t="shared" si="285"/>
        <v>0</v>
      </c>
      <c r="AC669" s="475">
        <f t="shared" si="285"/>
        <v>6700</v>
      </c>
      <c r="AD669" s="475">
        <f t="shared" si="285"/>
        <v>2644</v>
      </c>
      <c r="AE669" s="479">
        <f t="shared" ref="AE669:AS669" si="286">SUM(AE554:AE556)</f>
        <v>4056</v>
      </c>
      <c r="AF669" s="479">
        <f t="shared" si="286"/>
        <v>0</v>
      </c>
      <c r="AG669" s="479">
        <f t="shared" si="286"/>
        <v>4056</v>
      </c>
      <c r="AH669" s="479">
        <f t="shared" si="286"/>
        <v>0</v>
      </c>
      <c r="AI669" s="479">
        <f t="shared" si="286"/>
        <v>0</v>
      </c>
      <c r="AJ669" s="479">
        <f t="shared" si="286"/>
        <v>0</v>
      </c>
      <c r="AK669" s="479">
        <f t="shared" si="286"/>
        <v>0</v>
      </c>
      <c r="AL669" s="479">
        <f t="shared" si="286"/>
        <v>0</v>
      </c>
      <c r="AM669" s="479">
        <f t="shared" si="286"/>
        <v>2644</v>
      </c>
      <c r="AN669" s="479">
        <f t="shared" si="286"/>
        <v>0</v>
      </c>
      <c r="AO669" s="479">
        <f t="shared" si="286"/>
        <v>0</v>
      </c>
      <c r="AP669" s="479">
        <f t="shared" si="286"/>
        <v>4056</v>
      </c>
      <c r="AQ669" s="479">
        <f t="shared" si="286"/>
        <v>0</v>
      </c>
      <c r="AR669" s="479">
        <f t="shared" si="286"/>
        <v>0</v>
      </c>
      <c r="AS669" s="479">
        <f t="shared" si="286"/>
        <v>4056</v>
      </c>
    </row>
    <row r="670" spans="1:45" s="478" customFormat="1" ht="24.95" customHeight="1">
      <c r="A670" s="472"/>
      <c r="B670" s="472"/>
      <c r="C670" s="474" t="s">
        <v>859</v>
      </c>
      <c r="D670" s="472"/>
      <c r="E670" s="472"/>
      <c r="F670" s="472"/>
      <c r="G670" s="475"/>
      <c r="H670" s="475"/>
      <c r="I670" s="475"/>
      <c r="J670" s="476"/>
      <c r="K670" s="476"/>
      <c r="L670" s="475"/>
      <c r="M670" s="475"/>
      <c r="N670" s="475"/>
      <c r="O670" s="475">
        <f>O602+O21</f>
        <v>19.5</v>
      </c>
      <c r="P670" s="475">
        <f>P602</f>
        <v>0.5</v>
      </c>
      <c r="Q670" s="476"/>
      <c r="R670" s="476"/>
      <c r="S670" s="475"/>
      <c r="T670" s="476"/>
      <c r="U670" s="476"/>
      <c r="V670" s="475"/>
      <c r="W670" s="475">
        <f>W602</f>
        <v>32601</v>
      </c>
      <c r="X670" s="475">
        <f>X602+X21</f>
        <v>152129.052</v>
      </c>
      <c r="Y670" s="475">
        <f>Y602</f>
        <v>0</v>
      </c>
      <c r="Z670" s="475">
        <f>Z602+Z21</f>
        <v>152129.052</v>
      </c>
      <c r="AA670" s="506">
        <f>AA602</f>
        <v>138332.962</v>
      </c>
      <c r="AB670" s="506">
        <f>AB602+AB21</f>
        <v>6203.9100000000017</v>
      </c>
      <c r="AC670" s="475">
        <f>AC602</f>
        <v>126900</v>
      </c>
      <c r="AD670" s="475">
        <f>AD602</f>
        <v>32601</v>
      </c>
      <c r="AE670" s="480">
        <f t="shared" ref="AE670:AS670" si="287">SUM(AE558:AE601)+AE21</f>
        <v>111775.98000000001</v>
      </c>
      <c r="AF670" s="480">
        <f t="shared" si="287"/>
        <v>2713.5</v>
      </c>
      <c r="AG670" s="480">
        <f t="shared" si="287"/>
        <v>116814.552</v>
      </c>
      <c r="AH670" s="480">
        <f t="shared" si="287"/>
        <v>2713.5</v>
      </c>
      <c r="AI670" s="480">
        <f t="shared" si="287"/>
        <v>5038.5720000000001</v>
      </c>
      <c r="AJ670" s="480">
        <f t="shared" si="287"/>
        <v>0</v>
      </c>
      <c r="AK670" s="480">
        <f t="shared" si="287"/>
        <v>0</v>
      </c>
      <c r="AL670" s="480">
        <f t="shared" si="287"/>
        <v>0</v>
      </c>
      <c r="AM670" s="480">
        <f t="shared" si="287"/>
        <v>32601</v>
      </c>
      <c r="AN670" s="480">
        <f t="shared" si="287"/>
        <v>0</v>
      </c>
      <c r="AO670" s="480">
        <f t="shared" si="287"/>
        <v>0</v>
      </c>
      <c r="AP670" s="480">
        <f t="shared" si="287"/>
        <v>116814.552</v>
      </c>
      <c r="AQ670" s="480">
        <f t="shared" si="287"/>
        <v>2713.5</v>
      </c>
      <c r="AR670" s="480">
        <f t="shared" si="287"/>
        <v>0</v>
      </c>
      <c r="AS670" s="480">
        <f t="shared" si="287"/>
        <v>119528.052</v>
      </c>
    </row>
    <row r="671" spans="1:45" s="478" customFormat="1" ht="24.95" customHeight="1">
      <c r="A671" s="472"/>
      <c r="B671" s="472"/>
      <c r="C671" s="474" t="s">
        <v>860</v>
      </c>
      <c r="D671" s="472"/>
      <c r="E671" s="472"/>
      <c r="F671" s="472"/>
      <c r="G671" s="475"/>
      <c r="H671" s="475"/>
      <c r="I671" s="475"/>
      <c r="J671" s="476"/>
      <c r="K671" s="476"/>
      <c r="L671" s="475"/>
      <c r="M671" s="475"/>
      <c r="N671" s="475"/>
      <c r="O671" s="475">
        <f>O662</f>
        <v>25.5</v>
      </c>
      <c r="P671" s="475">
        <f>P662</f>
        <v>1.5</v>
      </c>
      <c r="Q671" s="476"/>
      <c r="R671" s="476"/>
      <c r="S671" s="475"/>
      <c r="T671" s="476"/>
      <c r="U671" s="476"/>
      <c r="V671" s="475"/>
      <c r="W671" s="475">
        <f t="shared" ref="W671:AD671" si="288">W662</f>
        <v>83313</v>
      </c>
      <c r="X671" s="475">
        <f t="shared" si="288"/>
        <v>182092.79999999999</v>
      </c>
      <c r="Y671" s="475">
        <f t="shared" si="288"/>
        <v>0</v>
      </c>
      <c r="Z671" s="475">
        <f t="shared" si="288"/>
        <v>182092.79999999999</v>
      </c>
      <c r="AA671" s="506">
        <f t="shared" si="288"/>
        <v>182092.79999999999</v>
      </c>
      <c r="AB671" s="506">
        <f t="shared" si="288"/>
        <v>0</v>
      </c>
      <c r="AC671" s="475">
        <f t="shared" si="288"/>
        <v>180900</v>
      </c>
      <c r="AD671" s="475">
        <f t="shared" si="288"/>
        <v>83313</v>
      </c>
      <c r="AE671" s="480">
        <f t="shared" ref="AE671:AS671" si="289">SUM(AE604:AE661)</f>
        <v>88927</v>
      </c>
      <c r="AF671" s="480">
        <f t="shared" si="289"/>
        <v>5412.5</v>
      </c>
      <c r="AG671" s="480">
        <f t="shared" si="289"/>
        <v>91092</v>
      </c>
      <c r="AH671" s="480">
        <f t="shared" si="289"/>
        <v>6495</v>
      </c>
      <c r="AI671" s="480">
        <f t="shared" si="289"/>
        <v>2165</v>
      </c>
      <c r="AJ671" s="480">
        <f t="shared" si="289"/>
        <v>1082.5</v>
      </c>
      <c r="AK671" s="480">
        <f t="shared" si="289"/>
        <v>0</v>
      </c>
      <c r="AL671" s="480">
        <f t="shared" si="289"/>
        <v>0</v>
      </c>
      <c r="AM671" s="480">
        <f t="shared" si="289"/>
        <v>83313</v>
      </c>
      <c r="AN671" s="480">
        <f t="shared" si="289"/>
        <v>1192.8</v>
      </c>
      <c r="AO671" s="480">
        <f t="shared" si="289"/>
        <v>0</v>
      </c>
      <c r="AP671" s="480">
        <f t="shared" si="289"/>
        <v>91092</v>
      </c>
      <c r="AQ671" s="480">
        <f t="shared" si="289"/>
        <v>6495</v>
      </c>
      <c r="AR671" s="480">
        <f t="shared" si="289"/>
        <v>0</v>
      </c>
      <c r="AS671" s="480">
        <f t="shared" si="289"/>
        <v>97587</v>
      </c>
    </row>
    <row r="672" spans="1:45" s="205" customFormat="1" ht="24.95" customHeight="1">
      <c r="A672" s="201"/>
      <c r="B672" s="201"/>
      <c r="C672" s="481"/>
      <c r="D672" s="201"/>
      <c r="E672" s="482"/>
      <c r="F672" s="201"/>
      <c r="G672" s="201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507"/>
      <c r="AB672" s="507"/>
      <c r="AC672" s="201"/>
      <c r="AD672" s="201"/>
      <c r="AE672" s="1115" t="s">
        <v>276</v>
      </c>
      <c r="AF672" s="1116"/>
      <c r="AG672" s="1116"/>
      <c r="AH672" s="1116"/>
      <c r="AI672" s="1116"/>
      <c r="AJ672" s="1116"/>
      <c r="AK672" s="1120" t="s">
        <v>277</v>
      </c>
      <c r="AL672" s="1121"/>
      <c r="AM672" s="1115" t="s">
        <v>273</v>
      </c>
      <c r="AN672" s="1120" t="s">
        <v>278</v>
      </c>
      <c r="AO672" s="1121"/>
      <c r="AP672" s="1115" t="s">
        <v>279</v>
      </c>
      <c r="AQ672" s="1116"/>
      <c r="AR672" s="1116"/>
      <c r="AS672" s="1116"/>
    </row>
    <row r="673" spans="1:45" s="488" customFormat="1" ht="24.95" customHeight="1">
      <c r="A673" s="483"/>
      <c r="B673" s="483"/>
      <c r="C673" s="484" t="s">
        <v>993</v>
      </c>
      <c r="D673" s="485"/>
      <c r="E673" s="485"/>
      <c r="F673" s="485"/>
      <c r="G673" s="486"/>
      <c r="H673" s="486"/>
      <c r="I673" s="485" t="s">
        <v>252</v>
      </c>
      <c r="J673" s="487"/>
      <c r="K673" s="485"/>
      <c r="L673" s="483"/>
      <c r="M673" s="483"/>
      <c r="N673" s="483"/>
      <c r="O673" s="483"/>
      <c r="P673" s="483"/>
      <c r="Q673" s="483"/>
      <c r="R673" s="483"/>
      <c r="S673" s="483"/>
      <c r="T673" s="483"/>
      <c r="U673" s="483"/>
      <c r="V673" s="483"/>
      <c r="W673" s="483"/>
      <c r="X673" s="483"/>
      <c r="Y673" s="483"/>
      <c r="Z673" s="483"/>
      <c r="AA673" s="508"/>
      <c r="AB673" s="508"/>
      <c r="AC673" s="483"/>
      <c r="AD673" s="483"/>
      <c r="AE673" s="1116"/>
      <c r="AF673" s="1116"/>
      <c r="AG673" s="1116"/>
      <c r="AH673" s="1116"/>
      <c r="AI673" s="1116"/>
      <c r="AJ673" s="1116"/>
      <c r="AK673" s="1122"/>
      <c r="AL673" s="1123"/>
      <c r="AM673" s="1115"/>
      <c r="AN673" s="1122"/>
      <c r="AO673" s="1123"/>
      <c r="AP673" s="1116"/>
      <c r="AQ673" s="1116"/>
      <c r="AR673" s="1116"/>
      <c r="AS673" s="1116"/>
    </row>
    <row r="674" spans="1:45" s="488" customFormat="1" ht="60">
      <c r="A674" s="483"/>
      <c r="B674" s="483"/>
      <c r="C674" s="484" t="s">
        <v>861</v>
      </c>
      <c r="D674" s="485"/>
      <c r="E674" s="485"/>
      <c r="F674" s="485"/>
      <c r="G674" s="486"/>
      <c r="H674" s="486"/>
      <c r="I674" s="485" t="s">
        <v>862</v>
      </c>
      <c r="J674" s="489"/>
      <c r="K674" s="485"/>
      <c r="L674" s="483"/>
      <c r="M674" s="483"/>
      <c r="T674" s="483"/>
      <c r="U674" s="483"/>
      <c r="V674" s="483"/>
      <c r="W674" s="483"/>
      <c r="X674" s="483"/>
      <c r="Y674" s="483"/>
      <c r="Z674" s="483"/>
      <c r="AA674" s="508"/>
      <c r="AB674" s="508"/>
      <c r="AC674" s="483"/>
      <c r="AD674" s="483"/>
      <c r="AE674" s="1117" t="s">
        <v>298</v>
      </c>
      <c r="AF674" s="1118"/>
      <c r="AG674" s="1117" t="s">
        <v>299</v>
      </c>
      <c r="AH674" s="1118"/>
      <c r="AI674" s="1117" t="s">
        <v>300</v>
      </c>
      <c r="AJ674" s="1118"/>
      <c r="AK674" s="1124"/>
      <c r="AL674" s="1125"/>
      <c r="AM674" s="1115"/>
      <c r="AN674" s="1124"/>
      <c r="AO674" s="1125"/>
      <c r="AP674" s="1119" t="s">
        <v>301</v>
      </c>
      <c r="AQ674" s="1119"/>
      <c r="AR674" s="514"/>
      <c r="AS674" s="514" t="s">
        <v>303</v>
      </c>
    </row>
    <row r="675" spans="1:45" s="488" customFormat="1" ht="24.95" customHeight="1">
      <c r="A675" s="483"/>
      <c r="B675" s="483"/>
      <c r="C675" s="484"/>
      <c r="D675" s="485"/>
      <c r="E675" s="485"/>
      <c r="F675" s="485"/>
      <c r="G675" s="485"/>
      <c r="H675" s="485"/>
      <c r="I675" s="485"/>
      <c r="J675" s="487"/>
      <c r="K675" s="485"/>
      <c r="L675" s="483"/>
      <c r="M675" s="483"/>
      <c r="N675" s="486"/>
      <c r="O675" s="486"/>
      <c r="P675" s="484" t="s">
        <v>1077</v>
      </c>
      <c r="Q675" s="489"/>
      <c r="R675" s="485"/>
      <c r="S675" s="483"/>
      <c r="T675" s="483"/>
      <c r="U675" s="483"/>
      <c r="V675" s="483"/>
      <c r="W675" s="483"/>
      <c r="X675" s="483"/>
      <c r="Y675" s="483"/>
      <c r="Z675" s="483"/>
      <c r="AA675" s="508"/>
      <c r="AB675" s="508"/>
      <c r="AC675" s="483"/>
      <c r="AD675" s="483"/>
      <c r="AE675" s="490"/>
      <c r="AF675" s="490"/>
      <c r="AG675" s="490"/>
      <c r="AH675" s="490"/>
      <c r="AI675" s="490"/>
      <c r="AJ675" s="490"/>
      <c r="AK675" s="490"/>
      <c r="AL675" s="490"/>
      <c r="AM675" s="490"/>
      <c r="AN675" s="490"/>
      <c r="AO675" s="490"/>
      <c r="AP675" s="490"/>
      <c r="AQ675" s="490"/>
      <c r="AR675" s="490"/>
      <c r="AS675" s="490"/>
    </row>
    <row r="676" spans="1:45" s="488" customFormat="1" ht="24.95" customHeight="1">
      <c r="A676" s="483"/>
      <c r="B676" s="483"/>
      <c r="C676" s="484" t="s">
        <v>863</v>
      </c>
      <c r="D676" s="485"/>
      <c r="E676" s="485"/>
      <c r="F676" s="485"/>
      <c r="G676" s="486"/>
      <c r="H676" s="486"/>
      <c r="I676" s="484" t="s">
        <v>864</v>
      </c>
      <c r="J676" s="489"/>
      <c r="K676" s="485"/>
      <c r="L676" s="483"/>
      <c r="M676" s="483"/>
      <c r="N676" s="486"/>
      <c r="O676" s="486"/>
      <c r="P676" s="484" t="s">
        <v>865</v>
      </c>
      <c r="Q676" s="487"/>
      <c r="R676" s="485"/>
      <c r="S676" s="483"/>
      <c r="T676" s="483"/>
      <c r="U676" s="483"/>
      <c r="V676" s="483"/>
      <c r="W676" s="483"/>
      <c r="X676" s="483"/>
      <c r="Y676" s="483"/>
      <c r="Z676" s="483"/>
      <c r="AA676" s="508"/>
      <c r="AB676" s="508"/>
      <c r="AC676" s="483"/>
      <c r="AD676" s="483"/>
      <c r="AE676" s="491">
        <f>AE663-AE664</f>
        <v>0</v>
      </c>
      <c r="AF676" s="491">
        <f t="shared" ref="AF676:AS676" si="290">AF663-AF664</f>
        <v>0</v>
      </c>
      <c r="AG676" s="491">
        <f t="shared" si="290"/>
        <v>0</v>
      </c>
      <c r="AH676" s="491">
        <f t="shared" si="290"/>
        <v>0</v>
      </c>
      <c r="AI676" s="491">
        <f t="shared" si="290"/>
        <v>1.4551915228366852E-10</v>
      </c>
      <c r="AJ676" s="491">
        <f t="shared" si="290"/>
        <v>0</v>
      </c>
      <c r="AK676" s="491">
        <f t="shared" si="290"/>
        <v>0</v>
      </c>
      <c r="AL676" s="491">
        <f t="shared" si="290"/>
        <v>0</v>
      </c>
      <c r="AM676" s="491">
        <f t="shared" si="290"/>
        <v>0</v>
      </c>
      <c r="AN676" s="491">
        <f t="shared" si="290"/>
        <v>0</v>
      </c>
      <c r="AO676" s="491">
        <f t="shared" si="290"/>
        <v>0</v>
      </c>
      <c r="AP676" s="491">
        <f>AP663-AP664</f>
        <v>0</v>
      </c>
      <c r="AQ676" s="491">
        <f t="shared" si="290"/>
        <v>0</v>
      </c>
      <c r="AR676" s="491">
        <f t="shared" si="290"/>
        <v>0</v>
      </c>
      <c r="AS676" s="491">
        <f t="shared" si="290"/>
        <v>0</v>
      </c>
    </row>
    <row r="677" spans="1:45" s="488" customFormat="1" ht="24.95" customHeight="1">
      <c r="A677" s="483"/>
      <c r="B677" s="483"/>
      <c r="C677" s="484"/>
      <c r="D677" s="485"/>
      <c r="E677" s="485"/>
      <c r="F677" s="485"/>
      <c r="G677" s="486"/>
      <c r="H677" s="486"/>
      <c r="I677" s="484" t="s">
        <v>866</v>
      </c>
      <c r="J677" s="489"/>
      <c r="K677" s="485"/>
      <c r="L677" s="483"/>
      <c r="M677" s="483"/>
      <c r="N677" s="492"/>
      <c r="O677" s="492"/>
      <c r="P677" s="484" t="s">
        <v>867</v>
      </c>
      <c r="R677" s="485"/>
      <c r="S677" s="483"/>
      <c r="T677" s="483"/>
      <c r="U677" s="483"/>
      <c r="V677" s="483"/>
      <c r="W677" s="483"/>
      <c r="X677" s="483"/>
      <c r="Y677" s="483"/>
      <c r="Z677" s="483"/>
      <c r="AA677" s="508"/>
      <c r="AB677" s="508"/>
      <c r="AC677" s="483"/>
      <c r="AD677" s="483"/>
      <c r="AE677" s="490"/>
      <c r="AF677" s="490"/>
      <c r="AG677" s="490"/>
      <c r="AH677" s="490"/>
      <c r="AI677" s="490"/>
      <c r="AJ677" s="490"/>
      <c r="AK677" s="490"/>
      <c r="AL677" s="490"/>
      <c r="AM677" s="490"/>
      <c r="AN677" s="490"/>
      <c r="AO677" s="490"/>
      <c r="AP677" s="490"/>
      <c r="AQ677" s="490"/>
      <c r="AR677" s="490"/>
      <c r="AS677" s="490"/>
    </row>
    <row r="678" spans="1:45" s="488" customFormat="1" ht="24.95" customHeight="1">
      <c r="A678" s="483"/>
      <c r="B678" s="483"/>
      <c r="C678" s="484"/>
      <c r="D678" s="485"/>
      <c r="E678" s="485"/>
      <c r="F678" s="485"/>
      <c r="G678" s="486"/>
      <c r="H678" s="486"/>
      <c r="I678" s="484" t="s">
        <v>1078</v>
      </c>
      <c r="J678" s="487"/>
      <c r="K678" s="485"/>
      <c r="L678" s="483"/>
      <c r="M678" s="483"/>
      <c r="N678" s="492"/>
      <c r="O678" s="492"/>
      <c r="P678" s="484" t="s">
        <v>1079</v>
      </c>
      <c r="Q678" s="487"/>
      <c r="R678" s="485"/>
      <c r="S678" s="483"/>
      <c r="T678" s="483"/>
      <c r="U678" s="483"/>
      <c r="V678" s="483"/>
      <c r="W678" s="483"/>
      <c r="X678" s="483"/>
      <c r="Y678" s="483"/>
      <c r="Z678" s="483"/>
      <c r="AA678" s="508"/>
      <c r="AB678" s="508"/>
      <c r="AC678" s="483"/>
      <c r="AD678" s="483"/>
      <c r="AE678" s="490"/>
      <c r="AF678" s="490"/>
      <c r="AG678" s="490"/>
      <c r="AH678" s="490"/>
      <c r="AI678" s="490"/>
      <c r="AJ678" s="490"/>
      <c r="AK678" s="490"/>
      <c r="AL678" s="490"/>
      <c r="AM678" s="490"/>
      <c r="AN678" s="490"/>
      <c r="AO678" s="490"/>
      <c r="AP678" s="490"/>
      <c r="AQ678" s="490"/>
      <c r="AR678" s="490"/>
      <c r="AS678" s="490"/>
    </row>
    <row r="679" spans="1:45" s="488" customFormat="1" ht="24.95" customHeight="1">
      <c r="A679" s="483"/>
      <c r="B679" s="483"/>
      <c r="C679" s="484"/>
      <c r="D679" s="485"/>
      <c r="E679" s="485"/>
      <c r="F679" s="485"/>
      <c r="G679" s="486"/>
      <c r="H679" s="486"/>
      <c r="I679" s="484" t="s">
        <v>868</v>
      </c>
      <c r="J679" s="487"/>
      <c r="K679" s="485"/>
      <c r="L679" s="483"/>
      <c r="M679" s="483"/>
      <c r="N679" s="486"/>
      <c r="O679" s="486"/>
      <c r="P679" s="484" t="s">
        <v>869</v>
      </c>
      <c r="Q679" s="487"/>
      <c r="R679" s="485"/>
      <c r="S679" s="483"/>
      <c r="T679" s="483"/>
      <c r="U679" s="483"/>
      <c r="V679" s="483"/>
      <c r="W679" s="483"/>
      <c r="X679" s="483"/>
      <c r="Y679" s="483"/>
      <c r="Z679" s="483"/>
      <c r="AA679" s="508"/>
      <c r="AB679" s="508"/>
      <c r="AC679" s="483"/>
      <c r="AD679" s="483"/>
      <c r="AE679" s="490"/>
      <c r="AF679" s="490"/>
      <c r="AG679" s="490"/>
      <c r="AH679" s="490"/>
      <c r="AI679" s="490"/>
      <c r="AJ679" s="490"/>
      <c r="AK679" s="490"/>
      <c r="AL679" s="490"/>
      <c r="AM679" s="490"/>
      <c r="AN679" s="490"/>
      <c r="AO679" s="490"/>
      <c r="AP679" s="490"/>
      <c r="AQ679" s="490"/>
      <c r="AR679" s="490"/>
      <c r="AS679" s="490"/>
    </row>
    <row r="680" spans="1:45" s="169" customFormat="1" ht="38.25">
      <c r="A680" s="162"/>
      <c r="B680" s="162"/>
      <c r="C680" s="212" t="s">
        <v>1227</v>
      </c>
      <c r="D680" s="211"/>
      <c r="E680" s="211"/>
      <c r="F680" s="211"/>
      <c r="G680" s="211"/>
      <c r="H680" s="211"/>
      <c r="I680" s="211"/>
      <c r="J680" s="211"/>
      <c r="K680" s="211"/>
      <c r="L680" s="211"/>
      <c r="M680" s="213"/>
      <c r="N680" s="213"/>
      <c r="O680" s="216">
        <f>O15+O17+O19+O21</f>
        <v>4</v>
      </c>
      <c r="P680" s="216">
        <f>P15+P17+P19+P21</f>
        <v>0</v>
      </c>
      <c r="Q680" s="216"/>
      <c r="R680" s="216"/>
      <c r="S680" s="216"/>
      <c r="T680" s="216"/>
      <c r="U680" s="216"/>
      <c r="V680" s="216"/>
      <c r="W680" s="216"/>
      <c r="X680" s="216">
        <f>X15+X17+X19+X21</f>
        <v>68652.324560000008</v>
      </c>
      <c r="Y680" s="216"/>
      <c r="Z680" s="216">
        <f>Z15+Z17+Z19+Z21</f>
        <v>74676.632409999991</v>
      </c>
      <c r="AA680" s="509">
        <f>AA15+AA17+AA19+AA21</f>
        <v>80000</v>
      </c>
      <c r="AB680" s="509">
        <f>AB15+AB17+AB19+AB21</f>
        <v>11347.675440000001</v>
      </c>
      <c r="AC680" s="509"/>
      <c r="AD680" s="509"/>
      <c r="AE680" s="509"/>
      <c r="AF680" s="509"/>
      <c r="AG680" s="509"/>
      <c r="AH680" s="509"/>
      <c r="AI680" s="509"/>
      <c r="AJ680" s="509"/>
      <c r="AK680" s="509"/>
      <c r="AL680" s="509"/>
      <c r="AM680" s="509"/>
      <c r="AN680" s="509"/>
      <c r="AO680" s="509"/>
      <c r="AP680" s="293">
        <f>AP15+AP17+AP19+AP21</f>
        <v>57117.020099999994</v>
      </c>
      <c r="AQ680" s="293">
        <f>AQ15+AQ17+AQ19+AQ21</f>
        <v>0</v>
      </c>
      <c r="AR680" s="293">
        <f>AR15+AR17+AR19+AR21</f>
        <v>0</v>
      </c>
      <c r="AS680" s="293">
        <f>AS15+AS17+AS19+AS21</f>
        <v>57117.020099999994</v>
      </c>
    </row>
    <row r="681" spans="1:45" s="215" customFormat="1" ht="76.5">
      <c r="A681" s="214"/>
      <c r="B681" s="214"/>
      <c r="C681" s="212" t="s">
        <v>1224</v>
      </c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6">
        <f>O69+O97+O129+O135+O141+O172+O182+O196+O560</f>
        <v>9</v>
      </c>
      <c r="P681" s="216">
        <f>P69+P97+P129+P135+P141+P172+P182+P196+P560</f>
        <v>0</v>
      </c>
      <c r="Q681" s="216"/>
      <c r="R681" s="216"/>
      <c r="S681" s="216"/>
      <c r="T681" s="216"/>
      <c r="U681" s="216"/>
      <c r="V681" s="216"/>
      <c r="W681" s="216"/>
      <c r="X681" s="216">
        <f>X69+X97+X129+X135+X141+X172+X182+X196+X560</f>
        <v>107121.4807</v>
      </c>
      <c r="Y681" s="216"/>
      <c r="Z681" s="216">
        <f>Z69+Z97+Z129+Z135+Z141+Z172+Z182+Z196+Z560</f>
        <v>166569.98000000001</v>
      </c>
      <c r="AA681" s="509">
        <f>AA69+AA97+AA129+AA135+AA141+AA172+AA182+AA196+AA560</f>
        <v>166569.98000000001</v>
      </c>
      <c r="AB681" s="509">
        <f>AB69+AB97+AB129+AB135+AB141+AB172+AB182+AB196+AB560</f>
        <v>59448.499300000003</v>
      </c>
      <c r="AC681" s="509"/>
      <c r="AD681" s="509"/>
      <c r="AE681" s="509"/>
      <c r="AF681" s="509"/>
      <c r="AG681" s="509"/>
      <c r="AH681" s="509"/>
      <c r="AI681" s="509"/>
      <c r="AJ681" s="509"/>
      <c r="AK681" s="509"/>
      <c r="AL681" s="509"/>
      <c r="AM681" s="509"/>
      <c r="AN681" s="509"/>
      <c r="AO681" s="509"/>
      <c r="AP681" s="293">
        <f>AP69+AP97+AP129+AP135+AP141+AP172+AP182+AP196+AP560</f>
        <v>86411.519</v>
      </c>
      <c r="AQ681" s="293">
        <f>AQ69+AQ97+AQ129+AQ135+AQ141+AQ172+AQ182+AQ196+AQ560</f>
        <v>0</v>
      </c>
      <c r="AR681" s="293">
        <f>AR69+AR97+AR129+AR135+AR141+AR172+AR182+AR196+AR560</f>
        <v>0</v>
      </c>
      <c r="AS681" s="293">
        <f>AS69+AS97+AS129+AS135+AS141+AS172+AS182+AS196+AS560</f>
        <v>86411.519</v>
      </c>
    </row>
    <row r="682" spans="1:45" s="215" customFormat="1" ht="38.25">
      <c r="A682" s="214"/>
      <c r="B682" s="214"/>
      <c r="C682" s="212" t="s">
        <v>16</v>
      </c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94"/>
      <c r="O682" s="217">
        <f>O67+O71+O73+O75+O77+O79+O81+O83+O85+O87+O89+O91+O93+O99+O101+O103+O105+O107+O109+O111+O113+O115+O117+O119+O123+O125+O131+O137+O143+O145+O147+O149+O151+O153+O155+O157+O161+O163+O165+O167+O174+O178+O191</f>
        <v>31.75</v>
      </c>
      <c r="P682" s="217">
        <f>P67+P71+P73+P75+P77+P79+P81+P83+P85+P87+P89+P91+P93+P99+P101+P103+P105+P107+P109+P111+P113+P115+P117+P119+P123+P125+P131+P137+P143+P145+P147+P149+P151+P153+P155+P157+P161+P163+P165+P167+P174+P178+P191</f>
        <v>10.25</v>
      </c>
      <c r="Q682" s="217"/>
      <c r="R682" s="217"/>
      <c r="S682" s="217"/>
      <c r="T682" s="217"/>
      <c r="U682" s="217"/>
      <c r="V682" s="217"/>
      <c r="W682" s="217"/>
      <c r="X682" s="217">
        <f>X67+X71+X73+X75+X77+X79+X81+X83+X85+X87+X89+X91+X93+X99+X101+X103+X105+X107+X109+X111+X113+X115+X117+X119+X123+X125+X131+X137+X143+X145+X147+X149+X151+X153+X155+X157+X161+X163+X165+X167+X174+X178+X191</f>
        <v>370837.47925000009</v>
      </c>
      <c r="Y682" s="217"/>
      <c r="Z682" s="217">
        <f>Z67+Z71+Z73+Z75+Z77+Z79+Z81+Z83+Z85+Z87+Z89+Z91+Z93+Z99+Z101+Z103+Z105+Z107+Z109+Z111+Z113+Z115+Z117+Z119+Z123+Z125+Z131+Z137+Z143+Z145+Z147+Z149+Z151+Z153+Z155+Z157+Z161+Z163+Z165+Z167+Z174+Z178+Z191</f>
        <v>840000</v>
      </c>
      <c r="AA682" s="510">
        <f>AA67+AA71+AA73+AA75+AA77+AA79+AA81+AA83+AA85+AA87+AA89+AA91+AA93+AA99+AA101+AA103+AA105+AA107+AA109+AA111+AA113+AA115+AA117+AA119+AA123+AA125+AA131+AA137+AA143+AA145+AA147+AA149+AA151+AA153+AA155+AA157+AA161+AA163+AA165+AA167+AA174+AA178+AA191</f>
        <v>840000</v>
      </c>
      <c r="AB682" s="510">
        <f>AB67+AB71+AB73+AB75+AB77+AB79+AB81+AB83+AB85+AB87+AB89+AB91+AB93+AB99+AB101+AB103+AB105+AB107+AB109+AB111+AB113+AB115+AB117+AB119+AB123+AB125+AB131+AB137+AB143+AB145+AB147+AB149+AB151+AB153+AB155+AB157+AB161+AB163+AB165+AB167+AB174+AB178+AB191</f>
        <v>469162.52074999991</v>
      </c>
      <c r="AC682" s="510"/>
      <c r="AD682" s="510"/>
      <c r="AE682" s="510"/>
      <c r="AF682" s="510"/>
      <c r="AG682" s="510"/>
      <c r="AH682" s="510"/>
      <c r="AI682" s="510"/>
      <c r="AJ682" s="510"/>
      <c r="AK682" s="510"/>
      <c r="AL682" s="510"/>
      <c r="AM682" s="510"/>
      <c r="AN682" s="510"/>
      <c r="AO682" s="510"/>
      <c r="AP682" s="293">
        <f>AP67+AP71+AP73+AP75+AP77+AP79+AP81+AP83+AP85+AP87+AP89+AP91+AP93+AP99+AP101+AP103+AP105+AP107+AP109+AP111+AP113+AP115+AP117+AP119+AP123+AP125+AP131+AP137+AP143+AP145+AP147+AP149+AP151+AP153+AP155+AP157+AP161+AP163+AP165+AP167+AP174+AP178+AP191</f>
        <v>232062.96</v>
      </c>
      <c r="AQ682" s="293">
        <f>AQ67+AQ71+AQ73+AQ75+AQ77+AQ79+AQ81+AQ83+AQ85+AQ87+AQ89+AQ91+AQ93+AQ99+AQ101+AQ103+AQ105+AQ107+AQ109+AQ111+AQ113+AQ115+AQ117+AQ119+AQ123+AQ125+AQ131+AQ137+AQ143+AQ145+AQ147+AQ149+AQ151+AQ153+AQ155+AQ157+AQ161+AQ163+AQ165+AQ167+AQ174+AQ178+AQ191</f>
        <v>77883.0625</v>
      </c>
      <c r="AR682" s="293">
        <f>AR67+AR71+AR73+AR75+AR77+AR79+AR81+AR83+AR85+AR87+AR89+AR91+AR93+AR99+AR101+AR103+AR105+AR107+AR109+AR111+AR113+AR115+AR117+AR119+AR123+AR125+AR131+AR137+AR143+AR145+AR147+AR149+AR151+AR153+AR155+AR157+AR161+AR163+AR165+AR167+AR174+AR178+AR191</f>
        <v>0</v>
      </c>
      <c r="AS682" s="293">
        <f>AS67+AS71+AS73+AS75+AS77+AS79+AS81+AS83+AS85+AS87+AS89+AS91+AS93+AS99+AS101+AS103+AS105+AS107+AS109+AS111+AS113+AS115+AS117+AS119+AS123+AS125+AS131+AS137+AS143+AS145+AS147+AS149+AS151+AS153+AS155+AS157+AS161+AS163+AS165+AS167+AS174+AS178+AS191</f>
        <v>309946.02249999996</v>
      </c>
    </row>
    <row r="683" spans="1:45" s="215" customFormat="1" ht="38.25">
      <c r="A683" s="214"/>
      <c r="B683" s="214"/>
      <c r="C683" s="212" t="s">
        <v>1228</v>
      </c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7">
        <f>O667-O196</f>
        <v>93.5</v>
      </c>
      <c r="P683" s="217">
        <f>P667-P196</f>
        <v>1</v>
      </c>
      <c r="Q683" s="217"/>
      <c r="R683" s="217"/>
      <c r="S683" s="217"/>
      <c r="T683" s="217"/>
      <c r="U683" s="217"/>
      <c r="V683" s="217"/>
      <c r="W683" s="217"/>
      <c r="X683" s="217">
        <f>X667-X196</f>
        <v>674669.61849999998</v>
      </c>
      <c r="Y683" s="217"/>
      <c r="Z683" s="217">
        <f>Z667-Z196</f>
        <v>1275750</v>
      </c>
      <c r="AA683" s="510">
        <f>AA667-AA196</f>
        <v>1275750</v>
      </c>
      <c r="AB683" s="510">
        <f>AB667-AB196</f>
        <v>601080.38150000013</v>
      </c>
      <c r="AC683" s="510"/>
      <c r="AD683" s="510"/>
      <c r="AE683" s="510"/>
      <c r="AF683" s="510"/>
      <c r="AG683" s="510"/>
      <c r="AH683" s="510"/>
      <c r="AI683" s="510"/>
      <c r="AJ683" s="510"/>
      <c r="AK683" s="510"/>
      <c r="AL683" s="510"/>
      <c r="AM683" s="510"/>
      <c r="AN683" s="510"/>
      <c r="AO683" s="510"/>
      <c r="AP683" s="293">
        <f>AP667-AP196</f>
        <v>511820.81999999989</v>
      </c>
      <c r="AQ683" s="293">
        <f>AQ667-AQ196</f>
        <v>5282.5249999999996</v>
      </c>
      <c r="AR683" s="293">
        <f>AR667-AR196</f>
        <v>0</v>
      </c>
      <c r="AS683" s="293">
        <f>AS667-AS196</f>
        <v>517103.34499999991</v>
      </c>
    </row>
    <row r="684" spans="1:45" s="215" customFormat="1" ht="38.25">
      <c r="A684" s="214"/>
      <c r="B684" s="214"/>
      <c r="C684" s="212" t="s">
        <v>102</v>
      </c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7">
        <f>O668</f>
        <v>39</v>
      </c>
      <c r="P684" s="217">
        <f>P668</f>
        <v>0</v>
      </c>
      <c r="Q684" s="217"/>
      <c r="R684" s="217"/>
      <c r="S684" s="217"/>
      <c r="T684" s="217"/>
      <c r="U684" s="217"/>
      <c r="V684" s="217"/>
      <c r="W684" s="217"/>
      <c r="X684" s="217">
        <f>X668</f>
        <v>275658.33499999996</v>
      </c>
      <c r="Y684" s="217"/>
      <c r="Z684" s="217">
        <f>Z668</f>
        <v>275658.33499999996</v>
      </c>
      <c r="AA684" s="510">
        <f>AA668</f>
        <v>275658.33499999996</v>
      </c>
      <c r="AB684" s="510">
        <f>AB668</f>
        <v>0</v>
      </c>
      <c r="AC684" s="510"/>
      <c r="AD684" s="510"/>
      <c r="AE684" s="510"/>
      <c r="AF684" s="510"/>
      <c r="AG684" s="510"/>
      <c r="AH684" s="510"/>
      <c r="AI684" s="510"/>
      <c r="AJ684" s="510"/>
      <c r="AK684" s="510"/>
      <c r="AL684" s="510"/>
      <c r="AM684" s="510"/>
      <c r="AN684" s="510"/>
      <c r="AO684" s="510"/>
      <c r="AP684" s="293">
        <f>AP668</f>
        <v>143583.34999999998</v>
      </c>
      <c r="AQ684" s="293">
        <f>AQ668</f>
        <v>0</v>
      </c>
      <c r="AR684" s="293">
        <f>AR668</f>
        <v>0</v>
      </c>
      <c r="AS684" s="293">
        <f>AS668</f>
        <v>143583.34999999998</v>
      </c>
    </row>
    <row r="685" spans="1:45" s="215" customFormat="1" ht="38.25">
      <c r="A685" s="214"/>
      <c r="B685" s="214"/>
      <c r="C685" s="212" t="s">
        <v>1225</v>
      </c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7">
        <f>O669+O670+O671-O560-O21</f>
        <v>44</v>
      </c>
      <c r="P685" s="217">
        <f>P669+P670+P671-P560-P21</f>
        <v>2</v>
      </c>
      <c r="Q685" s="217"/>
      <c r="R685" s="217"/>
      <c r="S685" s="217"/>
      <c r="T685" s="217"/>
      <c r="U685" s="217"/>
      <c r="V685" s="217"/>
      <c r="W685" s="217"/>
      <c r="X685" s="217">
        <f>X669+X670+X671-X560-X21</f>
        <v>314055.78199999995</v>
      </c>
      <c r="Y685" s="217"/>
      <c r="Z685" s="217">
        <f>Z669+Z670+Z671-Z560-Z21</f>
        <v>314055.78199999995</v>
      </c>
      <c r="AA685" s="510">
        <f>AA669+AA670+AA671-AA560-AA21</f>
        <v>287355.78200000001</v>
      </c>
      <c r="AB685" s="510">
        <f>AB669+AB670+AB671-AB560-AB21</f>
        <v>0</v>
      </c>
      <c r="AC685" s="510"/>
      <c r="AD685" s="510"/>
      <c r="AE685" s="510"/>
      <c r="AF685" s="510"/>
      <c r="AG685" s="510"/>
      <c r="AH685" s="510"/>
      <c r="AI685" s="510"/>
      <c r="AJ685" s="510"/>
      <c r="AK685" s="510"/>
      <c r="AL685" s="510"/>
      <c r="AM685" s="510"/>
      <c r="AN685" s="510"/>
      <c r="AO685" s="510"/>
      <c r="AP685" s="293">
        <f>AP669+AP670+AP671-AP560-AP21</f>
        <v>185096.48199999999</v>
      </c>
      <c r="AQ685" s="293">
        <f>AQ669+AQ670+AQ671-AQ560-AQ21</f>
        <v>9208.5</v>
      </c>
      <c r="AR685" s="293">
        <f>AR669+AR670+AR671-AR560-AR21</f>
        <v>0</v>
      </c>
      <c r="AS685" s="293">
        <f>AS669+AS670+AS671-AS560-AS21</f>
        <v>194304.98199999999</v>
      </c>
    </row>
    <row r="686" spans="1:45" s="205" customFormat="1">
      <c r="A686" s="200"/>
      <c r="B686" s="200"/>
      <c r="C686" s="193" t="s">
        <v>318</v>
      </c>
      <c r="D686" s="194"/>
      <c r="E686" s="192"/>
      <c r="F686" s="192"/>
      <c r="G686" s="196"/>
      <c r="H686" s="197"/>
      <c r="I686" s="198"/>
      <c r="J686" s="198"/>
      <c r="K686" s="198"/>
      <c r="L686" s="198"/>
      <c r="M686" s="198"/>
      <c r="N686" s="196"/>
      <c r="O686" s="198">
        <f>SUM(O680:O685)</f>
        <v>221.25</v>
      </c>
      <c r="P686" s="198">
        <f>SUM(P680:P685)</f>
        <v>13.25</v>
      </c>
      <c r="Q686" s="198"/>
      <c r="R686" s="198"/>
      <c r="S686" s="197"/>
      <c r="T686" s="198"/>
      <c r="U686" s="198"/>
      <c r="V686" s="198"/>
      <c r="W686" s="198"/>
      <c r="X686" s="198">
        <f>SUM(X680:X685)</f>
        <v>1810995.0200099999</v>
      </c>
      <c r="Y686" s="198"/>
      <c r="Z686" s="198">
        <f>SUM(Z680:Z685)</f>
        <v>2946710.7294100001</v>
      </c>
      <c r="AA686" s="511"/>
      <c r="AB686" s="511">
        <f>SUM(AB680:AB685)</f>
        <v>1141039.07699</v>
      </c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>
        <f>SUM(AP680:AP685)</f>
        <v>1216092.1510999999</v>
      </c>
      <c r="AQ686" s="195">
        <f>SUM(AQ680:AQ685)</f>
        <v>92374.087499999994</v>
      </c>
      <c r="AR686" s="195">
        <f>SUM(AR680:AR685)</f>
        <v>0</v>
      </c>
      <c r="AS686" s="195">
        <f>SUM(AS680:AS685)</f>
        <v>1308466.2386</v>
      </c>
    </row>
    <row r="687" spans="1:45" s="205" customFormat="1">
      <c r="A687" s="200"/>
      <c r="B687" s="200"/>
      <c r="C687" s="199"/>
      <c r="D687" s="156"/>
      <c r="E687" s="158"/>
      <c r="F687" s="156"/>
      <c r="G687" s="156"/>
      <c r="H687" s="156"/>
      <c r="I687" s="156"/>
      <c r="J687" s="156"/>
      <c r="K687" s="156"/>
      <c r="L687" s="156"/>
      <c r="M687" s="156"/>
      <c r="N687" s="156"/>
      <c r="O687" s="206">
        <f>O686-O663</f>
        <v>0</v>
      </c>
      <c r="P687" s="206">
        <f>P686-P663</f>
        <v>0</v>
      </c>
      <c r="Q687" s="156"/>
      <c r="R687" s="156"/>
      <c r="S687" s="156"/>
      <c r="T687" s="156"/>
      <c r="U687" s="156"/>
      <c r="V687" s="156"/>
      <c r="W687" s="156"/>
      <c r="X687" s="206">
        <f>X663-X686</f>
        <v>0</v>
      </c>
      <c r="Y687" s="156"/>
      <c r="Z687" s="206">
        <f>Z663-Z686</f>
        <v>0</v>
      </c>
      <c r="AA687" s="494"/>
      <c r="AB687" s="512">
        <f>AB663-AB686</f>
        <v>0</v>
      </c>
      <c r="AC687" s="233"/>
      <c r="AD687" s="233"/>
      <c r="AE687" s="233"/>
      <c r="AF687" s="233"/>
      <c r="AG687" s="233"/>
      <c r="AH687" s="233"/>
      <c r="AI687" s="233"/>
      <c r="AJ687" s="233"/>
      <c r="AK687" s="233"/>
      <c r="AL687" s="233"/>
      <c r="AM687" s="233"/>
      <c r="AN687" s="233"/>
      <c r="AO687" s="233"/>
      <c r="AP687" s="233"/>
      <c r="AQ687" s="233"/>
      <c r="AR687" s="233"/>
      <c r="AS687" s="233">
        <f>AS686-AS663</f>
        <v>0</v>
      </c>
    </row>
    <row r="688" spans="1:45" s="205" customFormat="1">
      <c r="A688" s="200"/>
      <c r="B688" s="200"/>
      <c r="C688" s="199"/>
      <c r="D688" s="156"/>
      <c r="E688" s="158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  <c r="AA688" s="494"/>
      <c r="AB688" s="494"/>
      <c r="AC688" s="201"/>
      <c r="AD688" s="201"/>
      <c r="AE688" s="202"/>
      <c r="AF688" s="202"/>
      <c r="AG688" s="202"/>
      <c r="AH688" s="202"/>
      <c r="AI688" s="203"/>
      <c r="AJ688" s="203"/>
      <c r="AK688" s="204"/>
      <c r="AL688" s="203"/>
      <c r="AM688" s="204"/>
      <c r="AN688" s="204"/>
      <c r="AO688" s="203"/>
      <c r="AP688" s="202"/>
      <c r="AQ688" s="202"/>
      <c r="AR688" s="202"/>
      <c r="AS688" s="202"/>
    </row>
    <row r="689" spans="1:45" s="205" customFormat="1">
      <c r="A689" s="200"/>
      <c r="B689" s="200"/>
      <c r="C689" s="199"/>
      <c r="D689" s="156"/>
      <c r="E689" s="158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  <c r="AA689" s="494"/>
      <c r="AB689" s="494"/>
      <c r="AC689" s="201"/>
      <c r="AD689" s="201"/>
      <c r="AE689" s="202"/>
      <c r="AF689" s="202"/>
      <c r="AG689" s="202"/>
      <c r="AH689" s="202"/>
      <c r="AI689" s="203"/>
      <c r="AJ689" s="203"/>
      <c r="AK689" s="204"/>
      <c r="AL689" s="203"/>
      <c r="AM689" s="204"/>
      <c r="AN689" s="204"/>
      <c r="AO689" s="203"/>
      <c r="AP689" s="202"/>
      <c r="AQ689" s="202"/>
      <c r="AR689" s="202"/>
      <c r="AS689" s="202"/>
    </row>
    <row r="690" spans="1:45" s="205" customFormat="1">
      <c r="A690" s="200"/>
      <c r="B690" s="200"/>
      <c r="C690" s="199"/>
      <c r="D690" s="156"/>
      <c r="E690" s="158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  <c r="AA690" s="494"/>
      <c r="AB690" s="494"/>
      <c r="AC690" s="201"/>
      <c r="AD690" s="201"/>
      <c r="AE690" s="202"/>
      <c r="AF690" s="202"/>
      <c r="AG690" s="202"/>
      <c r="AH690" s="202"/>
      <c r="AI690" s="203"/>
      <c r="AJ690" s="203"/>
      <c r="AK690" s="204"/>
      <c r="AL690" s="203"/>
      <c r="AM690" s="204"/>
      <c r="AN690" s="204"/>
      <c r="AO690" s="203"/>
      <c r="AP690" s="202"/>
      <c r="AQ690" s="202"/>
      <c r="AR690" s="202"/>
      <c r="AS690" s="202"/>
    </row>
    <row r="691" spans="1:45" s="205" customFormat="1">
      <c r="A691" s="200"/>
      <c r="B691" s="200"/>
      <c r="C691" s="199"/>
      <c r="D691" s="156"/>
      <c r="E691" s="158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  <c r="AA691" s="494"/>
      <c r="AB691" s="494"/>
      <c r="AC691" s="201"/>
      <c r="AD691" s="201"/>
      <c r="AE691" s="202"/>
      <c r="AF691" s="202"/>
      <c r="AG691" s="202"/>
      <c r="AH691" s="202"/>
      <c r="AI691" s="203"/>
      <c r="AJ691" s="203"/>
      <c r="AK691" s="204"/>
      <c r="AL691" s="203"/>
      <c r="AM691" s="204"/>
      <c r="AN691" s="204"/>
      <c r="AO691" s="203"/>
      <c r="AP691" s="202"/>
      <c r="AQ691" s="202"/>
      <c r="AR691" s="202"/>
      <c r="AS691" s="202"/>
    </row>
    <row r="692" spans="1:45" s="205" customFormat="1">
      <c r="A692" s="200"/>
      <c r="B692" s="200"/>
      <c r="C692" s="199"/>
      <c r="D692" s="156"/>
      <c r="E692" s="158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494"/>
      <c r="AB692" s="494"/>
      <c r="AC692" s="201"/>
      <c r="AD692" s="201"/>
      <c r="AE692" s="202"/>
      <c r="AF692" s="202"/>
      <c r="AG692" s="202"/>
      <c r="AH692" s="202"/>
      <c r="AI692" s="203"/>
      <c r="AJ692" s="203"/>
      <c r="AK692" s="204"/>
      <c r="AL692" s="203"/>
      <c r="AM692" s="204"/>
      <c r="AN692" s="204"/>
      <c r="AO692" s="203"/>
      <c r="AP692" s="202"/>
      <c r="AQ692" s="202"/>
      <c r="AR692" s="202"/>
      <c r="AS692" s="202"/>
    </row>
    <row r="693" spans="1:45" s="205" customFormat="1">
      <c r="A693" s="200"/>
      <c r="B693" s="200"/>
      <c r="C693" s="199"/>
      <c r="D693" s="156"/>
      <c r="E693" s="158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206"/>
      <c r="X693" s="156"/>
      <c r="Y693" s="206"/>
      <c r="Z693" s="156"/>
      <c r="AA693" s="512"/>
      <c r="AB693" s="494"/>
      <c r="AC693" s="201"/>
      <c r="AD693" s="201"/>
      <c r="AE693" s="202"/>
      <c r="AF693" s="202"/>
      <c r="AG693" s="202"/>
      <c r="AH693" s="202"/>
      <c r="AI693" s="203"/>
      <c r="AJ693" s="203"/>
      <c r="AK693" s="204"/>
      <c r="AL693" s="203"/>
      <c r="AM693" s="204"/>
      <c r="AN693" s="204"/>
      <c r="AO693" s="203"/>
      <c r="AP693" s="202"/>
      <c r="AQ693" s="202"/>
      <c r="AR693" s="202"/>
      <c r="AS693" s="202"/>
    </row>
    <row r="694" spans="1:45" s="205" customFormat="1">
      <c r="A694" s="200"/>
      <c r="B694" s="200"/>
      <c r="C694" s="199"/>
      <c r="D694" s="156"/>
      <c r="E694" s="158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494"/>
      <c r="AB694" s="494"/>
      <c r="AC694" s="201"/>
      <c r="AD694" s="201"/>
      <c r="AE694" s="202"/>
      <c r="AF694" s="202"/>
      <c r="AG694" s="202"/>
      <c r="AH694" s="202"/>
      <c r="AI694" s="203"/>
      <c r="AJ694" s="203"/>
      <c r="AK694" s="204"/>
      <c r="AL694" s="203"/>
      <c r="AM694" s="204"/>
      <c r="AN694" s="204"/>
      <c r="AO694" s="203"/>
      <c r="AP694" s="202"/>
      <c r="AQ694" s="202"/>
      <c r="AR694" s="202"/>
      <c r="AS694" s="202"/>
    </row>
    <row r="695" spans="1:45" s="205" customFormat="1">
      <c r="A695" s="200"/>
      <c r="B695" s="200"/>
      <c r="C695" s="199"/>
      <c r="D695" s="156"/>
      <c r="E695" s="158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207"/>
      <c r="X695" s="207"/>
      <c r="Y695" s="207"/>
      <c r="Z695" s="207"/>
      <c r="AA695" s="513"/>
      <c r="AB695" s="513"/>
      <c r="AC695" s="208"/>
      <c r="AD695" s="208"/>
      <c r="AE695" s="202"/>
      <c r="AF695" s="202"/>
      <c r="AG695" s="202"/>
      <c r="AH695" s="202"/>
      <c r="AI695" s="203"/>
      <c r="AJ695" s="203"/>
      <c r="AK695" s="204"/>
      <c r="AL695" s="203"/>
      <c r="AM695" s="204"/>
      <c r="AN695" s="204"/>
      <c r="AO695" s="203"/>
      <c r="AP695" s="202"/>
      <c r="AQ695" s="202"/>
      <c r="AR695" s="202"/>
      <c r="AS695" s="202"/>
    </row>
    <row r="696" spans="1:45" s="205" customFormat="1">
      <c r="A696" s="200"/>
      <c r="B696" s="200"/>
      <c r="C696" s="199"/>
      <c r="D696" s="156"/>
      <c r="E696" s="158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494"/>
      <c r="AB696" s="494"/>
      <c r="AC696" s="201"/>
      <c r="AD696" s="201"/>
      <c r="AE696" s="202"/>
      <c r="AF696" s="202"/>
      <c r="AG696" s="202"/>
      <c r="AH696" s="202"/>
      <c r="AI696" s="203"/>
      <c r="AJ696" s="203"/>
      <c r="AK696" s="204"/>
      <c r="AL696" s="203"/>
      <c r="AM696" s="204"/>
      <c r="AN696" s="204"/>
      <c r="AO696" s="203"/>
      <c r="AP696" s="202"/>
      <c r="AQ696" s="202"/>
      <c r="AR696" s="202"/>
      <c r="AS696" s="202"/>
    </row>
    <row r="697" spans="1:45" s="205" customFormat="1">
      <c r="A697" s="200"/>
      <c r="B697" s="200"/>
      <c r="C697" s="199"/>
      <c r="D697" s="156"/>
      <c r="E697" s="158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  <c r="AA697" s="494"/>
      <c r="AB697" s="494"/>
      <c r="AC697" s="201"/>
      <c r="AD697" s="201"/>
      <c r="AE697" s="202"/>
      <c r="AF697" s="202"/>
      <c r="AG697" s="202"/>
      <c r="AH697" s="202"/>
      <c r="AI697" s="203"/>
      <c r="AJ697" s="203"/>
      <c r="AK697" s="204"/>
      <c r="AL697" s="203"/>
      <c r="AM697" s="204"/>
      <c r="AN697" s="204"/>
      <c r="AO697" s="203"/>
      <c r="AP697" s="202"/>
      <c r="AQ697" s="202"/>
      <c r="AR697" s="202"/>
      <c r="AS697" s="202"/>
    </row>
    <row r="698" spans="1:45" s="205" customFormat="1">
      <c r="A698" s="200"/>
      <c r="B698" s="200"/>
      <c r="C698" s="199"/>
      <c r="D698" s="156"/>
      <c r="E698" s="158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  <c r="AA698" s="494"/>
      <c r="AB698" s="494"/>
      <c r="AC698" s="201"/>
      <c r="AD698" s="201"/>
      <c r="AE698" s="202"/>
      <c r="AF698" s="202"/>
      <c r="AG698" s="202"/>
      <c r="AH698" s="202"/>
      <c r="AI698" s="203"/>
      <c r="AJ698" s="203"/>
      <c r="AK698" s="204"/>
      <c r="AL698" s="203"/>
      <c r="AM698" s="204"/>
      <c r="AN698" s="204"/>
      <c r="AO698" s="203"/>
      <c r="AP698" s="202"/>
      <c r="AQ698" s="202"/>
      <c r="AR698" s="202"/>
      <c r="AS698" s="202"/>
    </row>
    <row r="699" spans="1:45" s="205" customFormat="1">
      <c r="A699" s="200"/>
      <c r="B699" s="200"/>
      <c r="C699" s="199"/>
      <c r="D699" s="156"/>
      <c r="E699" s="158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  <c r="AA699" s="494"/>
      <c r="AB699" s="494"/>
      <c r="AC699" s="201"/>
      <c r="AD699" s="201"/>
      <c r="AE699" s="202"/>
      <c r="AF699" s="202"/>
      <c r="AG699" s="202"/>
      <c r="AH699" s="202"/>
      <c r="AI699" s="203"/>
      <c r="AJ699" s="203"/>
      <c r="AK699" s="204"/>
      <c r="AL699" s="203"/>
      <c r="AM699" s="204"/>
      <c r="AN699" s="204"/>
      <c r="AO699" s="203"/>
      <c r="AP699" s="202"/>
      <c r="AQ699" s="202"/>
      <c r="AR699" s="202"/>
      <c r="AS699" s="202"/>
    </row>
    <row r="700" spans="1:45" s="205" customFormat="1">
      <c r="A700" s="200"/>
      <c r="B700" s="200"/>
      <c r="C700" s="199"/>
      <c r="D700" s="156"/>
      <c r="E700" s="158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  <c r="AA700" s="494"/>
      <c r="AB700" s="494"/>
      <c r="AC700" s="201"/>
      <c r="AD700" s="201"/>
      <c r="AE700" s="202"/>
      <c r="AF700" s="202"/>
      <c r="AG700" s="202"/>
      <c r="AH700" s="202"/>
      <c r="AI700" s="203"/>
      <c r="AJ700" s="203"/>
      <c r="AK700" s="204"/>
      <c r="AL700" s="203"/>
      <c r="AM700" s="204"/>
      <c r="AN700" s="204"/>
      <c r="AO700" s="203"/>
      <c r="AP700" s="202"/>
      <c r="AQ700" s="202"/>
      <c r="AR700" s="202"/>
      <c r="AS700" s="202"/>
    </row>
    <row r="701" spans="1:45" s="205" customFormat="1">
      <c r="A701" s="200"/>
      <c r="B701" s="200"/>
      <c r="C701" s="199"/>
      <c r="D701" s="156"/>
      <c r="E701" s="158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  <c r="AA701" s="494"/>
      <c r="AB701" s="494"/>
      <c r="AC701" s="201"/>
      <c r="AD701" s="201"/>
      <c r="AE701" s="202"/>
      <c r="AF701" s="202"/>
      <c r="AG701" s="202"/>
      <c r="AH701" s="202"/>
      <c r="AI701" s="203"/>
      <c r="AJ701" s="203"/>
      <c r="AK701" s="204"/>
      <c r="AL701" s="203"/>
      <c r="AM701" s="204"/>
      <c r="AN701" s="204"/>
      <c r="AO701" s="203"/>
      <c r="AP701" s="202"/>
      <c r="AQ701" s="202"/>
      <c r="AR701" s="202"/>
      <c r="AS701" s="202"/>
    </row>
    <row r="702" spans="1:45" s="205" customFormat="1">
      <c r="A702" s="200"/>
      <c r="B702" s="200"/>
      <c r="C702" s="199"/>
      <c r="D702" s="156"/>
      <c r="E702" s="158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494"/>
      <c r="AB702" s="494"/>
      <c r="AC702" s="201"/>
      <c r="AD702" s="201"/>
      <c r="AE702" s="202"/>
      <c r="AF702" s="202"/>
      <c r="AG702" s="202"/>
      <c r="AH702" s="202"/>
      <c r="AI702" s="203"/>
      <c r="AJ702" s="203"/>
      <c r="AK702" s="204"/>
      <c r="AL702" s="203"/>
      <c r="AM702" s="204"/>
      <c r="AN702" s="204"/>
      <c r="AO702" s="203"/>
      <c r="AP702" s="202"/>
      <c r="AQ702" s="202"/>
      <c r="AR702" s="202"/>
      <c r="AS702" s="202"/>
    </row>
    <row r="703" spans="1:45" s="205" customFormat="1">
      <c r="A703" s="200"/>
      <c r="B703" s="200"/>
      <c r="C703" s="199"/>
      <c r="D703" s="156"/>
      <c r="E703" s="158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  <c r="AA703" s="494"/>
      <c r="AB703" s="494"/>
      <c r="AC703" s="201"/>
      <c r="AD703" s="201"/>
      <c r="AE703" s="202"/>
      <c r="AF703" s="202"/>
      <c r="AG703" s="202"/>
      <c r="AH703" s="202"/>
      <c r="AI703" s="203"/>
      <c r="AJ703" s="203"/>
      <c r="AK703" s="204"/>
      <c r="AL703" s="203"/>
      <c r="AM703" s="204"/>
      <c r="AN703" s="204"/>
      <c r="AO703" s="203"/>
      <c r="AP703" s="202"/>
      <c r="AQ703" s="202"/>
      <c r="AR703" s="202"/>
      <c r="AS703" s="202"/>
    </row>
    <row r="704" spans="1:45" s="205" customFormat="1">
      <c r="A704" s="200"/>
      <c r="B704" s="200"/>
      <c r="C704" s="199"/>
      <c r="D704" s="156"/>
      <c r="E704" s="158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  <c r="AA704" s="494"/>
      <c r="AB704" s="494"/>
      <c r="AC704" s="201"/>
      <c r="AD704" s="201"/>
      <c r="AE704" s="202"/>
      <c r="AF704" s="202"/>
      <c r="AG704" s="202"/>
      <c r="AH704" s="202"/>
      <c r="AI704" s="203"/>
      <c r="AJ704" s="203"/>
      <c r="AK704" s="204"/>
      <c r="AL704" s="203"/>
      <c r="AM704" s="204"/>
      <c r="AN704" s="204"/>
      <c r="AO704" s="203"/>
      <c r="AP704" s="202"/>
      <c r="AQ704" s="202"/>
      <c r="AR704" s="202"/>
      <c r="AS704" s="202"/>
    </row>
    <row r="705" spans="1:45" s="205" customFormat="1">
      <c r="A705" s="200"/>
      <c r="B705" s="200"/>
      <c r="C705" s="199"/>
      <c r="D705" s="156"/>
      <c r="E705" s="158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494"/>
      <c r="AB705" s="494"/>
      <c r="AC705" s="201"/>
      <c r="AD705" s="201"/>
      <c r="AE705" s="202"/>
      <c r="AF705" s="202"/>
      <c r="AG705" s="202"/>
      <c r="AH705" s="202"/>
      <c r="AI705" s="203"/>
      <c r="AJ705" s="203"/>
      <c r="AK705" s="204"/>
      <c r="AL705" s="203"/>
      <c r="AM705" s="204"/>
      <c r="AN705" s="204"/>
      <c r="AO705" s="203"/>
      <c r="AP705" s="202"/>
      <c r="AQ705" s="202"/>
      <c r="AR705" s="202"/>
      <c r="AS705" s="202"/>
    </row>
    <row r="706" spans="1:45" s="205" customFormat="1">
      <c r="A706" s="200"/>
      <c r="B706" s="200"/>
      <c r="C706" s="199"/>
      <c r="D706" s="156"/>
      <c r="E706" s="158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494"/>
      <c r="AB706" s="494"/>
      <c r="AC706" s="201"/>
      <c r="AD706" s="201"/>
      <c r="AE706" s="202"/>
      <c r="AF706" s="202"/>
      <c r="AG706" s="202"/>
      <c r="AH706" s="202"/>
      <c r="AI706" s="203"/>
      <c r="AJ706" s="203"/>
      <c r="AK706" s="204"/>
      <c r="AL706" s="203"/>
      <c r="AM706" s="204"/>
      <c r="AN706" s="204"/>
      <c r="AO706" s="203"/>
      <c r="AP706" s="202"/>
      <c r="AQ706" s="202"/>
      <c r="AR706" s="202"/>
      <c r="AS706" s="202"/>
    </row>
    <row r="707" spans="1:45" s="205" customFormat="1">
      <c r="A707" s="200"/>
      <c r="B707" s="200"/>
      <c r="C707" s="199"/>
      <c r="D707" s="156"/>
      <c r="E707" s="158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494"/>
      <c r="AB707" s="494"/>
      <c r="AC707" s="201"/>
      <c r="AD707" s="201"/>
      <c r="AE707" s="202"/>
      <c r="AF707" s="202"/>
      <c r="AG707" s="202"/>
      <c r="AH707" s="202"/>
      <c r="AI707" s="203"/>
      <c r="AJ707" s="203"/>
      <c r="AK707" s="204"/>
      <c r="AL707" s="203"/>
      <c r="AM707" s="204"/>
      <c r="AN707" s="204"/>
      <c r="AO707" s="203"/>
      <c r="AP707" s="202"/>
      <c r="AQ707" s="202"/>
      <c r="AR707" s="202"/>
      <c r="AS707" s="202"/>
    </row>
    <row r="708" spans="1:45" s="205" customFormat="1">
      <c r="A708" s="200"/>
      <c r="B708" s="200"/>
      <c r="C708" s="199"/>
      <c r="D708" s="156"/>
      <c r="E708" s="158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494"/>
      <c r="AB708" s="494"/>
      <c r="AC708" s="201"/>
      <c r="AD708" s="201"/>
      <c r="AE708" s="202"/>
      <c r="AF708" s="202"/>
      <c r="AG708" s="202"/>
      <c r="AH708" s="202"/>
      <c r="AI708" s="203"/>
      <c r="AJ708" s="203"/>
      <c r="AK708" s="204"/>
      <c r="AL708" s="203"/>
      <c r="AM708" s="204"/>
      <c r="AN708" s="204"/>
      <c r="AO708" s="203"/>
      <c r="AP708" s="202"/>
      <c r="AQ708" s="202"/>
      <c r="AR708" s="202"/>
      <c r="AS708" s="202"/>
    </row>
    <row r="709" spans="1:45" s="205" customFormat="1">
      <c r="A709" s="200"/>
      <c r="B709" s="200"/>
      <c r="C709" s="199"/>
      <c r="D709" s="156"/>
      <c r="E709" s="158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494"/>
      <c r="AB709" s="494"/>
      <c r="AC709" s="201"/>
      <c r="AD709" s="201"/>
      <c r="AE709" s="202"/>
      <c r="AF709" s="202"/>
      <c r="AG709" s="202"/>
      <c r="AH709" s="202"/>
      <c r="AI709" s="203"/>
      <c r="AJ709" s="203"/>
      <c r="AK709" s="204"/>
      <c r="AL709" s="203"/>
      <c r="AM709" s="204"/>
      <c r="AN709" s="204"/>
      <c r="AO709" s="203"/>
      <c r="AP709" s="202"/>
      <c r="AQ709" s="202"/>
      <c r="AR709" s="202"/>
      <c r="AS709" s="202"/>
    </row>
    <row r="710" spans="1:45" s="205" customFormat="1">
      <c r="A710" s="200"/>
      <c r="B710" s="200"/>
      <c r="C710" s="199"/>
      <c r="D710" s="156"/>
      <c r="E710" s="158"/>
      <c r="F710" s="156"/>
      <c r="G710" s="156"/>
      <c r="H710" s="156"/>
      <c r="I710" s="156"/>
      <c r="J710" s="156"/>
      <c r="K710" s="156"/>
      <c r="L710" s="156"/>
      <c r="M710" s="156"/>
      <c r="N710" s="156"/>
      <c r="O710" s="207"/>
      <c r="P710" s="156"/>
      <c r="Q710" s="156"/>
      <c r="R710" s="156"/>
      <c r="S710" s="156"/>
      <c r="T710" s="156"/>
      <c r="U710" s="156"/>
      <c r="V710" s="156"/>
      <c r="W710" s="207"/>
      <c r="X710" s="207"/>
      <c r="Y710" s="207"/>
      <c r="Z710" s="207"/>
      <c r="AA710" s="513"/>
      <c r="AB710" s="513"/>
      <c r="AC710" s="208"/>
      <c r="AD710" s="208"/>
      <c r="AE710" s="202"/>
      <c r="AF710" s="202"/>
      <c r="AG710" s="202"/>
      <c r="AH710" s="202"/>
      <c r="AI710" s="203"/>
      <c r="AJ710" s="203"/>
      <c r="AK710" s="204"/>
      <c r="AL710" s="203"/>
      <c r="AM710" s="204"/>
      <c r="AN710" s="204"/>
      <c r="AO710" s="203"/>
      <c r="AP710" s="202"/>
      <c r="AQ710" s="202"/>
      <c r="AR710" s="202"/>
      <c r="AS710" s="202"/>
    </row>
    <row r="711" spans="1:45" s="205" customFormat="1">
      <c r="A711" s="200"/>
      <c r="B711" s="200"/>
      <c r="C711" s="199"/>
      <c r="D711" s="156"/>
      <c r="E711" s="158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  <c r="AA711" s="494"/>
      <c r="AB711" s="494"/>
      <c r="AC711" s="201"/>
      <c r="AD711" s="201"/>
      <c r="AE711" s="202"/>
      <c r="AF711" s="202"/>
      <c r="AG711" s="202"/>
      <c r="AH711" s="202"/>
      <c r="AI711" s="203"/>
      <c r="AJ711" s="203"/>
      <c r="AK711" s="204"/>
      <c r="AL711" s="203"/>
      <c r="AM711" s="204"/>
      <c r="AN711" s="204"/>
      <c r="AO711" s="203"/>
      <c r="AP711" s="202"/>
      <c r="AQ711" s="202"/>
      <c r="AR711" s="202"/>
      <c r="AS711" s="202"/>
    </row>
    <row r="712" spans="1:45" s="205" customFormat="1">
      <c r="A712" s="200"/>
      <c r="B712" s="200"/>
      <c r="C712" s="199"/>
      <c r="D712" s="156"/>
      <c r="E712" s="158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  <c r="AA712" s="494"/>
      <c r="AB712" s="494"/>
      <c r="AC712" s="201"/>
      <c r="AD712" s="201"/>
      <c r="AE712" s="202"/>
      <c r="AF712" s="202"/>
      <c r="AG712" s="202"/>
      <c r="AH712" s="202"/>
      <c r="AI712" s="203"/>
      <c r="AJ712" s="203"/>
      <c r="AK712" s="204"/>
      <c r="AL712" s="203"/>
      <c r="AM712" s="204"/>
      <c r="AN712" s="204"/>
      <c r="AO712" s="203"/>
      <c r="AP712" s="202"/>
      <c r="AQ712" s="202"/>
      <c r="AR712" s="202"/>
      <c r="AS712" s="202"/>
    </row>
    <row r="713" spans="1:45" s="205" customFormat="1">
      <c r="A713" s="200"/>
      <c r="B713" s="200"/>
      <c r="C713" s="199"/>
      <c r="D713" s="156"/>
      <c r="E713" s="158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  <c r="AA713" s="494"/>
      <c r="AB713" s="494"/>
      <c r="AC713" s="201"/>
      <c r="AD713" s="201"/>
      <c r="AE713" s="202"/>
      <c r="AF713" s="202"/>
      <c r="AG713" s="202"/>
      <c r="AH713" s="202"/>
      <c r="AI713" s="203"/>
      <c r="AJ713" s="203"/>
      <c r="AK713" s="204"/>
      <c r="AL713" s="203"/>
      <c r="AM713" s="204"/>
      <c r="AN713" s="204"/>
      <c r="AO713" s="203"/>
      <c r="AP713" s="202"/>
      <c r="AQ713" s="202"/>
      <c r="AR713" s="202"/>
      <c r="AS713" s="202"/>
    </row>
    <row r="714" spans="1:45" s="205" customFormat="1">
      <c r="A714" s="200"/>
      <c r="B714" s="200"/>
      <c r="C714" s="199"/>
      <c r="D714" s="156"/>
      <c r="E714" s="158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  <c r="AA714" s="494"/>
      <c r="AB714" s="494"/>
      <c r="AC714" s="201"/>
      <c r="AD714" s="201"/>
      <c r="AE714" s="202"/>
      <c r="AF714" s="202"/>
      <c r="AG714" s="202"/>
      <c r="AH714" s="202"/>
      <c r="AI714" s="203"/>
      <c r="AJ714" s="203"/>
      <c r="AK714" s="204"/>
      <c r="AL714" s="203"/>
      <c r="AM714" s="204"/>
      <c r="AN714" s="204"/>
      <c r="AO714" s="203"/>
      <c r="AP714" s="202"/>
      <c r="AQ714" s="202"/>
      <c r="AR714" s="202"/>
      <c r="AS714" s="202"/>
    </row>
    <row r="715" spans="1:45" s="205" customFormat="1">
      <c r="A715" s="200"/>
      <c r="B715" s="200"/>
      <c r="C715" s="199"/>
      <c r="D715" s="156"/>
      <c r="E715" s="158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  <c r="AA715" s="494"/>
      <c r="AB715" s="494"/>
      <c r="AC715" s="201"/>
      <c r="AD715" s="201"/>
      <c r="AE715" s="202"/>
      <c r="AF715" s="202"/>
      <c r="AG715" s="202"/>
      <c r="AH715" s="202"/>
      <c r="AI715" s="203"/>
      <c r="AJ715" s="203"/>
      <c r="AK715" s="204"/>
      <c r="AL715" s="203"/>
      <c r="AM715" s="204"/>
      <c r="AN715" s="204"/>
      <c r="AO715" s="203"/>
      <c r="AP715" s="202"/>
      <c r="AQ715" s="202"/>
      <c r="AR715" s="202"/>
      <c r="AS715" s="202"/>
    </row>
    <row r="716" spans="1:45" s="205" customFormat="1">
      <c r="A716" s="200"/>
      <c r="B716" s="200"/>
      <c r="C716" s="199"/>
      <c r="D716" s="156"/>
      <c r="E716" s="158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  <c r="AA716" s="494"/>
      <c r="AB716" s="494"/>
      <c r="AC716" s="201"/>
      <c r="AD716" s="201"/>
      <c r="AE716" s="202"/>
      <c r="AF716" s="202"/>
      <c r="AG716" s="202"/>
      <c r="AH716" s="202"/>
      <c r="AI716" s="203"/>
      <c r="AJ716" s="203"/>
      <c r="AK716" s="204"/>
      <c r="AL716" s="203"/>
      <c r="AM716" s="204"/>
      <c r="AN716" s="204"/>
      <c r="AO716" s="203"/>
      <c r="AP716" s="202"/>
      <c r="AQ716" s="202"/>
      <c r="AR716" s="202"/>
      <c r="AS716" s="202"/>
    </row>
    <row r="717" spans="1:45" s="205" customFormat="1">
      <c r="A717" s="200"/>
      <c r="B717" s="200"/>
      <c r="C717" s="199"/>
      <c r="D717" s="156"/>
      <c r="E717" s="158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  <c r="AA717" s="494"/>
      <c r="AB717" s="494"/>
      <c r="AC717" s="201"/>
      <c r="AD717" s="201"/>
      <c r="AE717" s="202"/>
      <c r="AF717" s="202"/>
      <c r="AG717" s="202"/>
      <c r="AH717" s="202"/>
      <c r="AI717" s="203"/>
      <c r="AJ717" s="203"/>
      <c r="AK717" s="204"/>
      <c r="AL717" s="203"/>
      <c r="AM717" s="204"/>
      <c r="AN717" s="204"/>
      <c r="AO717" s="203"/>
      <c r="AP717" s="202"/>
      <c r="AQ717" s="202"/>
      <c r="AR717" s="202"/>
      <c r="AS717" s="202"/>
    </row>
    <row r="718" spans="1:45" s="205" customFormat="1">
      <c r="A718" s="200"/>
      <c r="B718" s="200"/>
      <c r="C718" s="199"/>
      <c r="D718" s="156"/>
      <c r="E718" s="158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  <c r="AA718" s="494"/>
      <c r="AB718" s="494"/>
      <c r="AC718" s="201"/>
      <c r="AD718" s="201"/>
      <c r="AE718" s="202"/>
      <c r="AF718" s="202"/>
      <c r="AG718" s="202"/>
      <c r="AH718" s="202"/>
      <c r="AI718" s="203"/>
      <c r="AJ718" s="203"/>
      <c r="AK718" s="204"/>
      <c r="AL718" s="203"/>
      <c r="AM718" s="204"/>
      <c r="AN718" s="204"/>
      <c r="AO718" s="203"/>
      <c r="AP718" s="202"/>
      <c r="AQ718" s="202"/>
      <c r="AR718" s="202"/>
      <c r="AS718" s="202"/>
    </row>
    <row r="719" spans="1:45" s="205" customFormat="1">
      <c r="A719" s="200"/>
      <c r="B719" s="200"/>
      <c r="C719" s="199"/>
      <c r="D719" s="156"/>
      <c r="E719" s="158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  <c r="AA719" s="494"/>
      <c r="AB719" s="494"/>
      <c r="AC719" s="201"/>
      <c r="AD719" s="201"/>
      <c r="AE719" s="202"/>
      <c r="AF719" s="202"/>
      <c r="AG719" s="202"/>
      <c r="AH719" s="202"/>
      <c r="AI719" s="203"/>
      <c r="AJ719" s="203"/>
      <c r="AK719" s="204"/>
      <c r="AL719" s="203"/>
      <c r="AM719" s="204"/>
      <c r="AN719" s="204"/>
      <c r="AO719" s="203"/>
      <c r="AP719" s="202"/>
      <c r="AQ719" s="202"/>
      <c r="AR719" s="202"/>
      <c r="AS719" s="202"/>
    </row>
    <row r="720" spans="1:45" s="205" customFormat="1">
      <c r="A720" s="200"/>
      <c r="B720" s="200"/>
      <c r="C720" s="199"/>
      <c r="D720" s="156"/>
      <c r="E720" s="158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  <c r="AA720" s="494"/>
      <c r="AB720" s="494"/>
      <c r="AC720" s="201"/>
      <c r="AD720" s="201"/>
      <c r="AE720" s="202"/>
      <c r="AF720" s="202"/>
      <c r="AG720" s="202"/>
      <c r="AH720" s="202"/>
      <c r="AI720" s="203"/>
      <c r="AJ720" s="203"/>
      <c r="AK720" s="204"/>
      <c r="AL720" s="203"/>
      <c r="AM720" s="204"/>
      <c r="AN720" s="204"/>
      <c r="AO720" s="203"/>
      <c r="AP720" s="202"/>
      <c r="AQ720" s="202"/>
      <c r="AR720" s="202"/>
      <c r="AS720" s="202"/>
    </row>
    <row r="721" spans="1:45" s="205" customFormat="1">
      <c r="A721" s="200"/>
      <c r="B721" s="200"/>
      <c r="C721" s="199"/>
      <c r="D721" s="156"/>
      <c r="E721" s="158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  <c r="AA721" s="494"/>
      <c r="AB721" s="494"/>
      <c r="AC721" s="201"/>
      <c r="AD721" s="201"/>
      <c r="AE721" s="202"/>
      <c r="AF721" s="202"/>
      <c r="AG721" s="202"/>
      <c r="AH721" s="202"/>
      <c r="AI721" s="203"/>
      <c r="AJ721" s="203"/>
      <c r="AK721" s="204"/>
      <c r="AL721" s="203"/>
      <c r="AM721" s="204"/>
      <c r="AN721" s="204"/>
      <c r="AO721" s="203"/>
      <c r="AP721" s="202"/>
      <c r="AQ721" s="202"/>
      <c r="AR721" s="202"/>
      <c r="AS721" s="202"/>
    </row>
    <row r="722" spans="1:45" s="205" customFormat="1">
      <c r="A722" s="200"/>
      <c r="B722" s="200"/>
      <c r="C722" s="199"/>
      <c r="D722" s="156"/>
      <c r="E722" s="158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  <c r="AA722" s="494"/>
      <c r="AB722" s="494"/>
      <c r="AC722" s="201"/>
      <c r="AD722" s="201"/>
      <c r="AE722" s="202"/>
      <c r="AF722" s="202"/>
      <c r="AG722" s="202"/>
      <c r="AH722" s="202"/>
      <c r="AI722" s="203"/>
      <c r="AJ722" s="203"/>
      <c r="AK722" s="204"/>
      <c r="AL722" s="203"/>
      <c r="AM722" s="204"/>
      <c r="AN722" s="204"/>
      <c r="AO722" s="203"/>
      <c r="AP722" s="202"/>
      <c r="AQ722" s="202"/>
      <c r="AR722" s="202"/>
      <c r="AS722" s="202"/>
    </row>
    <row r="723" spans="1:45" s="205" customFormat="1">
      <c r="A723" s="200"/>
      <c r="B723" s="200"/>
      <c r="C723" s="199"/>
      <c r="D723" s="156"/>
      <c r="E723" s="158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494"/>
      <c r="AB723" s="494"/>
      <c r="AC723" s="201"/>
      <c r="AD723" s="201"/>
      <c r="AE723" s="202"/>
      <c r="AF723" s="202"/>
      <c r="AG723" s="202"/>
      <c r="AH723" s="202"/>
      <c r="AI723" s="203"/>
      <c r="AJ723" s="203"/>
      <c r="AK723" s="204"/>
      <c r="AL723" s="203"/>
      <c r="AM723" s="204"/>
      <c r="AN723" s="204"/>
      <c r="AO723" s="203"/>
      <c r="AP723" s="202"/>
      <c r="AQ723" s="202"/>
      <c r="AR723" s="202"/>
      <c r="AS723" s="202"/>
    </row>
    <row r="724" spans="1:45" s="205" customFormat="1">
      <c r="A724" s="200"/>
      <c r="B724" s="200"/>
      <c r="C724" s="199"/>
      <c r="D724" s="156"/>
      <c r="E724" s="158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  <c r="AA724" s="494"/>
      <c r="AB724" s="494"/>
      <c r="AC724" s="201"/>
      <c r="AD724" s="201"/>
      <c r="AE724" s="202"/>
      <c r="AF724" s="202"/>
      <c r="AG724" s="202"/>
      <c r="AH724" s="202"/>
      <c r="AI724" s="203"/>
      <c r="AJ724" s="203"/>
      <c r="AK724" s="204"/>
      <c r="AL724" s="203"/>
      <c r="AM724" s="204"/>
      <c r="AN724" s="204"/>
      <c r="AO724" s="203"/>
      <c r="AP724" s="202"/>
      <c r="AQ724" s="202"/>
      <c r="AR724" s="202"/>
      <c r="AS724" s="202"/>
    </row>
    <row r="725" spans="1:45" s="205" customFormat="1">
      <c r="A725" s="200"/>
      <c r="B725" s="200"/>
      <c r="C725" s="199"/>
      <c r="D725" s="156"/>
      <c r="E725" s="158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  <c r="AA725" s="494"/>
      <c r="AB725" s="494"/>
      <c r="AC725" s="201"/>
      <c r="AD725" s="201"/>
      <c r="AE725" s="202"/>
      <c r="AF725" s="202"/>
      <c r="AG725" s="202"/>
      <c r="AH725" s="202"/>
      <c r="AI725" s="203"/>
      <c r="AJ725" s="203"/>
      <c r="AK725" s="204"/>
      <c r="AL725" s="203"/>
      <c r="AM725" s="204"/>
      <c r="AN725" s="204"/>
      <c r="AO725" s="203"/>
      <c r="AP725" s="202"/>
      <c r="AQ725" s="202"/>
      <c r="AR725" s="202"/>
      <c r="AS725" s="202"/>
    </row>
    <row r="726" spans="1:45" s="205" customFormat="1">
      <c r="A726" s="200"/>
      <c r="B726" s="200"/>
      <c r="C726" s="199"/>
      <c r="D726" s="156"/>
      <c r="E726" s="158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  <c r="AA726" s="494"/>
      <c r="AB726" s="494"/>
      <c r="AC726" s="201"/>
      <c r="AD726" s="201"/>
      <c r="AE726" s="202"/>
      <c r="AF726" s="202"/>
      <c r="AG726" s="202"/>
      <c r="AH726" s="202"/>
      <c r="AI726" s="203"/>
      <c r="AJ726" s="203"/>
      <c r="AK726" s="204"/>
      <c r="AL726" s="203"/>
      <c r="AM726" s="204"/>
      <c r="AN726" s="204"/>
      <c r="AO726" s="203"/>
      <c r="AP726" s="202"/>
      <c r="AQ726" s="202"/>
      <c r="AR726" s="202"/>
      <c r="AS726" s="202"/>
    </row>
    <row r="727" spans="1:45" s="205" customFormat="1">
      <c r="A727" s="200"/>
      <c r="B727" s="200"/>
      <c r="C727" s="199"/>
      <c r="D727" s="156"/>
      <c r="E727" s="158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  <c r="AA727" s="494"/>
      <c r="AB727" s="494"/>
      <c r="AC727" s="201"/>
      <c r="AD727" s="201"/>
      <c r="AE727" s="202"/>
      <c r="AF727" s="202"/>
      <c r="AG727" s="202"/>
      <c r="AH727" s="202"/>
      <c r="AI727" s="203"/>
      <c r="AJ727" s="203"/>
      <c r="AK727" s="204"/>
      <c r="AL727" s="203"/>
      <c r="AM727" s="204"/>
      <c r="AN727" s="204"/>
      <c r="AO727" s="203"/>
      <c r="AP727" s="202"/>
      <c r="AQ727" s="202"/>
      <c r="AR727" s="202"/>
      <c r="AS727" s="202"/>
    </row>
    <row r="728" spans="1:45" s="205" customFormat="1">
      <c r="A728" s="200"/>
      <c r="B728" s="200"/>
      <c r="C728" s="199"/>
      <c r="D728" s="156"/>
      <c r="E728" s="158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  <c r="AA728" s="494"/>
      <c r="AB728" s="494"/>
      <c r="AC728" s="201"/>
      <c r="AD728" s="201"/>
      <c r="AE728" s="202"/>
      <c r="AF728" s="202"/>
      <c r="AG728" s="202"/>
      <c r="AH728" s="202"/>
      <c r="AI728" s="203"/>
      <c r="AJ728" s="203"/>
      <c r="AK728" s="204"/>
      <c r="AL728" s="203"/>
      <c r="AM728" s="204"/>
      <c r="AN728" s="204"/>
      <c r="AO728" s="203"/>
      <c r="AP728" s="202"/>
      <c r="AQ728" s="202"/>
      <c r="AR728" s="202"/>
      <c r="AS728" s="202"/>
    </row>
    <row r="729" spans="1:45" s="205" customFormat="1">
      <c r="A729" s="200"/>
      <c r="B729" s="200"/>
      <c r="C729" s="199"/>
      <c r="D729" s="156"/>
      <c r="E729" s="158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494"/>
      <c r="AB729" s="494"/>
      <c r="AC729" s="201"/>
      <c r="AD729" s="201"/>
      <c r="AE729" s="202"/>
      <c r="AF729" s="202"/>
      <c r="AG729" s="202"/>
      <c r="AH729" s="202"/>
      <c r="AI729" s="203"/>
      <c r="AJ729" s="203"/>
      <c r="AK729" s="204"/>
      <c r="AL729" s="203"/>
      <c r="AM729" s="204"/>
      <c r="AN729" s="204"/>
      <c r="AO729" s="203"/>
      <c r="AP729" s="202"/>
      <c r="AQ729" s="202"/>
      <c r="AR729" s="202"/>
      <c r="AS729" s="202"/>
    </row>
    <row r="730" spans="1:45" s="205" customFormat="1">
      <c r="A730" s="200"/>
      <c r="B730" s="200"/>
      <c r="C730" s="199"/>
      <c r="D730" s="156"/>
      <c r="E730" s="158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  <c r="AA730" s="494"/>
      <c r="AB730" s="494"/>
      <c r="AC730" s="201"/>
      <c r="AD730" s="201"/>
      <c r="AE730" s="202"/>
      <c r="AF730" s="202"/>
      <c r="AG730" s="202"/>
      <c r="AH730" s="202"/>
      <c r="AI730" s="203"/>
      <c r="AJ730" s="203"/>
      <c r="AK730" s="204"/>
      <c r="AL730" s="203"/>
      <c r="AM730" s="204"/>
      <c r="AN730" s="204"/>
      <c r="AO730" s="203"/>
      <c r="AP730" s="202"/>
      <c r="AQ730" s="202"/>
      <c r="AR730" s="202"/>
      <c r="AS730" s="202"/>
    </row>
    <row r="731" spans="1:45" s="205" customFormat="1">
      <c r="A731" s="200"/>
      <c r="B731" s="200"/>
      <c r="C731" s="199"/>
      <c r="D731" s="156"/>
      <c r="E731" s="158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  <c r="AA731" s="494"/>
      <c r="AB731" s="494"/>
      <c r="AC731" s="201"/>
      <c r="AD731" s="201"/>
      <c r="AE731" s="202"/>
      <c r="AF731" s="202"/>
      <c r="AG731" s="202"/>
      <c r="AH731" s="202"/>
      <c r="AI731" s="203"/>
      <c r="AJ731" s="203"/>
      <c r="AK731" s="204"/>
      <c r="AL731" s="203"/>
      <c r="AM731" s="204"/>
      <c r="AN731" s="204"/>
      <c r="AO731" s="203"/>
      <c r="AP731" s="202"/>
      <c r="AQ731" s="202"/>
      <c r="AR731" s="202"/>
      <c r="AS731" s="202"/>
    </row>
    <row r="732" spans="1:45" s="205" customFormat="1">
      <c r="A732" s="200"/>
      <c r="B732" s="200"/>
      <c r="C732" s="199"/>
      <c r="D732" s="156"/>
      <c r="E732" s="158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  <c r="AA732" s="494"/>
      <c r="AB732" s="494"/>
      <c r="AC732" s="201"/>
      <c r="AD732" s="201"/>
      <c r="AE732" s="202"/>
      <c r="AF732" s="202"/>
      <c r="AG732" s="202"/>
      <c r="AH732" s="202"/>
      <c r="AI732" s="203"/>
      <c r="AJ732" s="203"/>
      <c r="AK732" s="204"/>
      <c r="AL732" s="203"/>
      <c r="AM732" s="204"/>
      <c r="AN732" s="204"/>
      <c r="AO732" s="203"/>
      <c r="AP732" s="202"/>
      <c r="AQ732" s="202"/>
      <c r="AR732" s="202"/>
      <c r="AS732" s="202"/>
    </row>
    <row r="733" spans="1:45" s="205" customFormat="1">
      <c r="A733" s="200"/>
      <c r="B733" s="200"/>
      <c r="C733" s="199"/>
      <c r="D733" s="156"/>
      <c r="E733" s="158"/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  <c r="AA733" s="494"/>
      <c r="AB733" s="494"/>
      <c r="AC733" s="201"/>
      <c r="AD733" s="201"/>
      <c r="AE733" s="202"/>
      <c r="AF733" s="202"/>
      <c r="AG733" s="202"/>
      <c r="AH733" s="202"/>
      <c r="AI733" s="203"/>
      <c r="AJ733" s="203"/>
      <c r="AK733" s="204"/>
      <c r="AL733" s="203"/>
      <c r="AM733" s="204"/>
      <c r="AN733" s="204"/>
      <c r="AO733" s="203"/>
      <c r="AP733" s="202"/>
      <c r="AQ733" s="202"/>
      <c r="AR733" s="202"/>
      <c r="AS733" s="202"/>
    </row>
    <row r="734" spans="1:45" s="205" customFormat="1">
      <c r="A734" s="200"/>
      <c r="B734" s="200"/>
      <c r="C734" s="199"/>
      <c r="D734" s="156"/>
      <c r="E734" s="158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  <c r="AA734" s="494"/>
      <c r="AB734" s="494"/>
      <c r="AC734" s="201"/>
      <c r="AD734" s="201"/>
      <c r="AE734" s="202"/>
      <c r="AF734" s="202"/>
      <c r="AG734" s="202"/>
      <c r="AH734" s="202"/>
      <c r="AI734" s="203"/>
      <c r="AJ734" s="203"/>
      <c r="AK734" s="204"/>
      <c r="AL734" s="203"/>
      <c r="AM734" s="204"/>
      <c r="AN734" s="204"/>
      <c r="AO734" s="203"/>
      <c r="AP734" s="202"/>
      <c r="AQ734" s="202"/>
      <c r="AR734" s="202"/>
      <c r="AS734" s="202"/>
    </row>
    <row r="735" spans="1:45" s="205" customFormat="1">
      <c r="A735" s="200"/>
      <c r="B735" s="200"/>
      <c r="C735" s="199"/>
      <c r="D735" s="156"/>
      <c r="E735" s="158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  <c r="AA735" s="494"/>
      <c r="AB735" s="494"/>
      <c r="AC735" s="201"/>
      <c r="AD735" s="201"/>
      <c r="AE735" s="202"/>
      <c r="AF735" s="202"/>
      <c r="AG735" s="202"/>
      <c r="AH735" s="202"/>
      <c r="AI735" s="203"/>
      <c r="AJ735" s="203"/>
      <c r="AK735" s="204"/>
      <c r="AL735" s="203"/>
      <c r="AM735" s="204"/>
      <c r="AN735" s="204"/>
      <c r="AO735" s="203"/>
      <c r="AP735" s="202"/>
      <c r="AQ735" s="202"/>
      <c r="AR735" s="202"/>
      <c r="AS735" s="202"/>
    </row>
    <row r="736" spans="1:45" s="205" customFormat="1">
      <c r="A736" s="200"/>
      <c r="B736" s="200"/>
      <c r="C736" s="199"/>
      <c r="D736" s="156"/>
      <c r="E736" s="158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  <c r="AA736" s="494"/>
      <c r="AB736" s="494"/>
      <c r="AC736" s="201"/>
      <c r="AD736" s="201"/>
      <c r="AE736" s="202"/>
      <c r="AF736" s="202"/>
      <c r="AG736" s="202"/>
      <c r="AH736" s="202"/>
      <c r="AI736" s="203"/>
      <c r="AJ736" s="203"/>
      <c r="AK736" s="204"/>
      <c r="AL736" s="203"/>
      <c r="AM736" s="204"/>
      <c r="AN736" s="204"/>
      <c r="AO736" s="203"/>
      <c r="AP736" s="202"/>
      <c r="AQ736" s="202"/>
      <c r="AR736" s="202"/>
      <c r="AS736" s="202"/>
    </row>
    <row r="737" spans="1:45" s="205" customFormat="1">
      <c r="A737" s="200"/>
      <c r="B737" s="200"/>
      <c r="C737" s="199"/>
      <c r="D737" s="156"/>
      <c r="E737" s="158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494"/>
      <c r="AB737" s="494"/>
      <c r="AC737" s="201"/>
      <c r="AD737" s="201"/>
      <c r="AE737" s="202"/>
      <c r="AF737" s="202"/>
      <c r="AG737" s="202"/>
      <c r="AH737" s="202"/>
      <c r="AI737" s="203"/>
      <c r="AJ737" s="203"/>
      <c r="AK737" s="204"/>
      <c r="AL737" s="203"/>
      <c r="AM737" s="204"/>
      <c r="AN737" s="204"/>
      <c r="AO737" s="203"/>
      <c r="AP737" s="202"/>
      <c r="AQ737" s="202"/>
      <c r="AR737" s="202"/>
      <c r="AS737" s="202"/>
    </row>
    <row r="738" spans="1:45" s="205" customFormat="1">
      <c r="A738" s="200"/>
      <c r="B738" s="200"/>
      <c r="C738" s="199"/>
      <c r="D738" s="156"/>
      <c r="E738" s="158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  <c r="AA738" s="494"/>
      <c r="AB738" s="494"/>
      <c r="AC738" s="201"/>
      <c r="AD738" s="201"/>
      <c r="AE738" s="202"/>
      <c r="AF738" s="202"/>
      <c r="AG738" s="202"/>
      <c r="AH738" s="202"/>
      <c r="AI738" s="203"/>
      <c r="AJ738" s="203"/>
      <c r="AK738" s="204"/>
      <c r="AL738" s="203"/>
      <c r="AM738" s="204"/>
      <c r="AN738" s="204"/>
      <c r="AO738" s="203"/>
      <c r="AP738" s="202"/>
      <c r="AQ738" s="202"/>
      <c r="AR738" s="202"/>
      <c r="AS738" s="202"/>
    </row>
    <row r="739" spans="1:45" s="205" customFormat="1">
      <c r="A739" s="200"/>
      <c r="B739" s="200"/>
      <c r="C739" s="199"/>
      <c r="D739" s="156"/>
      <c r="E739" s="158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494"/>
      <c r="AB739" s="494"/>
      <c r="AC739" s="201"/>
      <c r="AD739" s="201"/>
      <c r="AE739" s="202"/>
      <c r="AF739" s="202"/>
      <c r="AG739" s="202"/>
      <c r="AH739" s="202"/>
      <c r="AI739" s="203"/>
      <c r="AJ739" s="203"/>
      <c r="AK739" s="204"/>
      <c r="AL739" s="203"/>
      <c r="AM739" s="204"/>
      <c r="AN739" s="204"/>
      <c r="AO739" s="203"/>
      <c r="AP739" s="202"/>
      <c r="AQ739" s="202"/>
      <c r="AR739" s="202"/>
      <c r="AS739" s="202"/>
    </row>
    <row r="740" spans="1:45" s="205" customFormat="1">
      <c r="A740" s="200"/>
      <c r="B740" s="200"/>
      <c r="C740" s="199"/>
      <c r="D740" s="156"/>
      <c r="E740" s="158"/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  <c r="AA740" s="494"/>
      <c r="AB740" s="494"/>
      <c r="AC740" s="201"/>
      <c r="AD740" s="201"/>
      <c r="AE740" s="202"/>
      <c r="AF740" s="202"/>
      <c r="AG740" s="202"/>
      <c r="AH740" s="202"/>
      <c r="AI740" s="203"/>
      <c r="AJ740" s="203"/>
      <c r="AK740" s="204"/>
      <c r="AL740" s="203"/>
      <c r="AM740" s="204"/>
      <c r="AN740" s="204"/>
      <c r="AO740" s="203"/>
      <c r="AP740" s="202"/>
      <c r="AQ740" s="202"/>
      <c r="AR740" s="202"/>
      <c r="AS740" s="202"/>
    </row>
    <row r="741" spans="1:45" s="205" customFormat="1">
      <c r="A741" s="200"/>
      <c r="B741" s="200"/>
      <c r="C741" s="199"/>
      <c r="D741" s="156"/>
      <c r="E741" s="158"/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  <c r="AA741" s="494"/>
      <c r="AB741" s="494"/>
      <c r="AC741" s="201"/>
      <c r="AD741" s="201"/>
      <c r="AE741" s="202"/>
      <c r="AF741" s="202"/>
      <c r="AG741" s="202"/>
      <c r="AH741" s="202"/>
      <c r="AI741" s="203"/>
      <c r="AJ741" s="203"/>
      <c r="AK741" s="204"/>
      <c r="AL741" s="203"/>
      <c r="AM741" s="204"/>
      <c r="AN741" s="204"/>
      <c r="AO741" s="203"/>
      <c r="AP741" s="202"/>
      <c r="AQ741" s="202"/>
      <c r="AR741" s="202"/>
      <c r="AS741" s="202"/>
    </row>
    <row r="742" spans="1:45" s="205" customFormat="1">
      <c r="A742" s="200"/>
      <c r="B742" s="200"/>
      <c r="C742" s="199"/>
      <c r="D742" s="156"/>
      <c r="E742" s="158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  <c r="AA742" s="494"/>
      <c r="AB742" s="494"/>
      <c r="AC742" s="201"/>
      <c r="AD742" s="201"/>
      <c r="AE742" s="202"/>
      <c r="AF742" s="202"/>
      <c r="AG742" s="202"/>
      <c r="AH742" s="202"/>
      <c r="AI742" s="203"/>
      <c r="AJ742" s="203"/>
      <c r="AK742" s="204"/>
      <c r="AL742" s="203"/>
      <c r="AM742" s="204"/>
      <c r="AN742" s="204"/>
      <c r="AO742" s="203"/>
      <c r="AP742" s="202"/>
      <c r="AQ742" s="202"/>
      <c r="AR742" s="202"/>
      <c r="AS742" s="202"/>
    </row>
    <row r="743" spans="1:45" s="205" customFormat="1">
      <c r="A743" s="200"/>
      <c r="B743" s="200"/>
      <c r="C743" s="199"/>
      <c r="D743" s="156"/>
      <c r="E743" s="158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  <c r="AA743" s="494"/>
      <c r="AB743" s="494"/>
      <c r="AC743" s="201"/>
      <c r="AD743" s="201"/>
      <c r="AE743" s="202"/>
      <c r="AF743" s="202"/>
      <c r="AG743" s="202"/>
      <c r="AH743" s="202"/>
      <c r="AI743" s="203"/>
      <c r="AJ743" s="203"/>
      <c r="AK743" s="204"/>
      <c r="AL743" s="203"/>
      <c r="AM743" s="204"/>
      <c r="AN743" s="204"/>
      <c r="AO743" s="203"/>
      <c r="AP743" s="202"/>
      <c r="AQ743" s="202"/>
      <c r="AR743" s="202"/>
      <c r="AS743" s="202"/>
    </row>
    <row r="744" spans="1:45" s="205" customFormat="1">
      <c r="A744" s="200"/>
      <c r="B744" s="200"/>
      <c r="C744" s="199"/>
      <c r="D744" s="156"/>
      <c r="E744" s="158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  <c r="AA744" s="494"/>
      <c r="AB744" s="494"/>
      <c r="AC744" s="201"/>
      <c r="AD744" s="201"/>
      <c r="AE744" s="202"/>
      <c r="AF744" s="202"/>
      <c r="AG744" s="202"/>
      <c r="AH744" s="202"/>
      <c r="AI744" s="203"/>
      <c r="AJ744" s="203"/>
      <c r="AK744" s="204"/>
      <c r="AL744" s="203"/>
      <c r="AM744" s="204"/>
      <c r="AN744" s="204"/>
      <c r="AO744" s="203"/>
      <c r="AP744" s="202"/>
      <c r="AQ744" s="202"/>
      <c r="AR744" s="202"/>
      <c r="AS744" s="202"/>
    </row>
    <row r="745" spans="1:45" s="205" customFormat="1">
      <c r="A745" s="200"/>
      <c r="B745" s="200"/>
      <c r="C745" s="199"/>
      <c r="D745" s="156"/>
      <c r="E745" s="158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494"/>
      <c r="AB745" s="494"/>
      <c r="AC745" s="201"/>
      <c r="AD745" s="201"/>
      <c r="AE745" s="202"/>
      <c r="AF745" s="202"/>
      <c r="AG745" s="202"/>
      <c r="AH745" s="202"/>
      <c r="AI745" s="203"/>
      <c r="AJ745" s="203"/>
      <c r="AK745" s="204"/>
      <c r="AL745" s="203"/>
      <c r="AM745" s="204"/>
      <c r="AN745" s="204"/>
      <c r="AO745" s="203"/>
      <c r="AP745" s="202"/>
      <c r="AQ745" s="202"/>
      <c r="AR745" s="202"/>
      <c r="AS745" s="202"/>
    </row>
    <row r="746" spans="1:45" s="205" customFormat="1">
      <c r="A746" s="200"/>
      <c r="B746" s="200"/>
      <c r="C746" s="199"/>
      <c r="D746" s="156"/>
      <c r="E746" s="158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  <c r="AA746" s="494"/>
      <c r="AB746" s="494"/>
      <c r="AC746" s="201"/>
      <c r="AD746" s="201"/>
      <c r="AE746" s="202"/>
      <c r="AF746" s="202"/>
      <c r="AG746" s="202"/>
      <c r="AH746" s="202"/>
      <c r="AI746" s="203"/>
      <c r="AJ746" s="203"/>
      <c r="AK746" s="204"/>
      <c r="AL746" s="203"/>
      <c r="AM746" s="204"/>
      <c r="AN746" s="204"/>
      <c r="AO746" s="203"/>
      <c r="AP746" s="202"/>
      <c r="AQ746" s="202"/>
      <c r="AR746" s="202"/>
      <c r="AS746" s="202"/>
    </row>
    <row r="747" spans="1:45" s="205" customFormat="1">
      <c r="A747" s="200"/>
      <c r="B747" s="200"/>
      <c r="C747" s="199"/>
      <c r="D747" s="156"/>
      <c r="E747" s="158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494"/>
      <c r="AB747" s="494"/>
      <c r="AC747" s="201"/>
      <c r="AD747" s="201"/>
      <c r="AE747" s="202"/>
      <c r="AF747" s="202"/>
      <c r="AG747" s="202"/>
      <c r="AH747" s="202"/>
      <c r="AI747" s="203"/>
      <c r="AJ747" s="203"/>
      <c r="AK747" s="204"/>
      <c r="AL747" s="203"/>
      <c r="AM747" s="204"/>
      <c r="AN747" s="204"/>
      <c r="AO747" s="203"/>
      <c r="AP747" s="202"/>
      <c r="AQ747" s="202"/>
      <c r="AR747" s="202"/>
      <c r="AS747" s="202"/>
    </row>
    <row r="748" spans="1:45" s="205" customFormat="1">
      <c r="A748" s="200"/>
      <c r="B748" s="200"/>
      <c r="C748" s="199"/>
      <c r="D748" s="156"/>
      <c r="E748" s="158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494"/>
      <c r="AB748" s="494"/>
      <c r="AC748" s="201"/>
      <c r="AD748" s="201"/>
      <c r="AE748" s="202"/>
      <c r="AF748" s="202"/>
      <c r="AG748" s="202"/>
      <c r="AH748" s="202"/>
      <c r="AI748" s="203"/>
      <c r="AJ748" s="203"/>
      <c r="AK748" s="204"/>
      <c r="AL748" s="203"/>
      <c r="AM748" s="204"/>
      <c r="AN748" s="204"/>
      <c r="AO748" s="203"/>
      <c r="AP748" s="202"/>
      <c r="AQ748" s="202"/>
      <c r="AR748" s="202"/>
      <c r="AS748" s="202"/>
    </row>
    <row r="749" spans="1:45" s="205" customFormat="1">
      <c r="A749" s="200"/>
      <c r="B749" s="200"/>
      <c r="C749" s="199"/>
      <c r="D749" s="156"/>
      <c r="E749" s="158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494"/>
      <c r="AB749" s="494"/>
      <c r="AC749" s="201"/>
      <c r="AD749" s="201"/>
      <c r="AE749" s="202"/>
      <c r="AF749" s="202"/>
      <c r="AG749" s="202"/>
      <c r="AH749" s="202"/>
      <c r="AI749" s="203"/>
      <c r="AJ749" s="203"/>
      <c r="AK749" s="204"/>
      <c r="AL749" s="203"/>
      <c r="AM749" s="204"/>
      <c r="AN749" s="204"/>
      <c r="AO749" s="203"/>
      <c r="AP749" s="202"/>
      <c r="AQ749" s="202"/>
      <c r="AR749" s="202"/>
      <c r="AS749" s="202"/>
    </row>
    <row r="750" spans="1:45" s="205" customFormat="1">
      <c r="A750" s="200"/>
      <c r="B750" s="200"/>
      <c r="C750" s="199"/>
      <c r="D750" s="156"/>
      <c r="E750" s="158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494"/>
      <c r="AB750" s="494"/>
      <c r="AC750" s="201"/>
      <c r="AD750" s="201"/>
      <c r="AE750" s="202"/>
      <c r="AF750" s="202"/>
      <c r="AG750" s="202"/>
      <c r="AH750" s="202"/>
      <c r="AI750" s="203"/>
      <c r="AJ750" s="203"/>
      <c r="AK750" s="204"/>
      <c r="AL750" s="203"/>
      <c r="AM750" s="204"/>
      <c r="AN750" s="204"/>
      <c r="AO750" s="203"/>
      <c r="AP750" s="202"/>
      <c r="AQ750" s="202"/>
      <c r="AR750" s="202"/>
      <c r="AS750" s="202"/>
    </row>
    <row r="751" spans="1:45" s="205" customFormat="1">
      <c r="A751" s="200"/>
      <c r="B751" s="200"/>
      <c r="C751" s="199"/>
      <c r="D751" s="156"/>
      <c r="E751" s="158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494"/>
      <c r="AB751" s="494"/>
      <c r="AC751" s="201"/>
      <c r="AD751" s="201"/>
      <c r="AE751" s="202"/>
      <c r="AF751" s="202"/>
      <c r="AG751" s="202"/>
      <c r="AH751" s="202"/>
      <c r="AI751" s="203"/>
      <c r="AJ751" s="203"/>
      <c r="AK751" s="204"/>
      <c r="AL751" s="203"/>
      <c r="AM751" s="204"/>
      <c r="AN751" s="204"/>
      <c r="AO751" s="203"/>
      <c r="AP751" s="202"/>
      <c r="AQ751" s="202"/>
      <c r="AR751" s="202"/>
      <c r="AS751" s="202"/>
    </row>
    <row r="752" spans="1:45" s="205" customFormat="1">
      <c r="A752" s="200"/>
      <c r="B752" s="200"/>
      <c r="C752" s="199"/>
      <c r="D752" s="156"/>
      <c r="E752" s="158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494"/>
      <c r="AB752" s="494"/>
      <c r="AC752" s="201"/>
      <c r="AD752" s="201"/>
      <c r="AE752" s="202"/>
      <c r="AF752" s="202"/>
      <c r="AG752" s="202"/>
      <c r="AH752" s="202"/>
      <c r="AI752" s="203"/>
      <c r="AJ752" s="203"/>
      <c r="AK752" s="204"/>
      <c r="AL752" s="203"/>
      <c r="AM752" s="204"/>
      <c r="AN752" s="204"/>
      <c r="AO752" s="203"/>
      <c r="AP752" s="202"/>
      <c r="AQ752" s="202"/>
      <c r="AR752" s="202"/>
      <c r="AS752" s="202"/>
    </row>
    <row r="753" spans="1:45" s="205" customFormat="1">
      <c r="A753" s="200"/>
      <c r="B753" s="200"/>
      <c r="C753" s="199"/>
      <c r="D753" s="156"/>
      <c r="E753" s="158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  <c r="AA753" s="494"/>
      <c r="AB753" s="494"/>
      <c r="AC753" s="201"/>
      <c r="AD753" s="201"/>
      <c r="AE753" s="202"/>
      <c r="AF753" s="202"/>
      <c r="AG753" s="202"/>
      <c r="AH753" s="202"/>
      <c r="AI753" s="203"/>
      <c r="AJ753" s="203"/>
      <c r="AK753" s="204"/>
      <c r="AL753" s="203"/>
      <c r="AM753" s="204"/>
      <c r="AN753" s="204"/>
      <c r="AO753" s="203"/>
      <c r="AP753" s="202"/>
      <c r="AQ753" s="202"/>
      <c r="AR753" s="202"/>
      <c r="AS753" s="202"/>
    </row>
    <row r="754" spans="1:45" s="205" customFormat="1">
      <c r="A754" s="200"/>
      <c r="B754" s="200"/>
      <c r="C754" s="199"/>
      <c r="D754" s="156"/>
      <c r="E754" s="158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494"/>
      <c r="AB754" s="494"/>
      <c r="AC754" s="201"/>
      <c r="AD754" s="201"/>
      <c r="AE754" s="202"/>
      <c r="AF754" s="202"/>
      <c r="AG754" s="202"/>
      <c r="AH754" s="202"/>
      <c r="AI754" s="203"/>
      <c r="AJ754" s="203"/>
      <c r="AK754" s="204"/>
      <c r="AL754" s="203"/>
      <c r="AM754" s="204"/>
      <c r="AN754" s="204"/>
      <c r="AO754" s="203"/>
      <c r="AP754" s="202"/>
      <c r="AQ754" s="202"/>
      <c r="AR754" s="202"/>
      <c r="AS754" s="202"/>
    </row>
    <row r="755" spans="1:45" s="205" customFormat="1">
      <c r="A755" s="200"/>
      <c r="B755" s="200"/>
      <c r="C755" s="199"/>
      <c r="D755" s="156"/>
      <c r="E755" s="158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  <c r="AA755" s="494"/>
      <c r="AB755" s="494"/>
      <c r="AC755" s="201"/>
      <c r="AD755" s="201"/>
      <c r="AE755" s="202"/>
      <c r="AF755" s="202"/>
      <c r="AG755" s="202"/>
      <c r="AH755" s="202"/>
      <c r="AI755" s="203"/>
      <c r="AJ755" s="203"/>
      <c r="AK755" s="204"/>
      <c r="AL755" s="203"/>
      <c r="AM755" s="204"/>
      <c r="AN755" s="204"/>
      <c r="AO755" s="203"/>
      <c r="AP755" s="202"/>
      <c r="AQ755" s="202"/>
      <c r="AR755" s="202"/>
      <c r="AS755" s="202"/>
    </row>
    <row r="756" spans="1:45" s="205" customFormat="1">
      <c r="A756" s="200"/>
      <c r="B756" s="200"/>
      <c r="C756" s="199"/>
      <c r="D756" s="156"/>
      <c r="E756" s="158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  <c r="AA756" s="494"/>
      <c r="AB756" s="494"/>
      <c r="AC756" s="201"/>
      <c r="AD756" s="201"/>
      <c r="AE756" s="202"/>
      <c r="AF756" s="202"/>
      <c r="AG756" s="202"/>
      <c r="AH756" s="202"/>
      <c r="AI756" s="203"/>
      <c r="AJ756" s="203"/>
      <c r="AK756" s="204"/>
      <c r="AL756" s="203"/>
      <c r="AM756" s="204"/>
      <c r="AN756" s="204"/>
      <c r="AO756" s="203"/>
      <c r="AP756" s="202"/>
      <c r="AQ756" s="202"/>
      <c r="AR756" s="202"/>
      <c r="AS756" s="202"/>
    </row>
    <row r="757" spans="1:45" s="205" customFormat="1">
      <c r="A757" s="200"/>
      <c r="B757" s="200"/>
      <c r="C757" s="199"/>
      <c r="D757" s="156"/>
      <c r="E757" s="158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  <c r="AA757" s="494"/>
      <c r="AB757" s="494"/>
      <c r="AC757" s="201"/>
      <c r="AD757" s="201"/>
      <c r="AE757" s="202"/>
      <c r="AF757" s="202"/>
      <c r="AG757" s="202"/>
      <c r="AH757" s="202"/>
      <c r="AI757" s="203"/>
      <c r="AJ757" s="203"/>
      <c r="AK757" s="204"/>
      <c r="AL757" s="203"/>
      <c r="AM757" s="204"/>
      <c r="AN757" s="204"/>
      <c r="AO757" s="203"/>
      <c r="AP757" s="202"/>
      <c r="AQ757" s="202"/>
      <c r="AR757" s="202"/>
      <c r="AS757" s="202"/>
    </row>
    <row r="758" spans="1:45" s="205" customFormat="1">
      <c r="A758" s="200"/>
      <c r="B758" s="200"/>
      <c r="C758" s="199"/>
      <c r="D758" s="156"/>
      <c r="E758" s="158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  <c r="AA758" s="494"/>
      <c r="AB758" s="494"/>
      <c r="AC758" s="201"/>
      <c r="AD758" s="201"/>
      <c r="AE758" s="202"/>
      <c r="AF758" s="202"/>
      <c r="AG758" s="202"/>
      <c r="AH758" s="202"/>
      <c r="AI758" s="203"/>
      <c r="AJ758" s="203"/>
      <c r="AK758" s="204"/>
      <c r="AL758" s="203"/>
      <c r="AM758" s="204"/>
      <c r="AN758" s="204"/>
      <c r="AO758" s="203"/>
      <c r="AP758" s="202"/>
      <c r="AQ758" s="202"/>
      <c r="AR758" s="202"/>
      <c r="AS758" s="202"/>
    </row>
    <row r="759" spans="1:45" s="205" customFormat="1">
      <c r="A759" s="200"/>
      <c r="B759" s="200"/>
      <c r="C759" s="199"/>
      <c r="D759" s="156"/>
      <c r="E759" s="158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  <c r="AA759" s="494"/>
      <c r="AB759" s="494"/>
      <c r="AC759" s="201"/>
      <c r="AD759" s="201"/>
      <c r="AE759" s="202"/>
      <c r="AF759" s="202"/>
      <c r="AG759" s="202"/>
      <c r="AH759" s="202"/>
      <c r="AI759" s="203"/>
      <c r="AJ759" s="203"/>
      <c r="AK759" s="204"/>
      <c r="AL759" s="203"/>
      <c r="AM759" s="204"/>
      <c r="AN759" s="204"/>
      <c r="AO759" s="203"/>
      <c r="AP759" s="202"/>
      <c r="AQ759" s="202"/>
      <c r="AR759" s="202"/>
      <c r="AS759" s="202"/>
    </row>
    <row r="760" spans="1:45" s="205" customFormat="1">
      <c r="A760" s="200"/>
      <c r="B760" s="200"/>
      <c r="C760" s="199"/>
      <c r="D760" s="156"/>
      <c r="E760" s="158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  <c r="AA760" s="494"/>
      <c r="AB760" s="494"/>
      <c r="AC760" s="201"/>
      <c r="AD760" s="201"/>
      <c r="AE760" s="202"/>
      <c r="AF760" s="202"/>
      <c r="AG760" s="202"/>
      <c r="AH760" s="202"/>
      <c r="AI760" s="203"/>
      <c r="AJ760" s="203"/>
      <c r="AK760" s="204"/>
      <c r="AL760" s="203"/>
      <c r="AM760" s="204"/>
      <c r="AN760" s="204"/>
      <c r="AO760" s="203"/>
      <c r="AP760" s="202"/>
      <c r="AQ760" s="202"/>
      <c r="AR760" s="202"/>
      <c r="AS760" s="202"/>
    </row>
    <row r="761" spans="1:45" s="205" customFormat="1">
      <c r="A761" s="200"/>
      <c r="B761" s="200"/>
      <c r="C761" s="199"/>
      <c r="D761" s="156"/>
      <c r="E761" s="158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  <c r="AA761" s="494"/>
      <c r="AB761" s="494"/>
      <c r="AC761" s="201"/>
      <c r="AD761" s="201"/>
      <c r="AE761" s="202"/>
      <c r="AF761" s="202"/>
      <c r="AG761" s="202"/>
      <c r="AH761" s="202"/>
      <c r="AI761" s="203"/>
      <c r="AJ761" s="203"/>
      <c r="AK761" s="204"/>
      <c r="AL761" s="203"/>
      <c r="AM761" s="204"/>
      <c r="AN761" s="204"/>
      <c r="AO761" s="203"/>
      <c r="AP761" s="202"/>
      <c r="AQ761" s="202"/>
      <c r="AR761" s="202"/>
      <c r="AS761" s="202"/>
    </row>
    <row r="762" spans="1:45" s="205" customFormat="1">
      <c r="A762" s="200"/>
      <c r="B762" s="200"/>
      <c r="C762" s="199"/>
      <c r="D762" s="156"/>
      <c r="E762" s="158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  <c r="AA762" s="494"/>
      <c r="AB762" s="494"/>
      <c r="AC762" s="201"/>
      <c r="AD762" s="201"/>
      <c r="AE762" s="202"/>
      <c r="AF762" s="202"/>
      <c r="AG762" s="202"/>
      <c r="AH762" s="202"/>
      <c r="AI762" s="203"/>
      <c r="AJ762" s="203"/>
      <c r="AK762" s="204"/>
      <c r="AL762" s="203"/>
      <c r="AM762" s="204"/>
      <c r="AN762" s="204"/>
      <c r="AO762" s="203"/>
      <c r="AP762" s="202"/>
      <c r="AQ762" s="202"/>
      <c r="AR762" s="202"/>
      <c r="AS762" s="202"/>
    </row>
    <row r="763" spans="1:45" s="205" customFormat="1">
      <c r="A763" s="200"/>
      <c r="B763" s="200"/>
      <c r="C763" s="199"/>
      <c r="D763" s="156"/>
      <c r="E763" s="158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  <c r="AA763" s="494"/>
      <c r="AB763" s="494"/>
      <c r="AC763" s="201"/>
      <c r="AD763" s="201"/>
      <c r="AE763" s="202"/>
      <c r="AF763" s="202"/>
      <c r="AG763" s="202"/>
      <c r="AH763" s="202"/>
      <c r="AI763" s="203"/>
      <c r="AJ763" s="203"/>
      <c r="AK763" s="204"/>
      <c r="AL763" s="203"/>
      <c r="AM763" s="204"/>
      <c r="AN763" s="204"/>
      <c r="AO763" s="203"/>
      <c r="AP763" s="202"/>
      <c r="AQ763" s="202"/>
      <c r="AR763" s="202"/>
      <c r="AS763" s="202"/>
    </row>
    <row r="764" spans="1:45" s="205" customFormat="1">
      <c r="A764" s="200"/>
      <c r="B764" s="200"/>
      <c r="C764" s="199"/>
      <c r="D764" s="156"/>
      <c r="E764" s="158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494"/>
      <c r="AB764" s="494"/>
      <c r="AC764" s="201"/>
      <c r="AD764" s="201"/>
      <c r="AE764" s="202"/>
      <c r="AF764" s="202"/>
      <c r="AG764" s="202"/>
      <c r="AH764" s="202"/>
      <c r="AI764" s="203"/>
      <c r="AJ764" s="203"/>
      <c r="AK764" s="204"/>
      <c r="AL764" s="203"/>
      <c r="AM764" s="204"/>
      <c r="AN764" s="204"/>
      <c r="AO764" s="203"/>
      <c r="AP764" s="202"/>
      <c r="AQ764" s="202"/>
      <c r="AR764" s="202"/>
      <c r="AS764" s="202"/>
    </row>
    <row r="765" spans="1:45" s="205" customFormat="1">
      <c r="A765" s="200"/>
      <c r="B765" s="200"/>
      <c r="C765" s="199"/>
      <c r="D765" s="156"/>
      <c r="E765" s="158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494"/>
      <c r="AB765" s="494"/>
      <c r="AC765" s="201"/>
      <c r="AD765" s="201"/>
      <c r="AE765" s="202"/>
      <c r="AF765" s="202"/>
      <c r="AG765" s="202"/>
      <c r="AH765" s="202"/>
      <c r="AI765" s="203"/>
      <c r="AJ765" s="203"/>
      <c r="AK765" s="204"/>
      <c r="AL765" s="203"/>
      <c r="AM765" s="204"/>
      <c r="AN765" s="204"/>
      <c r="AO765" s="203"/>
      <c r="AP765" s="202"/>
      <c r="AQ765" s="202"/>
      <c r="AR765" s="202"/>
      <c r="AS765" s="202"/>
    </row>
    <row r="766" spans="1:45" s="205" customFormat="1">
      <c r="A766" s="200"/>
      <c r="B766" s="200"/>
      <c r="C766" s="199"/>
      <c r="D766" s="156"/>
      <c r="E766" s="158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494"/>
      <c r="AB766" s="494"/>
      <c r="AC766" s="201"/>
      <c r="AD766" s="201"/>
      <c r="AE766" s="202"/>
      <c r="AF766" s="202"/>
      <c r="AG766" s="202"/>
      <c r="AH766" s="202"/>
      <c r="AI766" s="203"/>
      <c r="AJ766" s="203"/>
      <c r="AK766" s="204"/>
      <c r="AL766" s="203"/>
      <c r="AM766" s="204"/>
      <c r="AN766" s="204"/>
      <c r="AO766" s="203"/>
      <c r="AP766" s="202"/>
      <c r="AQ766" s="202"/>
      <c r="AR766" s="202"/>
      <c r="AS766" s="202"/>
    </row>
    <row r="767" spans="1:45" s="205" customFormat="1">
      <c r="A767" s="200"/>
      <c r="B767" s="200"/>
      <c r="C767" s="199"/>
      <c r="D767" s="156"/>
      <c r="E767" s="158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494"/>
      <c r="AB767" s="494"/>
      <c r="AC767" s="201"/>
      <c r="AD767" s="201"/>
      <c r="AE767" s="202"/>
      <c r="AF767" s="202"/>
      <c r="AG767" s="202"/>
      <c r="AH767" s="202"/>
      <c r="AI767" s="203"/>
      <c r="AJ767" s="203"/>
      <c r="AK767" s="204"/>
      <c r="AL767" s="203"/>
      <c r="AM767" s="204"/>
      <c r="AN767" s="204"/>
      <c r="AO767" s="203"/>
      <c r="AP767" s="202"/>
      <c r="AQ767" s="202"/>
      <c r="AR767" s="202"/>
      <c r="AS767" s="202"/>
    </row>
    <row r="768" spans="1:45" s="205" customFormat="1">
      <c r="A768" s="200"/>
      <c r="B768" s="200"/>
      <c r="C768" s="199"/>
      <c r="D768" s="156"/>
      <c r="E768" s="158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494"/>
      <c r="AB768" s="494"/>
      <c r="AC768" s="201"/>
      <c r="AD768" s="201"/>
      <c r="AE768" s="202"/>
      <c r="AF768" s="202"/>
      <c r="AG768" s="202"/>
      <c r="AH768" s="202"/>
      <c r="AI768" s="203"/>
      <c r="AJ768" s="203"/>
      <c r="AK768" s="204"/>
      <c r="AL768" s="203"/>
      <c r="AM768" s="204"/>
      <c r="AN768" s="204"/>
      <c r="AO768" s="203"/>
      <c r="AP768" s="202"/>
      <c r="AQ768" s="202"/>
      <c r="AR768" s="202"/>
      <c r="AS768" s="202"/>
    </row>
    <row r="769" spans="1:45" s="205" customFormat="1">
      <c r="A769" s="200"/>
      <c r="B769" s="200"/>
      <c r="C769" s="199"/>
      <c r="D769" s="156"/>
      <c r="E769" s="158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494"/>
      <c r="AB769" s="494"/>
      <c r="AC769" s="201"/>
      <c r="AD769" s="201"/>
      <c r="AE769" s="202"/>
      <c r="AF769" s="202"/>
      <c r="AG769" s="202"/>
      <c r="AH769" s="202"/>
      <c r="AI769" s="203"/>
      <c r="AJ769" s="203"/>
      <c r="AK769" s="204"/>
      <c r="AL769" s="203"/>
      <c r="AM769" s="204"/>
      <c r="AN769" s="204"/>
      <c r="AO769" s="203"/>
      <c r="AP769" s="202"/>
      <c r="AQ769" s="202"/>
      <c r="AR769" s="202"/>
      <c r="AS769" s="202"/>
    </row>
    <row r="770" spans="1:45" s="205" customFormat="1">
      <c r="A770" s="200"/>
      <c r="B770" s="200"/>
      <c r="C770" s="199"/>
      <c r="D770" s="156"/>
      <c r="E770" s="158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494"/>
      <c r="AB770" s="494"/>
      <c r="AC770" s="201"/>
      <c r="AD770" s="201"/>
      <c r="AE770" s="202"/>
      <c r="AF770" s="202"/>
      <c r="AG770" s="202"/>
      <c r="AH770" s="202"/>
      <c r="AI770" s="203"/>
      <c r="AJ770" s="203"/>
      <c r="AK770" s="204"/>
      <c r="AL770" s="203"/>
      <c r="AM770" s="204"/>
      <c r="AN770" s="204"/>
      <c r="AO770" s="203"/>
      <c r="AP770" s="202"/>
      <c r="AQ770" s="202"/>
      <c r="AR770" s="202"/>
      <c r="AS770" s="202"/>
    </row>
    <row r="771" spans="1:45" s="205" customFormat="1">
      <c r="A771" s="200"/>
      <c r="B771" s="200"/>
      <c r="C771" s="199"/>
      <c r="D771" s="156"/>
      <c r="E771" s="158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494"/>
      <c r="AB771" s="494"/>
      <c r="AC771" s="201"/>
      <c r="AD771" s="201"/>
      <c r="AE771" s="202"/>
      <c r="AF771" s="202"/>
      <c r="AG771" s="202"/>
      <c r="AH771" s="202"/>
      <c r="AI771" s="203"/>
      <c r="AJ771" s="203"/>
      <c r="AK771" s="204"/>
      <c r="AL771" s="203"/>
      <c r="AM771" s="204"/>
      <c r="AN771" s="204"/>
      <c r="AO771" s="203"/>
      <c r="AP771" s="202"/>
      <c r="AQ771" s="202"/>
      <c r="AR771" s="202"/>
      <c r="AS771" s="202"/>
    </row>
    <row r="772" spans="1:45" s="205" customFormat="1">
      <c r="A772" s="200"/>
      <c r="B772" s="200"/>
      <c r="C772" s="199"/>
      <c r="D772" s="156"/>
      <c r="E772" s="158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494"/>
      <c r="AB772" s="494"/>
      <c r="AC772" s="201"/>
      <c r="AD772" s="201"/>
      <c r="AE772" s="202"/>
      <c r="AF772" s="202"/>
      <c r="AG772" s="202"/>
      <c r="AH772" s="202"/>
      <c r="AI772" s="203"/>
      <c r="AJ772" s="203"/>
      <c r="AK772" s="204"/>
      <c r="AL772" s="203"/>
      <c r="AM772" s="204"/>
      <c r="AN772" s="204"/>
      <c r="AO772" s="203"/>
      <c r="AP772" s="202"/>
      <c r="AQ772" s="202"/>
      <c r="AR772" s="202"/>
      <c r="AS772" s="202"/>
    </row>
    <row r="773" spans="1:45" s="205" customFormat="1">
      <c r="A773" s="200"/>
      <c r="B773" s="200"/>
      <c r="C773" s="199"/>
      <c r="D773" s="156"/>
      <c r="E773" s="158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494"/>
      <c r="AB773" s="494"/>
      <c r="AC773" s="201"/>
      <c r="AD773" s="201"/>
      <c r="AE773" s="202"/>
      <c r="AF773" s="202"/>
      <c r="AG773" s="202"/>
      <c r="AH773" s="202"/>
      <c r="AI773" s="203"/>
      <c r="AJ773" s="203"/>
      <c r="AK773" s="204"/>
      <c r="AL773" s="203"/>
      <c r="AM773" s="204"/>
      <c r="AN773" s="204"/>
      <c r="AO773" s="203"/>
      <c r="AP773" s="202"/>
      <c r="AQ773" s="202"/>
      <c r="AR773" s="202"/>
      <c r="AS773" s="202"/>
    </row>
    <row r="774" spans="1:45" s="205" customFormat="1">
      <c r="A774" s="200"/>
      <c r="B774" s="200"/>
      <c r="C774" s="199"/>
      <c r="D774" s="156"/>
      <c r="E774" s="158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494"/>
      <c r="AB774" s="494"/>
      <c r="AC774" s="201"/>
      <c r="AD774" s="201"/>
      <c r="AE774" s="202"/>
      <c r="AF774" s="202"/>
      <c r="AG774" s="202"/>
      <c r="AH774" s="202"/>
      <c r="AI774" s="203"/>
      <c r="AJ774" s="203"/>
      <c r="AK774" s="204"/>
      <c r="AL774" s="203"/>
      <c r="AM774" s="204"/>
      <c r="AN774" s="204"/>
      <c r="AO774" s="203"/>
      <c r="AP774" s="202"/>
      <c r="AQ774" s="202"/>
      <c r="AR774" s="202"/>
      <c r="AS774" s="202"/>
    </row>
    <row r="775" spans="1:45" s="205" customFormat="1">
      <c r="A775" s="200"/>
      <c r="B775" s="200"/>
      <c r="C775" s="199"/>
      <c r="D775" s="156"/>
      <c r="E775" s="158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494"/>
      <c r="AB775" s="494"/>
      <c r="AC775" s="201"/>
      <c r="AD775" s="201"/>
      <c r="AE775" s="202"/>
      <c r="AF775" s="202"/>
      <c r="AG775" s="202"/>
      <c r="AH775" s="202"/>
      <c r="AI775" s="203"/>
      <c r="AJ775" s="203"/>
      <c r="AK775" s="204"/>
      <c r="AL775" s="203"/>
      <c r="AM775" s="204"/>
      <c r="AN775" s="204"/>
      <c r="AO775" s="203"/>
      <c r="AP775" s="202"/>
      <c r="AQ775" s="202"/>
      <c r="AR775" s="202"/>
      <c r="AS775" s="202"/>
    </row>
    <row r="776" spans="1:45" s="205" customFormat="1">
      <c r="A776" s="200"/>
      <c r="B776" s="200"/>
      <c r="C776" s="199"/>
      <c r="D776" s="156"/>
      <c r="E776" s="158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494"/>
      <c r="AB776" s="494"/>
      <c r="AC776" s="201"/>
      <c r="AD776" s="201"/>
      <c r="AE776" s="202"/>
      <c r="AF776" s="202"/>
      <c r="AG776" s="202"/>
      <c r="AH776" s="202"/>
      <c r="AI776" s="203"/>
      <c r="AJ776" s="203"/>
      <c r="AK776" s="204"/>
      <c r="AL776" s="203"/>
      <c r="AM776" s="204"/>
      <c r="AN776" s="204"/>
      <c r="AO776" s="203"/>
      <c r="AP776" s="202"/>
      <c r="AQ776" s="202"/>
      <c r="AR776" s="202"/>
      <c r="AS776" s="202"/>
    </row>
    <row r="777" spans="1:45" s="205" customFormat="1">
      <c r="A777" s="200"/>
      <c r="B777" s="200"/>
      <c r="C777" s="199"/>
      <c r="D777" s="156"/>
      <c r="E777" s="158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494"/>
      <c r="AB777" s="494"/>
      <c r="AC777" s="201"/>
      <c r="AD777" s="201"/>
      <c r="AE777" s="202"/>
      <c r="AF777" s="202"/>
      <c r="AG777" s="202"/>
      <c r="AH777" s="202"/>
      <c r="AI777" s="203"/>
      <c r="AJ777" s="203"/>
      <c r="AK777" s="204"/>
      <c r="AL777" s="203"/>
      <c r="AM777" s="204"/>
      <c r="AN777" s="204"/>
      <c r="AO777" s="203"/>
      <c r="AP777" s="202"/>
      <c r="AQ777" s="202"/>
      <c r="AR777" s="202"/>
      <c r="AS777" s="202"/>
    </row>
    <row r="778" spans="1:45" s="205" customFormat="1">
      <c r="A778" s="200"/>
      <c r="B778" s="200"/>
      <c r="C778" s="199"/>
      <c r="D778" s="156"/>
      <c r="E778" s="158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494"/>
      <c r="AB778" s="494"/>
      <c r="AC778" s="201"/>
      <c r="AD778" s="201"/>
      <c r="AE778" s="202"/>
      <c r="AF778" s="202"/>
      <c r="AG778" s="202"/>
      <c r="AH778" s="202"/>
      <c r="AI778" s="203"/>
      <c r="AJ778" s="203"/>
      <c r="AK778" s="204"/>
      <c r="AL778" s="203"/>
      <c r="AM778" s="204"/>
      <c r="AN778" s="204"/>
      <c r="AO778" s="203"/>
      <c r="AP778" s="202"/>
      <c r="AQ778" s="202"/>
      <c r="AR778" s="202"/>
      <c r="AS778" s="202"/>
    </row>
    <row r="779" spans="1:45" s="205" customFormat="1">
      <c r="A779" s="200"/>
      <c r="B779" s="200"/>
      <c r="C779" s="199"/>
      <c r="D779" s="156"/>
      <c r="E779" s="158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494"/>
      <c r="AB779" s="494"/>
      <c r="AC779" s="201"/>
      <c r="AD779" s="201"/>
      <c r="AE779" s="202"/>
      <c r="AF779" s="202"/>
      <c r="AG779" s="202"/>
      <c r="AH779" s="202"/>
      <c r="AI779" s="203"/>
      <c r="AJ779" s="203"/>
      <c r="AK779" s="204"/>
      <c r="AL779" s="203"/>
      <c r="AM779" s="204"/>
      <c r="AN779" s="204"/>
      <c r="AO779" s="203"/>
      <c r="AP779" s="202"/>
      <c r="AQ779" s="202"/>
      <c r="AR779" s="202"/>
      <c r="AS779" s="202"/>
    </row>
    <row r="780" spans="1:45" s="205" customFormat="1">
      <c r="A780" s="200"/>
      <c r="B780" s="200"/>
      <c r="C780" s="199"/>
      <c r="D780" s="156"/>
      <c r="E780" s="158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494"/>
      <c r="AB780" s="494"/>
      <c r="AC780" s="201"/>
      <c r="AD780" s="201"/>
      <c r="AE780" s="202"/>
      <c r="AF780" s="202"/>
      <c r="AG780" s="202"/>
      <c r="AH780" s="202"/>
      <c r="AI780" s="203"/>
      <c r="AJ780" s="203"/>
      <c r="AK780" s="204"/>
      <c r="AL780" s="203"/>
      <c r="AM780" s="204"/>
      <c r="AN780" s="204"/>
      <c r="AO780" s="203"/>
      <c r="AP780" s="202"/>
      <c r="AQ780" s="202"/>
      <c r="AR780" s="202"/>
      <c r="AS780" s="202"/>
    </row>
    <row r="781" spans="1:45" s="205" customFormat="1">
      <c r="A781" s="200"/>
      <c r="B781" s="200"/>
      <c r="C781" s="199"/>
      <c r="D781" s="156"/>
      <c r="E781" s="158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494"/>
      <c r="AB781" s="494"/>
      <c r="AC781" s="201"/>
      <c r="AD781" s="201"/>
      <c r="AE781" s="202"/>
      <c r="AF781" s="202"/>
      <c r="AG781" s="202"/>
      <c r="AH781" s="202"/>
      <c r="AI781" s="203"/>
      <c r="AJ781" s="203"/>
      <c r="AK781" s="204"/>
      <c r="AL781" s="203"/>
      <c r="AM781" s="204"/>
      <c r="AN781" s="204"/>
      <c r="AO781" s="203"/>
      <c r="AP781" s="202"/>
      <c r="AQ781" s="202"/>
      <c r="AR781" s="202"/>
      <c r="AS781" s="202"/>
    </row>
    <row r="782" spans="1:45" s="205" customFormat="1">
      <c r="A782" s="200"/>
      <c r="B782" s="200"/>
      <c r="C782" s="199"/>
      <c r="D782" s="156"/>
      <c r="E782" s="158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494"/>
      <c r="AB782" s="494"/>
      <c r="AC782" s="201"/>
      <c r="AD782" s="201"/>
      <c r="AE782" s="202"/>
      <c r="AF782" s="202"/>
      <c r="AG782" s="202"/>
      <c r="AH782" s="202"/>
      <c r="AI782" s="203"/>
      <c r="AJ782" s="203"/>
      <c r="AK782" s="204"/>
      <c r="AL782" s="203"/>
      <c r="AM782" s="204"/>
      <c r="AN782" s="204"/>
      <c r="AO782" s="203"/>
      <c r="AP782" s="202"/>
      <c r="AQ782" s="202"/>
      <c r="AR782" s="202"/>
      <c r="AS782" s="202"/>
    </row>
    <row r="783" spans="1:45" s="205" customFormat="1">
      <c r="A783" s="200"/>
      <c r="B783" s="200"/>
      <c r="C783" s="199"/>
      <c r="D783" s="156"/>
      <c r="E783" s="158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494"/>
      <c r="AB783" s="494"/>
      <c r="AC783" s="201"/>
      <c r="AD783" s="201"/>
      <c r="AE783" s="202"/>
      <c r="AF783" s="202"/>
      <c r="AG783" s="202"/>
      <c r="AH783" s="202"/>
      <c r="AI783" s="203"/>
      <c r="AJ783" s="203"/>
      <c r="AK783" s="204"/>
      <c r="AL783" s="203"/>
      <c r="AM783" s="204"/>
      <c r="AN783" s="204"/>
      <c r="AO783" s="203"/>
      <c r="AP783" s="202"/>
      <c r="AQ783" s="202"/>
      <c r="AR783" s="202"/>
      <c r="AS783" s="202"/>
    </row>
    <row r="784" spans="1:45" s="205" customFormat="1">
      <c r="A784" s="200"/>
      <c r="B784" s="200"/>
      <c r="C784" s="199"/>
      <c r="D784" s="156"/>
      <c r="E784" s="158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494"/>
      <c r="AB784" s="494"/>
      <c r="AC784" s="201"/>
      <c r="AD784" s="201"/>
      <c r="AE784" s="202"/>
      <c r="AF784" s="202"/>
      <c r="AG784" s="202"/>
      <c r="AH784" s="202"/>
      <c r="AI784" s="203"/>
      <c r="AJ784" s="203"/>
      <c r="AK784" s="204"/>
      <c r="AL784" s="203"/>
      <c r="AM784" s="204"/>
      <c r="AN784" s="204"/>
      <c r="AO784" s="203"/>
      <c r="AP784" s="202"/>
      <c r="AQ784" s="202"/>
      <c r="AR784" s="202"/>
      <c r="AS784" s="202"/>
    </row>
  </sheetData>
  <autoFilter ref="C8:X686"/>
  <mergeCells count="8328">
    <mergeCell ref="U598:U599"/>
    <mergeCell ref="V598:V599"/>
    <mergeCell ref="W598:W599"/>
    <mergeCell ref="X598:X599"/>
    <mergeCell ref="Y598:Y599"/>
    <mergeCell ref="G596:G597"/>
    <mergeCell ref="H596:H597"/>
    <mergeCell ref="I596:I597"/>
    <mergeCell ref="J596:J597"/>
    <mergeCell ref="O596:O597"/>
    <mergeCell ref="K596:K597"/>
    <mergeCell ref="L596:L597"/>
    <mergeCell ref="M596:M597"/>
    <mergeCell ref="N596:N597"/>
    <mergeCell ref="L604:L605"/>
    <mergeCell ref="AC600:AC601"/>
    <mergeCell ref="S600:S601"/>
    <mergeCell ref="T600:T601"/>
    <mergeCell ref="U600:U601"/>
    <mergeCell ref="X600:X601"/>
    <mergeCell ref="Y600:Y601"/>
    <mergeCell ref="V600:V601"/>
    <mergeCell ref="O598:O599"/>
    <mergeCell ref="P598:P599"/>
    <mergeCell ref="Q598:Q599"/>
    <mergeCell ref="V596:V597"/>
    <mergeCell ref="M598:M599"/>
    <mergeCell ref="N598:N599"/>
    <mergeCell ref="S596:S597"/>
    <mergeCell ref="R598:R599"/>
    <mergeCell ref="S598:S599"/>
    <mergeCell ref="T598:T599"/>
    <mergeCell ref="AC596:AC597"/>
    <mergeCell ref="AB596:AB597"/>
    <mergeCell ref="Z598:Z599"/>
    <mergeCell ref="AA598:AA599"/>
    <mergeCell ref="AB598:AB599"/>
    <mergeCell ref="W600:W601"/>
    <mergeCell ref="B636:B637"/>
    <mergeCell ref="B644:B645"/>
    <mergeCell ref="A642:A643"/>
    <mergeCell ref="B642:B643"/>
    <mergeCell ref="W596:W597"/>
    <mergeCell ref="X596:X597"/>
    <mergeCell ref="C596:C597"/>
    <mergeCell ref="D596:D597"/>
    <mergeCell ref="E596:E597"/>
    <mergeCell ref="F596:F597"/>
    <mergeCell ref="A648:A649"/>
    <mergeCell ref="B648:B649"/>
    <mergeCell ref="F600:F601"/>
    <mergeCell ref="G600:G601"/>
    <mergeCell ref="H600:H601"/>
    <mergeCell ref="C608:C609"/>
    <mergeCell ref="D608:D609"/>
    <mergeCell ref="E608:E609"/>
    <mergeCell ref="C606:C607"/>
    <mergeCell ref="A636:A637"/>
    <mergeCell ref="E598:E599"/>
    <mergeCell ref="A600:A601"/>
    <mergeCell ref="B600:B601"/>
    <mergeCell ref="A598:A599"/>
    <mergeCell ref="E606:E607"/>
    <mergeCell ref="L600:L601"/>
    <mergeCell ref="K598:K599"/>
    <mergeCell ref="L598:L599"/>
    <mergeCell ref="I598:I599"/>
    <mergeCell ref="J598:J599"/>
    <mergeCell ref="A630:A631"/>
    <mergeCell ref="B630:B631"/>
    <mergeCell ref="A628:A629"/>
    <mergeCell ref="B628:B629"/>
    <mergeCell ref="D606:D607"/>
    <mergeCell ref="D598:D599"/>
    <mergeCell ref="C598:C599"/>
    <mergeCell ref="G598:G599"/>
    <mergeCell ref="H598:H599"/>
    <mergeCell ref="F598:F599"/>
    <mergeCell ref="A646:A647"/>
    <mergeCell ref="B646:B647"/>
    <mergeCell ref="A624:A625"/>
    <mergeCell ref="B624:B625"/>
    <mergeCell ref="A626:A627"/>
    <mergeCell ref="B626:B627"/>
    <mergeCell ref="A644:A645"/>
    <mergeCell ref="A610:A611"/>
    <mergeCell ref="G610:G611"/>
    <mergeCell ref="D616:D617"/>
    <mergeCell ref="E616:E617"/>
    <mergeCell ref="F616:F617"/>
    <mergeCell ref="G616:G617"/>
    <mergeCell ref="A654:A655"/>
    <mergeCell ref="B654:B655"/>
    <mergeCell ref="A656:A657"/>
    <mergeCell ref="B656:B657"/>
    <mergeCell ref="A650:A651"/>
    <mergeCell ref="B650:B651"/>
    <mergeCell ref="A658:A659"/>
    <mergeCell ref="B658:B659"/>
    <mergeCell ref="A612:A613"/>
    <mergeCell ref="B612:B613"/>
    <mergeCell ref="A622:A623"/>
    <mergeCell ref="B622:B623"/>
    <mergeCell ref="A618:A619"/>
    <mergeCell ref="B618:B619"/>
    <mergeCell ref="A620:A621"/>
    <mergeCell ref="B620:B621"/>
    <mergeCell ref="G620:G621"/>
    <mergeCell ref="A660:A661"/>
    <mergeCell ref="B660:B661"/>
    <mergeCell ref="A638:A639"/>
    <mergeCell ref="B638:B639"/>
    <mergeCell ref="A632:A633"/>
    <mergeCell ref="B632:B633"/>
    <mergeCell ref="A634:A635"/>
    <mergeCell ref="B634:B635"/>
    <mergeCell ref="A652:A653"/>
    <mergeCell ref="B652:B653"/>
    <mergeCell ref="A640:A641"/>
    <mergeCell ref="B640:B641"/>
    <mergeCell ref="A574:A575"/>
    <mergeCell ref="B574:B575"/>
    <mergeCell ref="A594:A595"/>
    <mergeCell ref="B594:B595"/>
    <mergeCell ref="A578:A579"/>
    <mergeCell ref="B578:B579"/>
    <mergeCell ref="A592:A593"/>
    <mergeCell ref="B582:B583"/>
    <mergeCell ref="A572:A573"/>
    <mergeCell ref="B572:B573"/>
    <mergeCell ref="A568:A569"/>
    <mergeCell ref="A570:A571"/>
    <mergeCell ref="B570:B571"/>
    <mergeCell ref="B568:B569"/>
    <mergeCell ref="A606:A607"/>
    <mergeCell ref="B606:B607"/>
    <mergeCell ref="A602:A603"/>
    <mergeCell ref="B598:B599"/>
    <mergeCell ref="B592:B593"/>
    <mergeCell ref="A588:A589"/>
    <mergeCell ref="B588:B589"/>
    <mergeCell ref="A562:A563"/>
    <mergeCell ref="B562:B563"/>
    <mergeCell ref="A564:A565"/>
    <mergeCell ref="B564:B565"/>
    <mergeCell ref="A580:A581"/>
    <mergeCell ref="A616:A617"/>
    <mergeCell ref="B616:B617"/>
    <mergeCell ref="A608:A609"/>
    <mergeCell ref="B608:B609"/>
    <mergeCell ref="B610:B611"/>
    <mergeCell ref="B517:B518"/>
    <mergeCell ref="A515:A516"/>
    <mergeCell ref="B501:B502"/>
    <mergeCell ref="A497:A498"/>
    <mergeCell ref="B497:B498"/>
    <mergeCell ref="A499:A500"/>
    <mergeCell ref="B499:B500"/>
    <mergeCell ref="A614:A615"/>
    <mergeCell ref="B614:B615"/>
    <mergeCell ref="A604:A605"/>
    <mergeCell ref="B604:B605"/>
    <mergeCell ref="A529:A530"/>
    <mergeCell ref="B529:B530"/>
    <mergeCell ref="A560:A561"/>
    <mergeCell ref="B560:B561"/>
    <mergeCell ref="A566:A567"/>
    <mergeCell ref="B566:B567"/>
    <mergeCell ref="B515:B516"/>
    <mergeCell ref="A513:A514"/>
    <mergeCell ref="A511:A512"/>
    <mergeCell ref="B511:B512"/>
    <mergeCell ref="A505:A506"/>
    <mergeCell ref="B505:B506"/>
    <mergeCell ref="A517:A518"/>
    <mergeCell ref="B531:B532"/>
    <mergeCell ref="A548:A549"/>
    <mergeCell ref="B548:B549"/>
    <mergeCell ref="A533:A534"/>
    <mergeCell ref="B533:B534"/>
    <mergeCell ref="A531:A532"/>
    <mergeCell ref="A527:A528"/>
    <mergeCell ref="B527:B528"/>
    <mergeCell ref="A519:A520"/>
    <mergeCell ref="A555:A556"/>
    <mergeCell ref="B555:B556"/>
    <mergeCell ref="A590:A591"/>
    <mergeCell ref="B590:B591"/>
    <mergeCell ref="B580:B581"/>
    <mergeCell ref="A586:A587"/>
    <mergeCell ref="B586:B587"/>
    <mergeCell ref="A584:A585"/>
    <mergeCell ref="B584:B585"/>
    <mergeCell ref="A582:A583"/>
    <mergeCell ref="B519:B520"/>
    <mergeCell ref="A523:A524"/>
    <mergeCell ref="B523:B524"/>
    <mergeCell ref="B467:B468"/>
    <mergeCell ref="B513:B514"/>
    <mergeCell ref="A491:A492"/>
    <mergeCell ref="B491:B492"/>
    <mergeCell ref="A487:A488"/>
    <mergeCell ref="B487:B488"/>
    <mergeCell ref="A477:A478"/>
    <mergeCell ref="B475:B476"/>
    <mergeCell ref="A465:A466"/>
    <mergeCell ref="B465:B466"/>
    <mergeCell ref="A471:A472"/>
    <mergeCell ref="B471:B472"/>
    <mergeCell ref="A467:A468"/>
    <mergeCell ref="A503:A504"/>
    <mergeCell ref="B503:B504"/>
    <mergeCell ref="A509:A510"/>
    <mergeCell ref="B509:B510"/>
    <mergeCell ref="B477:B478"/>
    <mergeCell ref="A479:A480"/>
    <mergeCell ref="B479:B480"/>
    <mergeCell ref="A356:A357"/>
    <mergeCell ref="B356:B357"/>
    <mergeCell ref="A493:A494"/>
    <mergeCell ref="B493:B494"/>
    <mergeCell ref="A501:A502"/>
    <mergeCell ref="A489:A490"/>
    <mergeCell ref="B489:B490"/>
    <mergeCell ref="A473:A474"/>
    <mergeCell ref="B473:B474"/>
    <mergeCell ref="A475:A476"/>
    <mergeCell ref="A368:A369"/>
    <mergeCell ref="B368:B369"/>
    <mergeCell ref="A485:A486"/>
    <mergeCell ref="A348:A349"/>
    <mergeCell ref="B348:B349"/>
    <mergeCell ref="A381:A382"/>
    <mergeCell ref="B381:B382"/>
    <mergeCell ref="B358:B359"/>
    <mergeCell ref="B373:B374"/>
    <mergeCell ref="A364:A365"/>
    <mergeCell ref="B411:B412"/>
    <mergeCell ref="A409:A410"/>
    <mergeCell ref="A362:A363"/>
    <mergeCell ref="B362:B363"/>
    <mergeCell ref="A358:A359"/>
    <mergeCell ref="A483:A484"/>
    <mergeCell ref="B483:B484"/>
    <mergeCell ref="B364:B365"/>
    <mergeCell ref="A366:A367"/>
    <mergeCell ref="B366:B367"/>
    <mergeCell ref="A377:A378"/>
    <mergeCell ref="B377:B378"/>
    <mergeCell ref="A387:A388"/>
    <mergeCell ref="B387:B388"/>
    <mergeCell ref="A385:A386"/>
    <mergeCell ref="B385:B386"/>
    <mergeCell ref="A375:A376"/>
    <mergeCell ref="B375:B376"/>
    <mergeCell ref="A419:A420"/>
    <mergeCell ref="B419:B420"/>
    <mergeCell ref="A417:A418"/>
    <mergeCell ref="B417:B418"/>
    <mergeCell ref="B415:B416"/>
    <mergeCell ref="B391:B392"/>
    <mergeCell ref="A383:A384"/>
    <mergeCell ref="B383:B384"/>
    <mergeCell ref="A326:A327"/>
    <mergeCell ref="A300:A301"/>
    <mergeCell ref="B300:B301"/>
    <mergeCell ref="A322:A323"/>
    <mergeCell ref="B322:B323"/>
    <mergeCell ref="A310:A311"/>
    <mergeCell ref="B310:B311"/>
    <mergeCell ref="A306:A307"/>
    <mergeCell ref="B306:B307"/>
    <mergeCell ref="B316:B317"/>
    <mergeCell ref="A320:A321"/>
    <mergeCell ref="B320:B321"/>
    <mergeCell ref="A318:A319"/>
    <mergeCell ref="B318:B319"/>
    <mergeCell ref="A336:A337"/>
    <mergeCell ref="B336:B337"/>
    <mergeCell ref="A338:A339"/>
    <mergeCell ref="B338:B339"/>
    <mergeCell ref="A330:A331"/>
    <mergeCell ref="B330:B331"/>
    <mergeCell ref="A342:A343"/>
    <mergeCell ref="A340:A341"/>
    <mergeCell ref="B340:B341"/>
    <mergeCell ref="A373:A374"/>
    <mergeCell ref="A352:A353"/>
    <mergeCell ref="B352:B353"/>
    <mergeCell ref="A354:A355"/>
    <mergeCell ref="B354:B355"/>
    <mergeCell ref="A346:A347"/>
    <mergeCell ref="B346:B347"/>
    <mergeCell ref="A350:A351"/>
    <mergeCell ref="A304:A305"/>
    <mergeCell ref="B304:B305"/>
    <mergeCell ref="A302:A303"/>
    <mergeCell ref="B302:B303"/>
    <mergeCell ref="A334:A335"/>
    <mergeCell ref="B334:B335"/>
    <mergeCell ref="A332:A333"/>
    <mergeCell ref="B332:B333"/>
    <mergeCell ref="A316:A317"/>
    <mergeCell ref="A274:A275"/>
    <mergeCell ref="B274:B275"/>
    <mergeCell ref="A312:A313"/>
    <mergeCell ref="B312:B313"/>
    <mergeCell ref="A276:A277"/>
    <mergeCell ref="B276:B277"/>
    <mergeCell ref="A278:A279"/>
    <mergeCell ref="B278:B279"/>
    <mergeCell ref="A308:A309"/>
    <mergeCell ref="B308:B309"/>
    <mergeCell ref="A288:A289"/>
    <mergeCell ref="B288:B289"/>
    <mergeCell ref="A290:A291"/>
    <mergeCell ref="A294:A295"/>
    <mergeCell ref="B294:B295"/>
    <mergeCell ref="A298:A299"/>
    <mergeCell ref="B298:B299"/>
    <mergeCell ref="B290:B291"/>
    <mergeCell ref="A282:A283"/>
    <mergeCell ref="B282:B283"/>
    <mergeCell ref="A284:A285"/>
    <mergeCell ref="B284:B285"/>
    <mergeCell ref="B326:B327"/>
    <mergeCell ref="A324:A325"/>
    <mergeCell ref="B324:B325"/>
    <mergeCell ref="A292:A293"/>
    <mergeCell ref="B292:B293"/>
    <mergeCell ref="A272:A273"/>
    <mergeCell ref="B272:B273"/>
    <mergeCell ref="A286:A287"/>
    <mergeCell ref="B286:B287"/>
    <mergeCell ref="A266:A267"/>
    <mergeCell ref="B266:B267"/>
    <mergeCell ref="A268:A269"/>
    <mergeCell ref="B268:B269"/>
    <mergeCell ref="A270:A271"/>
    <mergeCell ref="B270:B271"/>
    <mergeCell ref="B222:B223"/>
    <mergeCell ref="A216:A217"/>
    <mergeCell ref="B216:B217"/>
    <mergeCell ref="B262:B263"/>
    <mergeCell ref="A256:A257"/>
    <mergeCell ref="B256:B257"/>
    <mergeCell ref="A260:A261"/>
    <mergeCell ref="B260:B261"/>
    <mergeCell ref="A258:A259"/>
    <mergeCell ref="B258:B259"/>
    <mergeCell ref="B196:B197"/>
    <mergeCell ref="A252:A253"/>
    <mergeCell ref="B252:B253"/>
    <mergeCell ref="A208:A209"/>
    <mergeCell ref="B208:B209"/>
    <mergeCell ref="A224:A225"/>
    <mergeCell ref="B224:B225"/>
    <mergeCell ref="A220:A221"/>
    <mergeCell ref="B220:B221"/>
    <mergeCell ref="A222:A223"/>
    <mergeCell ref="B246:B247"/>
    <mergeCell ref="A230:A231"/>
    <mergeCell ref="B230:B231"/>
    <mergeCell ref="A200:A201"/>
    <mergeCell ref="B200:B201"/>
    <mergeCell ref="A218:A219"/>
    <mergeCell ref="B218:B219"/>
    <mergeCell ref="A228:A229"/>
    <mergeCell ref="A206:A207"/>
    <mergeCell ref="B206:B207"/>
    <mergeCell ref="A165:A166"/>
    <mergeCell ref="B165:B166"/>
    <mergeCell ref="A182:A183"/>
    <mergeCell ref="B182:B183"/>
    <mergeCell ref="A178:A179"/>
    <mergeCell ref="B178:B179"/>
    <mergeCell ref="B186:B187"/>
    <mergeCell ref="A191:A192"/>
    <mergeCell ref="B191:B192"/>
    <mergeCell ref="B204:B205"/>
    <mergeCell ref="A214:A215"/>
    <mergeCell ref="B214:B215"/>
    <mergeCell ref="A212:A213"/>
    <mergeCell ref="B212:B213"/>
    <mergeCell ref="A204:A205"/>
    <mergeCell ref="A196:A197"/>
    <mergeCell ref="B157:B158"/>
    <mergeCell ref="A155:A156"/>
    <mergeCell ref="B155:B156"/>
    <mergeCell ref="A153:A154"/>
    <mergeCell ref="B153:B154"/>
    <mergeCell ref="A198:A199"/>
    <mergeCell ref="B198:B199"/>
    <mergeCell ref="A172:A173"/>
    <mergeCell ref="B172:B173"/>
    <mergeCell ref="A186:A187"/>
    <mergeCell ref="A145:A146"/>
    <mergeCell ref="B145:B146"/>
    <mergeCell ref="A151:A152"/>
    <mergeCell ref="B151:B152"/>
    <mergeCell ref="A149:A150"/>
    <mergeCell ref="B149:B150"/>
    <mergeCell ref="B147:B148"/>
    <mergeCell ref="A174:A175"/>
    <mergeCell ref="B174:B175"/>
    <mergeCell ref="A163:A164"/>
    <mergeCell ref="B163:B164"/>
    <mergeCell ref="A167:A168"/>
    <mergeCell ref="B167:B168"/>
    <mergeCell ref="A161:A162"/>
    <mergeCell ref="B161:B162"/>
    <mergeCell ref="A157:A158"/>
    <mergeCell ref="A129:A130"/>
    <mergeCell ref="B129:B130"/>
    <mergeCell ref="A135:A136"/>
    <mergeCell ref="B135:B136"/>
    <mergeCell ref="A137:A138"/>
    <mergeCell ref="B137:B138"/>
    <mergeCell ref="B143:B144"/>
    <mergeCell ref="A141:A142"/>
    <mergeCell ref="B141:B142"/>
    <mergeCell ref="A131:A132"/>
    <mergeCell ref="B131:B132"/>
    <mergeCell ref="B228:B229"/>
    <mergeCell ref="A210:A211"/>
    <mergeCell ref="B210:B211"/>
    <mergeCell ref="A143:A144"/>
    <mergeCell ref="A147:A148"/>
    <mergeCell ref="A103:A104"/>
    <mergeCell ref="B103:B104"/>
    <mergeCell ref="A117:A118"/>
    <mergeCell ref="B117:B118"/>
    <mergeCell ref="A115:A116"/>
    <mergeCell ref="B115:B116"/>
    <mergeCell ref="A113:A114"/>
    <mergeCell ref="B113:B114"/>
    <mergeCell ref="A109:A110"/>
    <mergeCell ref="B109:B110"/>
    <mergeCell ref="A107:A108"/>
    <mergeCell ref="B107:B108"/>
    <mergeCell ref="A111:A112"/>
    <mergeCell ref="B111:B112"/>
    <mergeCell ref="B105:B106"/>
    <mergeCell ref="A125:A126"/>
    <mergeCell ref="B125:B126"/>
    <mergeCell ref="A119:A120"/>
    <mergeCell ref="B119:B120"/>
    <mergeCell ref="A123:A124"/>
    <mergeCell ref="B123:B124"/>
    <mergeCell ref="B79:B80"/>
    <mergeCell ref="A91:A92"/>
    <mergeCell ref="B91:B92"/>
    <mergeCell ref="A89:A90"/>
    <mergeCell ref="B89:B90"/>
    <mergeCell ref="A87:A88"/>
    <mergeCell ref="A77:A78"/>
    <mergeCell ref="B77:B78"/>
    <mergeCell ref="A97:A98"/>
    <mergeCell ref="B97:B98"/>
    <mergeCell ref="A85:A86"/>
    <mergeCell ref="B85:B86"/>
    <mergeCell ref="A83:A84"/>
    <mergeCell ref="B83:B84"/>
    <mergeCell ref="A81:A82"/>
    <mergeCell ref="A79:A80"/>
    <mergeCell ref="B81:B82"/>
    <mergeCell ref="A93:A94"/>
    <mergeCell ref="B93:B94"/>
    <mergeCell ref="A101:A102"/>
    <mergeCell ref="B101:B102"/>
    <mergeCell ref="B87:B88"/>
    <mergeCell ref="A99:A100"/>
    <mergeCell ref="B99:B100"/>
    <mergeCell ref="A105:A106"/>
    <mergeCell ref="B39:B40"/>
    <mergeCell ref="A37:A38"/>
    <mergeCell ref="B37:B38"/>
    <mergeCell ref="A71:A72"/>
    <mergeCell ref="B71:B72"/>
    <mergeCell ref="A65:A66"/>
    <mergeCell ref="B65:B66"/>
    <mergeCell ref="A59:A60"/>
    <mergeCell ref="B59:B60"/>
    <mergeCell ref="A4:A6"/>
    <mergeCell ref="B4:B6"/>
    <mergeCell ref="A11:A12"/>
    <mergeCell ref="B11:B12"/>
    <mergeCell ref="A45:A46"/>
    <mergeCell ref="B45:B46"/>
    <mergeCell ref="A41:A42"/>
    <mergeCell ref="B41:B42"/>
    <mergeCell ref="A21:A22"/>
    <mergeCell ref="B21:B22"/>
    <mergeCell ref="A43:A44"/>
    <mergeCell ref="B43:B44"/>
    <mergeCell ref="A31:A32"/>
    <mergeCell ref="B31:B32"/>
    <mergeCell ref="A25:A26"/>
    <mergeCell ref="B25:B26"/>
    <mergeCell ref="A29:A30"/>
    <mergeCell ref="B29:B30"/>
    <mergeCell ref="A33:A34"/>
    <mergeCell ref="B33:B34"/>
    <mergeCell ref="A55:A56"/>
    <mergeCell ref="B55:B56"/>
    <mergeCell ref="A63:A64"/>
    <mergeCell ref="B63:B64"/>
    <mergeCell ref="A61:A62"/>
    <mergeCell ref="B61:B62"/>
    <mergeCell ref="B57:B58"/>
    <mergeCell ref="A13:A14"/>
    <mergeCell ref="B13:B14"/>
    <mergeCell ref="A15:A16"/>
    <mergeCell ref="B15:B16"/>
    <mergeCell ref="A75:A76"/>
    <mergeCell ref="B75:B76"/>
    <mergeCell ref="A73:A74"/>
    <mergeCell ref="B73:B74"/>
    <mergeCell ref="A53:A54"/>
    <mergeCell ref="B53:B54"/>
    <mergeCell ref="B69:B70"/>
    <mergeCell ref="A17:A18"/>
    <mergeCell ref="B17:B18"/>
    <mergeCell ref="A19:A20"/>
    <mergeCell ref="B19:B20"/>
    <mergeCell ref="A51:A52"/>
    <mergeCell ref="B51:B52"/>
    <mergeCell ref="A49:A50"/>
    <mergeCell ref="B49:B50"/>
    <mergeCell ref="A57:A58"/>
    <mergeCell ref="B397:B398"/>
    <mergeCell ref="A391:A392"/>
    <mergeCell ref="A27:A28"/>
    <mergeCell ref="B27:B28"/>
    <mergeCell ref="A47:A48"/>
    <mergeCell ref="B47:B48"/>
    <mergeCell ref="A35:A36"/>
    <mergeCell ref="B35:B36"/>
    <mergeCell ref="A39:A40"/>
    <mergeCell ref="A69:A70"/>
    <mergeCell ref="A236:A237"/>
    <mergeCell ref="B236:B237"/>
    <mergeCell ref="B234:B235"/>
    <mergeCell ref="A437:A438"/>
    <mergeCell ref="B437:B438"/>
    <mergeCell ref="A395:A396"/>
    <mergeCell ref="B395:B396"/>
    <mergeCell ref="A393:A394"/>
    <mergeCell ref="B393:B394"/>
    <mergeCell ref="A397:A398"/>
    <mergeCell ref="A264:A265"/>
    <mergeCell ref="B264:B265"/>
    <mergeCell ref="A262:A263"/>
    <mergeCell ref="A244:A245"/>
    <mergeCell ref="B244:B245"/>
    <mergeCell ref="A254:A255"/>
    <mergeCell ref="B254:B255"/>
    <mergeCell ref="A250:A251"/>
    <mergeCell ref="B250:B251"/>
    <mergeCell ref="A246:A247"/>
    <mergeCell ref="A234:A235"/>
    <mergeCell ref="E19:E20"/>
    <mergeCell ref="D17:D18"/>
    <mergeCell ref="E17:E18"/>
    <mergeCell ref="A242:A243"/>
    <mergeCell ref="B242:B243"/>
    <mergeCell ref="A232:A233"/>
    <mergeCell ref="B232:B233"/>
    <mergeCell ref="A240:A241"/>
    <mergeCell ref="B240:B241"/>
    <mergeCell ref="A546:A547"/>
    <mergeCell ref="B546:B547"/>
    <mergeCell ref="A544:A545"/>
    <mergeCell ref="B544:B545"/>
    <mergeCell ref="B409:B410"/>
    <mergeCell ref="F17:F18"/>
    <mergeCell ref="A401:A402"/>
    <mergeCell ref="B401:B402"/>
    <mergeCell ref="B399:B400"/>
    <mergeCell ref="A238:A239"/>
    <mergeCell ref="A542:A543"/>
    <mergeCell ref="B542:B543"/>
    <mergeCell ref="A538:A539"/>
    <mergeCell ref="B350:B351"/>
    <mergeCell ref="B431:B432"/>
    <mergeCell ref="B453:B454"/>
    <mergeCell ref="B447:B448"/>
    <mergeCell ref="B443:B444"/>
    <mergeCell ref="B451:B452"/>
    <mergeCell ref="A399:A400"/>
    <mergeCell ref="B538:B539"/>
    <mergeCell ref="B461:B462"/>
    <mergeCell ref="B485:B486"/>
    <mergeCell ref="F19:F20"/>
    <mergeCell ref="B413:B414"/>
    <mergeCell ref="B423:B424"/>
    <mergeCell ref="B429:B430"/>
    <mergeCell ref="B342:B343"/>
    <mergeCell ref="B238:B239"/>
    <mergeCell ref="D19:D20"/>
    <mergeCell ref="A453:A454"/>
    <mergeCell ref="A461:A462"/>
    <mergeCell ref="A443:A444"/>
    <mergeCell ref="C19:C20"/>
    <mergeCell ref="C21:C22"/>
    <mergeCell ref="C41:C42"/>
    <mergeCell ref="A451:A452"/>
    <mergeCell ref="A415:A416"/>
    <mergeCell ref="A407:A408"/>
    <mergeCell ref="B407:B408"/>
    <mergeCell ref="D21:D22"/>
    <mergeCell ref="D51:D52"/>
    <mergeCell ref="E51:E52"/>
    <mergeCell ref="C53:C54"/>
    <mergeCell ref="D53:D54"/>
    <mergeCell ref="E53:E54"/>
    <mergeCell ref="D25:D26"/>
    <mergeCell ref="E25:E26"/>
    <mergeCell ref="C27:C28"/>
    <mergeCell ref="E35:E36"/>
    <mergeCell ref="B449:B450"/>
    <mergeCell ref="A413:A414"/>
    <mergeCell ref="A423:A424"/>
    <mergeCell ref="A429:A430"/>
    <mergeCell ref="A431:A432"/>
    <mergeCell ref="B441:B442"/>
    <mergeCell ref="A447:A448"/>
    <mergeCell ref="A427:A428"/>
    <mergeCell ref="B427:B428"/>
    <mergeCell ref="A403:A404"/>
    <mergeCell ref="B403:B404"/>
    <mergeCell ref="A411:A412"/>
    <mergeCell ref="AE4:AJ5"/>
    <mergeCell ref="N11:N12"/>
    <mergeCell ref="O11:O12"/>
    <mergeCell ref="R11:R12"/>
    <mergeCell ref="S11:S12"/>
    <mergeCell ref="H21:H22"/>
    <mergeCell ref="Y11:Y12"/>
    <mergeCell ref="AK4:AL6"/>
    <mergeCell ref="T5:T6"/>
    <mergeCell ref="U5:V5"/>
    <mergeCell ref="Z4:Z6"/>
    <mergeCell ref="AI6:AJ6"/>
    <mergeCell ref="AA4:AA6"/>
    <mergeCell ref="X4:X6"/>
    <mergeCell ref="C2:X2"/>
    <mergeCell ref="G3:S3"/>
    <mergeCell ref="C4:D6"/>
    <mergeCell ref="E4:E6"/>
    <mergeCell ref="F4:F6"/>
    <mergeCell ref="G4:N4"/>
    <mergeCell ref="O4:P4"/>
    <mergeCell ref="Q4:S4"/>
    <mergeCell ref="T4:V4"/>
    <mergeCell ref="W4:W6"/>
    <mergeCell ref="N13:N14"/>
    <mergeCell ref="O13:O14"/>
    <mergeCell ref="T11:T12"/>
    <mergeCell ref="U11:U12"/>
    <mergeCell ref="X13:X14"/>
    <mergeCell ref="T13:T14"/>
    <mergeCell ref="AC11:AC12"/>
    <mergeCell ref="G11:G12"/>
    <mergeCell ref="V11:V12"/>
    <mergeCell ref="Q11:Q12"/>
    <mergeCell ref="Z11:Z12"/>
    <mergeCell ref="AA11:AA12"/>
    <mergeCell ref="C9:D9"/>
    <mergeCell ref="C10:D10"/>
    <mergeCell ref="C11:C12"/>
    <mergeCell ref="D11:D12"/>
    <mergeCell ref="AD11:AD12"/>
    <mergeCell ref="C13:C14"/>
    <mergeCell ref="D13:D14"/>
    <mergeCell ref="E13:E14"/>
    <mergeCell ref="F13:F14"/>
    <mergeCell ref="G13:G14"/>
    <mergeCell ref="A596:A597"/>
    <mergeCell ref="B596:B597"/>
    <mergeCell ref="E11:E12"/>
    <mergeCell ref="F11:F12"/>
    <mergeCell ref="A457:A458"/>
    <mergeCell ref="A463:A464"/>
    <mergeCell ref="A449:A450"/>
    <mergeCell ref="C17:C18"/>
    <mergeCell ref="A439:A440"/>
    <mergeCell ref="A441:A442"/>
    <mergeCell ref="G19:G20"/>
    <mergeCell ref="F25:F26"/>
    <mergeCell ref="B576:B577"/>
    <mergeCell ref="B459:B460"/>
    <mergeCell ref="B457:B458"/>
    <mergeCell ref="B463:B464"/>
    <mergeCell ref="C25:C26"/>
    <mergeCell ref="C51:C52"/>
    <mergeCell ref="C55:C56"/>
    <mergeCell ref="B439:B440"/>
    <mergeCell ref="AP6:AQ6"/>
    <mergeCell ref="Z13:Z14"/>
    <mergeCell ref="AA13:AA14"/>
    <mergeCell ref="AE6:AF6"/>
    <mergeCell ref="AG6:AH6"/>
    <mergeCell ref="AB13:AB14"/>
    <mergeCell ref="AB4:AB6"/>
    <mergeCell ref="AN4:AO6"/>
    <mergeCell ref="AB11:AB12"/>
    <mergeCell ref="AD13:AD14"/>
    <mergeCell ref="AP4:AS5"/>
    <mergeCell ref="G5:G6"/>
    <mergeCell ref="H5:M5"/>
    <mergeCell ref="N5:N6"/>
    <mergeCell ref="O5:O6"/>
    <mergeCell ref="P5:P6"/>
    <mergeCell ref="AC4:AC6"/>
    <mergeCell ref="AD4:AD6"/>
    <mergeCell ref="Y4:Y6"/>
    <mergeCell ref="AM4:AM6"/>
    <mergeCell ref="P11:P12"/>
    <mergeCell ref="P13:P14"/>
    <mergeCell ref="H11:H12"/>
    <mergeCell ref="I11:I12"/>
    <mergeCell ref="M11:M12"/>
    <mergeCell ref="AC13:AC14"/>
    <mergeCell ref="K11:K12"/>
    <mergeCell ref="L11:L12"/>
    <mergeCell ref="Q13:Q14"/>
    <mergeCell ref="U13:U14"/>
    <mergeCell ref="F15:F16"/>
    <mergeCell ref="G15:G16"/>
    <mergeCell ref="A550:A551"/>
    <mergeCell ref="B550:B551"/>
    <mergeCell ref="Q5:Q6"/>
    <mergeCell ref="R5:S5"/>
    <mergeCell ref="R13:R14"/>
    <mergeCell ref="S13:S14"/>
    <mergeCell ref="J13:J14"/>
    <mergeCell ref="J11:J12"/>
    <mergeCell ref="M25:M26"/>
    <mergeCell ref="T25:T26"/>
    <mergeCell ref="C7:D7"/>
    <mergeCell ref="J15:J16"/>
    <mergeCell ref="G25:G26"/>
    <mergeCell ref="H25:H26"/>
    <mergeCell ref="J25:J26"/>
    <mergeCell ref="C15:C16"/>
    <mergeCell ref="D15:D16"/>
    <mergeCell ref="E15:E16"/>
    <mergeCell ref="A576:A577"/>
    <mergeCell ref="W11:W12"/>
    <mergeCell ref="X11:X12"/>
    <mergeCell ref="G17:G18"/>
    <mergeCell ref="I17:I18"/>
    <mergeCell ref="J17:J18"/>
    <mergeCell ref="A455:A456"/>
    <mergeCell ref="B455:B456"/>
    <mergeCell ref="A459:A460"/>
    <mergeCell ref="T19:T20"/>
    <mergeCell ref="L21:L22"/>
    <mergeCell ref="M21:M22"/>
    <mergeCell ref="I15:I16"/>
    <mergeCell ref="R15:R16"/>
    <mergeCell ref="S15:S16"/>
    <mergeCell ref="L15:L16"/>
    <mergeCell ref="M15:M16"/>
    <mergeCell ref="N15:N16"/>
    <mergeCell ref="O15:O16"/>
    <mergeCell ref="P15:P16"/>
    <mergeCell ref="N21:N22"/>
    <mergeCell ref="O21:O22"/>
    <mergeCell ref="U19:U20"/>
    <mergeCell ref="I19:I20"/>
    <mergeCell ref="Q19:Q20"/>
    <mergeCell ref="R19:R20"/>
    <mergeCell ref="S19:S20"/>
    <mergeCell ref="R21:R22"/>
    <mergeCell ref="I21:I22"/>
    <mergeCell ref="J21:J22"/>
    <mergeCell ref="AD15:AD16"/>
    <mergeCell ref="K13:K14"/>
    <mergeCell ref="L13:L14"/>
    <mergeCell ref="M13:M14"/>
    <mergeCell ref="X15:X16"/>
    <mergeCell ref="Y15:Y16"/>
    <mergeCell ref="Z15:Z16"/>
    <mergeCell ref="AA15:AA16"/>
    <mergeCell ref="Q15:Q16"/>
    <mergeCell ref="V13:V14"/>
    <mergeCell ref="Y13:Y14"/>
    <mergeCell ref="U17:U18"/>
    <mergeCell ref="V17:V18"/>
    <mergeCell ref="W17:W18"/>
    <mergeCell ref="X17:X18"/>
    <mergeCell ref="V19:V20"/>
    <mergeCell ref="W19:W20"/>
    <mergeCell ref="W13:W14"/>
    <mergeCell ref="Q17:Q18"/>
    <mergeCell ref="R17:R18"/>
    <mergeCell ref="S17:S18"/>
    <mergeCell ref="AB15:AB16"/>
    <mergeCell ref="AC15:AC16"/>
    <mergeCell ref="V15:V16"/>
    <mergeCell ref="W15:W16"/>
    <mergeCell ref="T15:T16"/>
    <mergeCell ref="U15:U16"/>
    <mergeCell ref="AA17:AA18"/>
    <mergeCell ref="AC17:AC18"/>
    <mergeCell ref="AD17:AD18"/>
    <mergeCell ref="N17:N18"/>
    <mergeCell ref="O17:O18"/>
    <mergeCell ref="Z17:Z18"/>
    <mergeCell ref="AB17:AB18"/>
    <mergeCell ref="T17:T18"/>
    <mergeCell ref="Y17:Y18"/>
    <mergeCell ref="P17:P18"/>
    <mergeCell ref="M19:M20"/>
    <mergeCell ref="N19:N20"/>
    <mergeCell ref="O19:O20"/>
    <mergeCell ref="AB19:AB20"/>
    <mergeCell ref="AC19:AC20"/>
    <mergeCell ref="AD19:AD20"/>
    <mergeCell ref="W21:W22"/>
    <mergeCell ref="Z19:Z20"/>
    <mergeCell ref="AA19:AA20"/>
    <mergeCell ref="X19:X20"/>
    <mergeCell ref="Y19:Y20"/>
    <mergeCell ref="E21:E22"/>
    <mergeCell ref="F21:F22"/>
    <mergeCell ref="G21:G22"/>
    <mergeCell ref="J19:J20"/>
    <mergeCell ref="L19:L20"/>
    <mergeCell ref="L17:L18"/>
    <mergeCell ref="M17:M18"/>
    <mergeCell ref="P19:P20"/>
    <mergeCell ref="U27:U28"/>
    <mergeCell ref="U21:U22"/>
    <mergeCell ref="S27:S28"/>
    <mergeCell ref="T27:T28"/>
    <mergeCell ref="P27:P28"/>
    <mergeCell ref="Q27:Q28"/>
    <mergeCell ref="R27:R28"/>
    <mergeCell ref="AD21:AD22"/>
    <mergeCell ref="C24:D24"/>
    <mergeCell ref="X21:X22"/>
    <mergeCell ref="Y21:Y22"/>
    <mergeCell ref="Z21:Z22"/>
    <mergeCell ref="AA21:AA22"/>
    <mergeCell ref="S21:S22"/>
    <mergeCell ref="T21:T22"/>
    <mergeCell ref="AB21:AB22"/>
    <mergeCell ref="AC21:AC22"/>
    <mergeCell ref="Y25:Y26"/>
    <mergeCell ref="Y27:Y28"/>
    <mergeCell ref="Z27:Z28"/>
    <mergeCell ref="AA27:AA28"/>
    <mergeCell ref="V21:V22"/>
    <mergeCell ref="P21:P22"/>
    <mergeCell ref="Q21:Q22"/>
    <mergeCell ref="U25:U26"/>
    <mergeCell ref="V25:V26"/>
    <mergeCell ref="V27:V28"/>
    <mergeCell ref="AA25:AA26"/>
    <mergeCell ref="AD27:AD28"/>
    <mergeCell ref="AB27:AB28"/>
    <mergeCell ref="AC27:AC28"/>
    <mergeCell ref="AB25:AB26"/>
    <mergeCell ref="AC25:AC26"/>
    <mergeCell ref="AD25:AD26"/>
    <mergeCell ref="C29:C30"/>
    <mergeCell ref="D29:D30"/>
    <mergeCell ref="E29:E30"/>
    <mergeCell ref="F29:F30"/>
    <mergeCell ref="W25:W26"/>
    <mergeCell ref="X25:X26"/>
    <mergeCell ref="N25:N26"/>
    <mergeCell ref="W27:W28"/>
    <mergeCell ref="K25:K26"/>
    <mergeCell ref="L25:L26"/>
    <mergeCell ref="G29:G30"/>
    <mergeCell ref="H27:H28"/>
    <mergeCell ref="J27:J28"/>
    <mergeCell ref="Z25:Z26"/>
    <mergeCell ref="S25:S26"/>
    <mergeCell ref="O25:O26"/>
    <mergeCell ref="P25:P26"/>
    <mergeCell ref="Q25:Q26"/>
    <mergeCell ref="R25:R26"/>
    <mergeCell ref="X27:X28"/>
    <mergeCell ref="U29:U30"/>
    <mergeCell ref="V29:V30"/>
    <mergeCell ref="W29:W30"/>
    <mergeCell ref="C31:C32"/>
    <mergeCell ref="D31:D32"/>
    <mergeCell ref="E31:E32"/>
    <mergeCell ref="F31:F32"/>
    <mergeCell ref="G31:G32"/>
    <mergeCell ref="H31:H32"/>
    <mergeCell ref="P29:P30"/>
    <mergeCell ref="L27:L28"/>
    <mergeCell ref="M27:M28"/>
    <mergeCell ref="N27:N28"/>
    <mergeCell ref="D27:D28"/>
    <mergeCell ref="E27:E28"/>
    <mergeCell ref="F27:F28"/>
    <mergeCell ref="G27:G28"/>
    <mergeCell ref="Z29:Z30"/>
    <mergeCell ref="O27:O28"/>
    <mergeCell ref="H29:H30"/>
    <mergeCell ref="J29:J30"/>
    <mergeCell ref="K29:K30"/>
    <mergeCell ref="L29:L30"/>
    <mergeCell ref="M29:M30"/>
    <mergeCell ref="N29:N30"/>
    <mergeCell ref="O29:O30"/>
    <mergeCell ref="K27:K28"/>
    <mergeCell ref="O31:O32"/>
    <mergeCell ref="AA33:AA34"/>
    <mergeCell ref="X33:X34"/>
    <mergeCell ref="Y33:Y34"/>
    <mergeCell ref="Q29:Q30"/>
    <mergeCell ref="R29:R30"/>
    <mergeCell ref="X31:X32"/>
    <mergeCell ref="Y31:Y32"/>
    <mergeCell ref="Z31:Z32"/>
    <mergeCell ref="Y29:Y30"/>
    <mergeCell ref="U31:U32"/>
    <mergeCell ref="S29:S30"/>
    <mergeCell ref="I31:I32"/>
    <mergeCell ref="J31:J32"/>
    <mergeCell ref="T29:T30"/>
    <mergeCell ref="R31:R32"/>
    <mergeCell ref="S31:S32"/>
    <mergeCell ref="K31:K32"/>
    <mergeCell ref="M31:M32"/>
    <mergeCell ref="N31:N32"/>
    <mergeCell ref="X29:X30"/>
    <mergeCell ref="AB33:AB34"/>
    <mergeCell ref="AC33:AC34"/>
    <mergeCell ref="AD33:AD34"/>
    <mergeCell ref="AA29:AA30"/>
    <mergeCell ref="AB29:AB30"/>
    <mergeCell ref="AC29:AC30"/>
    <mergeCell ref="AD29:AD30"/>
    <mergeCell ref="AC31:AC32"/>
    <mergeCell ref="AA31:AA32"/>
    <mergeCell ref="AB31:AB32"/>
    <mergeCell ref="T33:T34"/>
    <mergeCell ref="U33:U34"/>
    <mergeCell ref="O35:O36"/>
    <mergeCell ref="P35:P36"/>
    <mergeCell ref="P31:P32"/>
    <mergeCell ref="Q31:Q32"/>
    <mergeCell ref="V31:V32"/>
    <mergeCell ref="W31:W32"/>
    <mergeCell ref="T31:T32"/>
    <mergeCell ref="W33:W34"/>
    <mergeCell ref="Q35:Q36"/>
    <mergeCell ref="O33:O34"/>
    <mergeCell ref="H35:H36"/>
    <mergeCell ref="I35:I36"/>
    <mergeCell ref="J35:J36"/>
    <mergeCell ref="K35:K36"/>
    <mergeCell ref="U35:U36"/>
    <mergeCell ref="G33:G34"/>
    <mergeCell ref="AD31:AD32"/>
    <mergeCell ref="P33:P34"/>
    <mergeCell ref="Q33:Q34"/>
    <mergeCell ref="R33:R34"/>
    <mergeCell ref="S33:S34"/>
    <mergeCell ref="L35:L36"/>
    <mergeCell ref="M35:M36"/>
    <mergeCell ref="V33:V34"/>
    <mergeCell ref="L37:L38"/>
    <mergeCell ref="S35:S36"/>
    <mergeCell ref="AD35:AD36"/>
    <mergeCell ref="Z33:Z34"/>
    <mergeCell ref="E37:E38"/>
    <mergeCell ref="F37:F38"/>
    <mergeCell ref="G37:G38"/>
    <mergeCell ref="H37:H38"/>
    <mergeCell ref="J33:J34"/>
    <mergeCell ref="T35:T36"/>
    <mergeCell ref="T37:T38"/>
    <mergeCell ref="U37:U38"/>
    <mergeCell ref="P37:P38"/>
    <mergeCell ref="Q37:Q38"/>
    <mergeCell ref="R37:R38"/>
    <mergeCell ref="S37:S38"/>
    <mergeCell ref="C33:C34"/>
    <mergeCell ref="D33:D34"/>
    <mergeCell ref="E33:E34"/>
    <mergeCell ref="F33:F34"/>
    <mergeCell ref="C35:C36"/>
    <mergeCell ref="D35:D36"/>
    <mergeCell ref="H33:H34"/>
    <mergeCell ref="I33:I34"/>
    <mergeCell ref="N35:N36"/>
    <mergeCell ref="K33:K34"/>
    <mergeCell ref="M33:M34"/>
    <mergeCell ref="N33:N34"/>
    <mergeCell ref="I37:I38"/>
    <mergeCell ref="V35:V36"/>
    <mergeCell ref="F35:F36"/>
    <mergeCell ref="G35:G36"/>
    <mergeCell ref="AA35:AA36"/>
    <mergeCell ref="AB35:AB36"/>
    <mergeCell ref="W35:W36"/>
    <mergeCell ref="X35:X36"/>
    <mergeCell ref="Y35:Y36"/>
    <mergeCell ref="Z35:Z36"/>
    <mergeCell ref="M37:M38"/>
    <mergeCell ref="N37:N38"/>
    <mergeCell ref="O37:O38"/>
    <mergeCell ref="R35:R36"/>
    <mergeCell ref="AC35:AC36"/>
    <mergeCell ref="G41:G42"/>
    <mergeCell ref="H41:H42"/>
    <mergeCell ref="J37:J38"/>
    <mergeCell ref="K37:K38"/>
    <mergeCell ref="J41:J42"/>
    <mergeCell ref="AB37:AB38"/>
    <mergeCell ref="AC37:AC38"/>
    <mergeCell ref="V37:V38"/>
    <mergeCell ref="W37:W38"/>
    <mergeCell ref="X37:X38"/>
    <mergeCell ref="Y37:Y38"/>
    <mergeCell ref="Z37:Z38"/>
    <mergeCell ref="AA37:AA38"/>
    <mergeCell ref="V39:V40"/>
    <mergeCell ref="U41:U42"/>
    <mergeCell ref="AC41:AC42"/>
    <mergeCell ref="Y39:Y40"/>
    <mergeCell ref="AB39:AB40"/>
    <mergeCell ref="AC39:AC40"/>
    <mergeCell ref="U39:U40"/>
    <mergeCell ref="Z39:Z40"/>
    <mergeCell ref="AD37:AD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S39:S40"/>
    <mergeCell ref="I41:I42"/>
    <mergeCell ref="S41:S42"/>
    <mergeCell ref="K41:K42"/>
    <mergeCell ref="N41:N42"/>
    <mergeCell ref="O41:O42"/>
    <mergeCell ref="P41:P42"/>
    <mergeCell ref="Q39:Q40"/>
    <mergeCell ref="R39:R40"/>
    <mergeCell ref="N39:N40"/>
    <mergeCell ref="O39:O40"/>
    <mergeCell ref="P39:P40"/>
    <mergeCell ref="D41:D42"/>
    <mergeCell ref="E41:E42"/>
    <mergeCell ref="F41:F42"/>
    <mergeCell ref="X43:X44"/>
    <mergeCell ref="Y43:Y44"/>
    <mergeCell ref="Z43:Z44"/>
    <mergeCell ref="AA43:AA44"/>
    <mergeCell ref="C37:C38"/>
    <mergeCell ref="D37:D38"/>
    <mergeCell ref="Q41:Q42"/>
    <mergeCell ref="R41:R42"/>
    <mergeCell ref="T39:T40"/>
    <mergeCell ref="M39:M40"/>
    <mergeCell ref="T41:T42"/>
    <mergeCell ref="AA39:AA40"/>
    <mergeCell ref="T43:T44"/>
    <mergeCell ref="Z45:Z46"/>
    <mergeCell ref="AA45:AA46"/>
    <mergeCell ref="T45:T46"/>
    <mergeCell ref="U45:U46"/>
    <mergeCell ref="V45:V46"/>
    <mergeCell ref="W45:W46"/>
    <mergeCell ref="X45:X46"/>
    <mergeCell ref="AD39:AD40"/>
    <mergeCell ref="V41:V42"/>
    <mergeCell ref="W41:W42"/>
    <mergeCell ref="X41:X42"/>
    <mergeCell ref="Y41:Y42"/>
    <mergeCell ref="Z41:Z42"/>
    <mergeCell ref="W39:W40"/>
    <mergeCell ref="X39:X40"/>
    <mergeCell ref="AA41:AA42"/>
    <mergeCell ref="AB41:AB42"/>
    <mergeCell ref="AD41:AD42"/>
    <mergeCell ref="AB43:AB44"/>
    <mergeCell ref="AC43:AC44"/>
    <mergeCell ref="AD43:AD44"/>
    <mergeCell ref="Y45:Y46"/>
    <mergeCell ref="AB45:AB46"/>
    <mergeCell ref="AC45:AC46"/>
    <mergeCell ref="AD45:AD46"/>
    <mergeCell ref="J45:J46"/>
    <mergeCell ref="W43:W44"/>
    <mergeCell ref="R43:R44"/>
    <mergeCell ref="S43:S44"/>
    <mergeCell ref="K43:K44"/>
    <mergeCell ref="M43:M44"/>
    <mergeCell ref="N43:N44"/>
    <mergeCell ref="O43:O44"/>
    <mergeCell ref="U43:U44"/>
    <mergeCell ref="V43:V44"/>
    <mergeCell ref="C45:C46"/>
    <mergeCell ref="D45:D46"/>
    <mergeCell ref="E45:E46"/>
    <mergeCell ref="F45:F46"/>
    <mergeCell ref="G45:G46"/>
    <mergeCell ref="H45:H46"/>
    <mergeCell ref="V49:V50"/>
    <mergeCell ref="T51:T52"/>
    <mergeCell ref="V51:V52"/>
    <mergeCell ref="G43:G44"/>
    <mergeCell ref="H43:H44"/>
    <mergeCell ref="O45:O46"/>
    <mergeCell ref="P45:P46"/>
    <mergeCell ref="I43:I44"/>
    <mergeCell ref="J43:J44"/>
    <mergeCell ref="K45:K46"/>
    <mergeCell ref="C43:C44"/>
    <mergeCell ref="D43:D44"/>
    <mergeCell ref="E43:E44"/>
    <mergeCell ref="F43:F44"/>
    <mergeCell ref="T49:T50"/>
    <mergeCell ref="U49:U50"/>
    <mergeCell ref="L45:L46"/>
    <mergeCell ref="G47:G48"/>
    <mergeCell ref="H47:H48"/>
    <mergeCell ref="J47:J48"/>
    <mergeCell ref="S45:S46"/>
    <mergeCell ref="U51:U52"/>
    <mergeCell ref="Q45:Q46"/>
    <mergeCell ref="R45:R46"/>
    <mergeCell ref="R47:R48"/>
    <mergeCell ref="S47:S48"/>
    <mergeCell ref="T47:T48"/>
    <mergeCell ref="U47:U48"/>
    <mergeCell ref="P51:P52"/>
    <mergeCell ref="Q51:Q52"/>
    <mergeCell ref="K47:K48"/>
    <mergeCell ref="L47:L48"/>
    <mergeCell ref="P43:P44"/>
    <mergeCell ref="Q43:Q44"/>
    <mergeCell ref="O47:O48"/>
    <mergeCell ref="P47:P48"/>
    <mergeCell ref="Q47:Q48"/>
    <mergeCell ref="F51:F52"/>
    <mergeCell ref="G51:G52"/>
    <mergeCell ref="M45:M46"/>
    <mergeCell ref="N45:N46"/>
    <mergeCell ref="M49:M50"/>
    <mergeCell ref="N49:N50"/>
    <mergeCell ref="M47:M48"/>
    <mergeCell ref="N47:N48"/>
    <mergeCell ref="G49:G50"/>
    <mergeCell ref="H49:H50"/>
    <mergeCell ref="C49:C50"/>
    <mergeCell ref="D49:D50"/>
    <mergeCell ref="E49:E50"/>
    <mergeCell ref="F49:F50"/>
    <mergeCell ref="C47:C48"/>
    <mergeCell ref="D47:D48"/>
    <mergeCell ref="E47:E48"/>
    <mergeCell ref="F47:F48"/>
    <mergeCell ref="Q49:Q50"/>
    <mergeCell ref="R49:R50"/>
    <mergeCell ref="AD53:AD54"/>
    <mergeCell ref="AC47:AC48"/>
    <mergeCell ref="AD47:AD48"/>
    <mergeCell ref="W47:W48"/>
    <mergeCell ref="X47:X48"/>
    <mergeCell ref="Y47:Y48"/>
    <mergeCell ref="Y49:Y50"/>
    <mergeCell ref="Z49:Z50"/>
    <mergeCell ref="V47:V48"/>
    <mergeCell ref="S49:S50"/>
    <mergeCell ref="W49:W50"/>
    <mergeCell ref="X49:X50"/>
    <mergeCell ref="I49:I50"/>
    <mergeCell ref="J49:J50"/>
    <mergeCell ref="K49:K50"/>
    <mergeCell ref="L49:L50"/>
    <mergeCell ref="O49:O50"/>
    <mergeCell ref="P49:P50"/>
    <mergeCell ref="AC53:AC54"/>
    <mergeCell ref="AD49:AD50"/>
    <mergeCell ref="Z51:Z52"/>
    <mergeCell ref="AA51:AA52"/>
    <mergeCell ref="AB51:AB52"/>
    <mergeCell ref="AC51:AC52"/>
    <mergeCell ref="AD51:AD52"/>
    <mergeCell ref="AC49:AC50"/>
    <mergeCell ref="AA49:AA50"/>
    <mergeCell ref="AB49:AB50"/>
    <mergeCell ref="Z47:Z48"/>
    <mergeCell ref="AA47:AA48"/>
    <mergeCell ref="AB47:AB48"/>
    <mergeCell ref="Z53:Z54"/>
    <mergeCell ref="AA53:AA54"/>
    <mergeCell ref="AB53:AB54"/>
    <mergeCell ref="H51:H52"/>
    <mergeCell ref="I51:I52"/>
    <mergeCell ref="R51:R52"/>
    <mergeCell ref="S51:S52"/>
    <mergeCell ref="L51:L52"/>
    <mergeCell ref="M51:M52"/>
    <mergeCell ref="N51:N52"/>
    <mergeCell ref="O51:O52"/>
    <mergeCell ref="J51:J52"/>
    <mergeCell ref="K51:K52"/>
    <mergeCell ref="X53:X54"/>
    <mergeCell ref="L55:L56"/>
    <mergeCell ref="M55:M56"/>
    <mergeCell ref="N55:N56"/>
    <mergeCell ref="O55:O56"/>
    <mergeCell ref="Q53:Q54"/>
    <mergeCell ref="R53:R54"/>
    <mergeCell ref="O53:O54"/>
    <mergeCell ref="AA57:AA58"/>
    <mergeCell ref="AB57:AB58"/>
    <mergeCell ref="AA55:AA56"/>
    <mergeCell ref="W55:W56"/>
    <mergeCell ref="X55:X56"/>
    <mergeCell ref="Y57:Y58"/>
    <mergeCell ref="W57:W58"/>
    <mergeCell ref="X57:X58"/>
    <mergeCell ref="F53:F54"/>
    <mergeCell ref="G53:G54"/>
    <mergeCell ref="H53:H54"/>
    <mergeCell ref="I53:I54"/>
    <mergeCell ref="Y53:Y54"/>
    <mergeCell ref="W51:W52"/>
    <mergeCell ref="X51:X52"/>
    <mergeCell ref="Y51:Y52"/>
    <mergeCell ref="V53:V54"/>
    <mergeCell ref="W53:W54"/>
    <mergeCell ref="P53:P54"/>
    <mergeCell ref="S53:S54"/>
    <mergeCell ref="T53:T54"/>
    <mergeCell ref="U53:U54"/>
    <mergeCell ref="J53:J54"/>
    <mergeCell ref="K53:K54"/>
    <mergeCell ref="M53:M54"/>
    <mergeCell ref="N53:N54"/>
    <mergeCell ref="AB55:AB56"/>
    <mergeCell ref="P55:P56"/>
    <mergeCell ref="D55:D56"/>
    <mergeCell ref="E55:E56"/>
    <mergeCell ref="F55:F56"/>
    <mergeCell ref="G55:G56"/>
    <mergeCell ref="T55:T56"/>
    <mergeCell ref="U55:U56"/>
    <mergeCell ref="V55:V56"/>
    <mergeCell ref="AA59:AA60"/>
    <mergeCell ref="AB59:AB60"/>
    <mergeCell ref="O57:O58"/>
    <mergeCell ref="P57:P58"/>
    <mergeCell ref="AC55:AC56"/>
    <mergeCell ref="AD55:AD56"/>
    <mergeCell ref="AC57:AC58"/>
    <mergeCell ref="Y55:Y56"/>
    <mergeCell ref="Z55:Z56"/>
    <mergeCell ref="Z57:Z58"/>
    <mergeCell ref="G57:G58"/>
    <mergeCell ref="H57:H58"/>
    <mergeCell ref="I57:I58"/>
    <mergeCell ref="J57:J58"/>
    <mergeCell ref="Y59:Y60"/>
    <mergeCell ref="Z59:Z60"/>
    <mergeCell ref="V57:V58"/>
    <mergeCell ref="S57:S58"/>
    <mergeCell ref="T57:T58"/>
    <mergeCell ref="U57:U58"/>
    <mergeCell ref="Q55:Q56"/>
    <mergeCell ref="R55:R56"/>
    <mergeCell ref="S55:S56"/>
    <mergeCell ref="H55:H56"/>
    <mergeCell ref="I55:I56"/>
    <mergeCell ref="J55:J56"/>
    <mergeCell ref="K55:K56"/>
    <mergeCell ref="Y61:Y62"/>
    <mergeCell ref="Z61:Z62"/>
    <mergeCell ref="N63:N64"/>
    <mergeCell ref="O63:O64"/>
    <mergeCell ref="R63:R64"/>
    <mergeCell ref="S63:S64"/>
    <mergeCell ref="Z63:Z64"/>
    <mergeCell ref="P61:P62"/>
    <mergeCell ref="D57:D58"/>
    <mergeCell ref="E57:E58"/>
    <mergeCell ref="F57:F58"/>
    <mergeCell ref="AA61:AA62"/>
    <mergeCell ref="AD57:AD58"/>
    <mergeCell ref="Q57:Q58"/>
    <mergeCell ref="R57:R58"/>
    <mergeCell ref="AC59:AC60"/>
    <mergeCell ref="AD59:AD60"/>
    <mergeCell ref="U59:U60"/>
    <mergeCell ref="N57:N58"/>
    <mergeCell ref="Q61:Q62"/>
    <mergeCell ref="M59:M60"/>
    <mergeCell ref="N59:N60"/>
    <mergeCell ref="P59:P60"/>
    <mergeCell ref="C59:C60"/>
    <mergeCell ref="D59:D60"/>
    <mergeCell ref="E59:E60"/>
    <mergeCell ref="F59:F60"/>
    <mergeCell ref="C57:C58"/>
    <mergeCell ref="J61:J62"/>
    <mergeCell ref="K61:K62"/>
    <mergeCell ref="L61:L62"/>
    <mergeCell ref="M61:M62"/>
    <mergeCell ref="L57:L58"/>
    <mergeCell ref="M57:M58"/>
    <mergeCell ref="K57:K58"/>
    <mergeCell ref="Q59:Q60"/>
    <mergeCell ref="R59:R60"/>
    <mergeCell ref="S61:S62"/>
    <mergeCell ref="T61:T62"/>
    <mergeCell ref="N61:N62"/>
    <mergeCell ref="O61:O62"/>
    <mergeCell ref="R61:R62"/>
    <mergeCell ref="O59:O60"/>
    <mergeCell ref="G59:G60"/>
    <mergeCell ref="H59:H60"/>
    <mergeCell ref="K59:K60"/>
    <mergeCell ref="L59:L60"/>
    <mergeCell ref="I59:I60"/>
    <mergeCell ref="J59:J60"/>
    <mergeCell ref="AB61:AB62"/>
    <mergeCell ref="U61:U62"/>
    <mergeCell ref="V61:V62"/>
    <mergeCell ref="W61:W62"/>
    <mergeCell ref="X61:X62"/>
    <mergeCell ref="S59:S60"/>
    <mergeCell ref="T59:T60"/>
    <mergeCell ref="V59:V60"/>
    <mergeCell ref="W59:W60"/>
    <mergeCell ref="X59:X60"/>
    <mergeCell ref="AC61:AC62"/>
    <mergeCell ref="AD61:AD62"/>
    <mergeCell ref="C63:C64"/>
    <mergeCell ref="D63:D64"/>
    <mergeCell ref="E63:E64"/>
    <mergeCell ref="F63:F64"/>
    <mergeCell ref="G63:G64"/>
    <mergeCell ref="H63:H64"/>
    <mergeCell ref="T63:T64"/>
    <mergeCell ref="U63:U64"/>
    <mergeCell ref="C61:C62"/>
    <mergeCell ref="D61:D62"/>
    <mergeCell ref="P63:P64"/>
    <mergeCell ref="Q63:Q64"/>
    <mergeCell ref="K63:K64"/>
    <mergeCell ref="M63:M64"/>
    <mergeCell ref="E61:E62"/>
    <mergeCell ref="F61:F62"/>
    <mergeCell ref="G61:G62"/>
    <mergeCell ref="H61:H62"/>
    <mergeCell ref="AD63:AD64"/>
    <mergeCell ref="AB63:AB64"/>
    <mergeCell ref="AC63:AC64"/>
    <mergeCell ref="V63:V64"/>
    <mergeCell ref="W63:W64"/>
    <mergeCell ref="X63:X64"/>
    <mergeCell ref="Y63:Y64"/>
    <mergeCell ref="AA63:AA64"/>
    <mergeCell ref="G65:G66"/>
    <mergeCell ref="H65:H66"/>
    <mergeCell ref="I65:I66"/>
    <mergeCell ref="J65:J66"/>
    <mergeCell ref="C65:C66"/>
    <mergeCell ref="D65:D66"/>
    <mergeCell ref="E65:E66"/>
    <mergeCell ref="F65:F66"/>
    <mergeCell ref="K65:K66"/>
    <mergeCell ref="I63:I64"/>
    <mergeCell ref="J63:J64"/>
    <mergeCell ref="AD65:AD66"/>
    <mergeCell ref="S65:S66"/>
    <mergeCell ref="AC65:AC66"/>
    <mergeCell ref="AB65:AB66"/>
    <mergeCell ref="M65:M66"/>
    <mergeCell ref="W65:W66"/>
    <mergeCell ref="X65:X66"/>
    <mergeCell ref="AA69:AA70"/>
    <mergeCell ref="Y65:Y66"/>
    <mergeCell ref="Z65:Z66"/>
    <mergeCell ref="AA65:AA66"/>
    <mergeCell ref="U69:U70"/>
    <mergeCell ref="V69:V70"/>
    <mergeCell ref="W69:W70"/>
    <mergeCell ref="X69:X70"/>
    <mergeCell ref="C68:D68"/>
    <mergeCell ref="C69:C70"/>
    <mergeCell ref="D69:D70"/>
    <mergeCell ref="E69:E70"/>
    <mergeCell ref="Y69:Y70"/>
    <mergeCell ref="Z69:Z70"/>
    <mergeCell ref="O69:O70"/>
    <mergeCell ref="U65:U66"/>
    <mergeCell ref="V65:V66"/>
    <mergeCell ref="N65:N66"/>
    <mergeCell ref="O65:O66"/>
    <mergeCell ref="P65:P66"/>
    <mergeCell ref="Q65:Q66"/>
    <mergeCell ref="R65:R66"/>
    <mergeCell ref="T65:T66"/>
    <mergeCell ref="F69:F70"/>
    <mergeCell ref="G69:G70"/>
    <mergeCell ref="J69:J70"/>
    <mergeCell ref="AD69:AD70"/>
    <mergeCell ref="Q69:Q70"/>
    <mergeCell ref="R69:R70"/>
    <mergeCell ref="S69:S70"/>
    <mergeCell ref="T69:T70"/>
    <mergeCell ref="AC69:AC70"/>
    <mergeCell ref="N69:N70"/>
    <mergeCell ref="X71:X72"/>
    <mergeCell ref="Y71:Y72"/>
    <mergeCell ref="S73:S74"/>
    <mergeCell ref="T73:T74"/>
    <mergeCell ref="U73:U74"/>
    <mergeCell ref="V73:V74"/>
    <mergeCell ref="AD71:AD72"/>
    <mergeCell ref="W71:W72"/>
    <mergeCell ref="AC73:AC74"/>
    <mergeCell ref="AD73:AD74"/>
    <mergeCell ref="AC71:AC72"/>
    <mergeCell ref="AA71:AA72"/>
    <mergeCell ref="AB71:AB72"/>
    <mergeCell ref="Z71:Z72"/>
    <mergeCell ref="W73:W74"/>
    <mergeCell ref="X73:X74"/>
    <mergeCell ref="G73:G74"/>
    <mergeCell ref="H73:H74"/>
    <mergeCell ref="J73:J74"/>
    <mergeCell ref="P69:P70"/>
    <mergeCell ref="K69:K70"/>
    <mergeCell ref="L69:L70"/>
    <mergeCell ref="M69:M70"/>
    <mergeCell ref="N71:N72"/>
    <mergeCell ref="O71:O72"/>
    <mergeCell ref="M71:M72"/>
    <mergeCell ref="R73:R74"/>
    <mergeCell ref="AB69:AB70"/>
    <mergeCell ref="N73:N74"/>
    <mergeCell ref="O73:O74"/>
    <mergeCell ref="P73:P74"/>
    <mergeCell ref="Q73:Q74"/>
    <mergeCell ref="Y73:Y74"/>
    <mergeCell ref="Z73:Z74"/>
    <mergeCell ref="AA73:AA74"/>
    <mergeCell ref="AB73:AB74"/>
    <mergeCell ref="T71:T72"/>
    <mergeCell ref="U71:U72"/>
    <mergeCell ref="V71:V72"/>
    <mergeCell ref="P71:P72"/>
    <mergeCell ref="Q71:Q72"/>
    <mergeCell ref="R71:R72"/>
    <mergeCell ref="S71:S72"/>
    <mergeCell ref="C75:C76"/>
    <mergeCell ref="D75:D76"/>
    <mergeCell ref="E75:E76"/>
    <mergeCell ref="F75:F76"/>
    <mergeCell ref="M73:M74"/>
    <mergeCell ref="G75:G76"/>
    <mergeCell ref="H75:H76"/>
    <mergeCell ref="J75:J76"/>
    <mergeCell ref="K75:K76"/>
    <mergeCell ref="K73:K74"/>
    <mergeCell ref="P75:P76"/>
    <mergeCell ref="Q75:Q76"/>
    <mergeCell ref="L75:L76"/>
    <mergeCell ref="M75:M76"/>
    <mergeCell ref="N75:N76"/>
    <mergeCell ref="O75:O76"/>
    <mergeCell ref="C73:C74"/>
    <mergeCell ref="D73:D74"/>
    <mergeCell ref="E73:E74"/>
    <mergeCell ref="F73:F74"/>
    <mergeCell ref="C71:C72"/>
    <mergeCell ref="D71:D72"/>
    <mergeCell ref="E71:E72"/>
    <mergeCell ref="F71:F72"/>
    <mergeCell ref="L71:L72"/>
    <mergeCell ref="H77:H78"/>
    <mergeCell ref="J77:J78"/>
    <mergeCell ref="K77:K78"/>
    <mergeCell ref="L77:L78"/>
    <mergeCell ref="G71:G72"/>
    <mergeCell ref="H71:H72"/>
    <mergeCell ref="J71:J72"/>
    <mergeCell ref="K71:K72"/>
    <mergeCell ref="L73:L74"/>
    <mergeCell ref="S75:S76"/>
    <mergeCell ref="S77:S78"/>
    <mergeCell ref="T77:T78"/>
    <mergeCell ref="AB75:AB76"/>
    <mergeCell ref="AC75:AC76"/>
    <mergeCell ref="V75:V76"/>
    <mergeCell ref="W75:W76"/>
    <mergeCell ref="X75:X76"/>
    <mergeCell ref="Y75:Y76"/>
    <mergeCell ref="V77:V78"/>
    <mergeCell ref="W77:W78"/>
    <mergeCell ref="X77:X78"/>
    <mergeCell ref="T75:T76"/>
    <mergeCell ref="U75:U76"/>
    <mergeCell ref="M77:M78"/>
    <mergeCell ref="N77:N78"/>
    <mergeCell ref="O77:O78"/>
    <mergeCell ref="P77:P78"/>
    <mergeCell ref="R75:R76"/>
    <mergeCell ref="Q77:Q78"/>
    <mergeCell ref="R77:R78"/>
    <mergeCell ref="R79:R80"/>
    <mergeCell ref="AD75:AD76"/>
    <mergeCell ref="C77:C78"/>
    <mergeCell ref="D77:D78"/>
    <mergeCell ref="E77:E78"/>
    <mergeCell ref="F77:F78"/>
    <mergeCell ref="G77:G78"/>
    <mergeCell ref="U77:U78"/>
    <mergeCell ref="Q79:Q80"/>
    <mergeCell ref="C79:C80"/>
    <mergeCell ref="D79:D80"/>
    <mergeCell ref="E79:E80"/>
    <mergeCell ref="F79:F80"/>
    <mergeCell ref="J79:J80"/>
    <mergeCell ref="K79:K80"/>
    <mergeCell ref="U81:U82"/>
    <mergeCell ref="G79:G80"/>
    <mergeCell ref="H79:H80"/>
    <mergeCell ref="Z75:Z76"/>
    <mergeCell ref="AA75:AA76"/>
    <mergeCell ref="L79:L80"/>
    <mergeCell ref="M79:M80"/>
    <mergeCell ref="N79:N80"/>
    <mergeCell ref="O79:O80"/>
    <mergeCell ref="P79:P80"/>
    <mergeCell ref="AD83:AD84"/>
    <mergeCell ref="W81:W82"/>
    <mergeCell ref="X81:X82"/>
    <mergeCell ref="Y81:Y82"/>
    <mergeCell ref="Z81:Z82"/>
    <mergeCell ref="AC81:AC82"/>
    <mergeCell ref="Z77:Z78"/>
    <mergeCell ref="AA77:AA78"/>
    <mergeCell ref="AB77:AB78"/>
    <mergeCell ref="AA81:AA82"/>
    <mergeCell ref="AB81:AB82"/>
    <mergeCell ref="AB79:AB80"/>
    <mergeCell ref="G83:G84"/>
    <mergeCell ref="V81:V82"/>
    <mergeCell ref="AC77:AC78"/>
    <mergeCell ref="AD77:AD78"/>
    <mergeCell ref="U79:U80"/>
    <mergeCell ref="V79:V80"/>
    <mergeCell ref="W79:W80"/>
    <mergeCell ref="X79:X80"/>
    <mergeCell ref="Y79:Y80"/>
    <mergeCell ref="Z79:Z80"/>
    <mergeCell ref="AA83:AA84"/>
    <mergeCell ref="Y77:Y78"/>
    <mergeCell ref="C83:C84"/>
    <mergeCell ref="Q83:Q84"/>
    <mergeCell ref="J83:J84"/>
    <mergeCell ref="K83:K84"/>
    <mergeCell ref="L83:L84"/>
    <mergeCell ref="M83:M84"/>
    <mergeCell ref="E83:E84"/>
    <mergeCell ref="F83:F84"/>
    <mergeCell ref="K81:K82"/>
    <mergeCell ref="H83:H84"/>
    <mergeCell ref="AD79:AD80"/>
    <mergeCell ref="S83:S84"/>
    <mergeCell ref="T83:T84"/>
    <mergeCell ref="U83:U84"/>
    <mergeCell ref="V83:V84"/>
    <mergeCell ref="W83:W84"/>
    <mergeCell ref="X83:X84"/>
    <mergeCell ref="AD81:AD82"/>
    <mergeCell ref="AC79:AC80"/>
    <mergeCell ref="M81:M82"/>
    <mergeCell ref="N81:N82"/>
    <mergeCell ref="O81:O82"/>
    <mergeCell ref="R81:R82"/>
    <mergeCell ref="S81:S82"/>
    <mergeCell ref="AA79:AA80"/>
    <mergeCell ref="S79:S80"/>
    <mergeCell ref="T79:T80"/>
    <mergeCell ref="T81:T82"/>
    <mergeCell ref="AB83:AB84"/>
    <mergeCell ref="AC83:AC84"/>
    <mergeCell ref="AD85:AD86"/>
    <mergeCell ref="C87:C88"/>
    <mergeCell ref="D87:D88"/>
    <mergeCell ref="E87:E88"/>
    <mergeCell ref="F87:F88"/>
    <mergeCell ref="G87:G88"/>
    <mergeCell ref="H87:H88"/>
    <mergeCell ref="J87:J88"/>
    <mergeCell ref="S85:S86"/>
    <mergeCell ref="L85:L86"/>
    <mergeCell ref="M85:M86"/>
    <mergeCell ref="O83:O84"/>
    <mergeCell ref="N85:N86"/>
    <mergeCell ref="O85:O86"/>
    <mergeCell ref="C85:C86"/>
    <mergeCell ref="D85:D86"/>
    <mergeCell ref="D83:D84"/>
    <mergeCell ref="X87:X88"/>
    <mergeCell ref="Q87:Q88"/>
    <mergeCell ref="R87:R88"/>
    <mergeCell ref="S87:S88"/>
    <mergeCell ref="T87:T88"/>
    <mergeCell ref="K87:K88"/>
    <mergeCell ref="L87:L88"/>
    <mergeCell ref="C81:C82"/>
    <mergeCell ref="D81:D82"/>
    <mergeCell ref="E81:E82"/>
    <mergeCell ref="F81:F82"/>
    <mergeCell ref="P81:P82"/>
    <mergeCell ref="Q81:Q82"/>
    <mergeCell ref="L81:L82"/>
    <mergeCell ref="G81:G82"/>
    <mergeCell ref="H81:H82"/>
    <mergeCell ref="J81:J82"/>
    <mergeCell ref="AC85:AC86"/>
    <mergeCell ref="Y89:Y90"/>
    <mergeCell ref="AB91:AB92"/>
    <mergeCell ref="AC91:AC92"/>
    <mergeCell ref="Z89:Z90"/>
    <mergeCell ref="AA89:AA90"/>
    <mergeCell ref="AA91:AA92"/>
    <mergeCell ref="Y87:Y88"/>
    <mergeCell ref="AA85:AA86"/>
    <mergeCell ref="AB85:AB86"/>
    <mergeCell ref="V85:V86"/>
    <mergeCell ref="W85:W86"/>
    <mergeCell ref="X85:X86"/>
    <mergeCell ref="Y85:Y86"/>
    <mergeCell ref="Z85:Z86"/>
    <mergeCell ref="Z83:Z84"/>
    <mergeCell ref="R83:R84"/>
    <mergeCell ref="J85:J86"/>
    <mergeCell ref="K85:K86"/>
    <mergeCell ref="N83:N84"/>
    <mergeCell ref="G85:G86"/>
    <mergeCell ref="H85:H86"/>
    <mergeCell ref="P85:P86"/>
    <mergeCell ref="Q85:Q86"/>
    <mergeCell ref="R85:R86"/>
    <mergeCell ref="P87:P88"/>
    <mergeCell ref="Q91:Q92"/>
    <mergeCell ref="T91:T92"/>
    <mergeCell ref="E85:E86"/>
    <mergeCell ref="F85:F86"/>
    <mergeCell ref="Y83:Y84"/>
    <mergeCell ref="P83:P84"/>
    <mergeCell ref="T89:T90"/>
    <mergeCell ref="T85:T86"/>
    <mergeCell ref="U85:U86"/>
    <mergeCell ref="S93:S94"/>
    <mergeCell ref="T93:T94"/>
    <mergeCell ref="U93:U94"/>
    <mergeCell ref="P91:P92"/>
    <mergeCell ref="AD89:AD90"/>
    <mergeCell ref="U87:U88"/>
    <mergeCell ref="V87:V88"/>
    <mergeCell ref="Y91:Y92"/>
    <mergeCell ref="Z91:Z92"/>
    <mergeCell ref="S89:S90"/>
    <mergeCell ref="AD91:AD92"/>
    <mergeCell ref="W91:W92"/>
    <mergeCell ref="X91:X92"/>
    <mergeCell ref="AD93:AD94"/>
    <mergeCell ref="C96:D96"/>
    <mergeCell ref="Z87:Z88"/>
    <mergeCell ref="AA87:AA88"/>
    <mergeCell ref="AB87:AB88"/>
    <mergeCell ref="E93:E94"/>
    <mergeCell ref="F93:F94"/>
    <mergeCell ref="AD87:AD88"/>
    <mergeCell ref="U89:U90"/>
    <mergeCell ref="V89:V90"/>
    <mergeCell ref="W89:W90"/>
    <mergeCell ref="X89:X90"/>
    <mergeCell ref="AB89:AB90"/>
    <mergeCell ref="AC89:AC90"/>
    <mergeCell ref="W87:W88"/>
    <mergeCell ref="F97:F98"/>
    <mergeCell ref="G97:G98"/>
    <mergeCell ref="N89:N90"/>
    <mergeCell ref="O89:O90"/>
    <mergeCell ref="M87:M88"/>
    <mergeCell ref="N87:N88"/>
    <mergeCell ref="O87:O88"/>
    <mergeCell ref="G91:G92"/>
    <mergeCell ref="I97:I98"/>
    <mergeCell ref="E89:E90"/>
    <mergeCell ref="F89:F90"/>
    <mergeCell ref="AC87:AC88"/>
    <mergeCell ref="S91:S92"/>
    <mergeCell ref="K91:K92"/>
    <mergeCell ref="M91:M92"/>
    <mergeCell ref="N91:N92"/>
    <mergeCell ref="O91:O92"/>
    <mergeCell ref="G89:G90"/>
    <mergeCell ref="H89:H90"/>
    <mergeCell ref="J89:J90"/>
    <mergeCell ref="K89:K90"/>
    <mergeCell ref="L89:L90"/>
    <mergeCell ref="M89:M90"/>
    <mergeCell ref="AA93:AA94"/>
    <mergeCell ref="AB93:AB94"/>
    <mergeCell ref="Y93:Y94"/>
    <mergeCell ref="U91:U92"/>
    <mergeCell ref="V91:V92"/>
    <mergeCell ref="P89:P90"/>
    <mergeCell ref="Q89:Q90"/>
    <mergeCell ref="R89:R90"/>
    <mergeCell ref="R91:R92"/>
    <mergeCell ref="V93:V94"/>
    <mergeCell ref="N99:N100"/>
    <mergeCell ref="O99:O100"/>
    <mergeCell ref="P99:P100"/>
    <mergeCell ref="AC97:AC98"/>
    <mergeCell ref="C89:C90"/>
    <mergeCell ref="D89:D90"/>
    <mergeCell ref="R93:R94"/>
    <mergeCell ref="M93:M94"/>
    <mergeCell ref="AC93:AC94"/>
    <mergeCell ref="Z93:Z94"/>
    <mergeCell ref="D97:D98"/>
    <mergeCell ref="E97:E98"/>
    <mergeCell ref="C93:C94"/>
    <mergeCell ref="D93:D94"/>
    <mergeCell ref="O93:O94"/>
    <mergeCell ref="P93:P94"/>
    <mergeCell ref="P97:P98"/>
    <mergeCell ref="N93:N94"/>
    <mergeCell ref="G93:G94"/>
    <mergeCell ref="H93:H94"/>
    <mergeCell ref="C91:C92"/>
    <mergeCell ref="D91:D92"/>
    <mergeCell ref="E91:E92"/>
    <mergeCell ref="F91:F92"/>
    <mergeCell ref="Q97:Q98"/>
    <mergeCell ref="Q93:Q94"/>
    <mergeCell ref="I93:I94"/>
    <mergeCell ref="J93:J94"/>
    <mergeCell ref="K93:K94"/>
    <mergeCell ref="C97:C98"/>
    <mergeCell ref="AA97:AA98"/>
    <mergeCell ref="AB97:AB98"/>
    <mergeCell ref="Y97:Y98"/>
    <mergeCell ref="Z99:Z100"/>
    <mergeCell ref="R97:R98"/>
    <mergeCell ref="H91:H92"/>
    <mergeCell ref="I91:I92"/>
    <mergeCell ref="J91:J92"/>
    <mergeCell ref="I99:I100"/>
    <mergeCell ref="J99:J100"/>
    <mergeCell ref="AA99:AA100"/>
    <mergeCell ref="AB99:AB100"/>
    <mergeCell ref="AC99:AC100"/>
    <mergeCell ref="AD99:AD100"/>
    <mergeCell ref="AD97:AD98"/>
    <mergeCell ref="U99:U100"/>
    <mergeCell ref="V99:V100"/>
    <mergeCell ref="W99:W100"/>
    <mergeCell ref="X99:X100"/>
    <mergeCell ref="Z97:Z98"/>
    <mergeCell ref="F99:F100"/>
    <mergeCell ref="G99:G100"/>
    <mergeCell ref="H99:H100"/>
    <mergeCell ref="J97:J98"/>
    <mergeCell ref="T97:T98"/>
    <mergeCell ref="U97:U98"/>
    <mergeCell ref="R99:R100"/>
    <mergeCell ref="S99:S100"/>
    <mergeCell ref="K99:K100"/>
    <mergeCell ref="M99:M100"/>
    <mergeCell ref="W97:W98"/>
    <mergeCell ref="X97:X98"/>
    <mergeCell ref="T99:T100"/>
    <mergeCell ref="Y99:Y100"/>
    <mergeCell ref="V97:V98"/>
    <mergeCell ref="W93:W94"/>
    <mergeCell ref="X93:X94"/>
    <mergeCell ref="Q99:Q100"/>
    <mergeCell ref="C103:C104"/>
    <mergeCell ref="D103:D104"/>
    <mergeCell ref="E103:E104"/>
    <mergeCell ref="F103:F104"/>
    <mergeCell ref="O103:O104"/>
    <mergeCell ref="C101:C102"/>
    <mergeCell ref="D101:D102"/>
    <mergeCell ref="C99:C100"/>
    <mergeCell ref="D99:D100"/>
    <mergeCell ref="G103:G104"/>
    <mergeCell ref="AB103:AB104"/>
    <mergeCell ref="AC103:AC104"/>
    <mergeCell ref="V103:V104"/>
    <mergeCell ref="W103:W104"/>
    <mergeCell ref="X103:X104"/>
    <mergeCell ref="Y103:Y104"/>
    <mergeCell ref="H103:H104"/>
    <mergeCell ref="J103:J104"/>
    <mergeCell ref="E99:E100"/>
    <mergeCell ref="E101:E102"/>
    <mergeCell ref="F101:F102"/>
    <mergeCell ref="S97:S98"/>
    <mergeCell ref="K97:K98"/>
    <mergeCell ref="M97:M98"/>
    <mergeCell ref="N97:N98"/>
    <mergeCell ref="O97:O98"/>
    <mergeCell ref="G101:G102"/>
    <mergeCell ref="H101:H102"/>
    <mergeCell ref="P101:P102"/>
    <mergeCell ref="Q101:Q102"/>
    <mergeCell ref="I101:I102"/>
    <mergeCell ref="J101:J102"/>
    <mergeCell ref="K101:K102"/>
    <mergeCell ref="M101:M102"/>
    <mergeCell ref="P103:P104"/>
    <mergeCell ref="Q103:Q104"/>
    <mergeCell ref="P105:P106"/>
    <mergeCell ref="Q105:Q106"/>
    <mergeCell ref="R105:R106"/>
    <mergeCell ref="S105:S106"/>
    <mergeCell ref="F105:F106"/>
    <mergeCell ref="G105:G106"/>
    <mergeCell ref="H105:H106"/>
    <mergeCell ref="I105:I106"/>
    <mergeCell ref="U105:U106"/>
    <mergeCell ref="V105:V106"/>
    <mergeCell ref="T105:T106"/>
    <mergeCell ref="K103:K104"/>
    <mergeCell ref="N101:N102"/>
    <mergeCell ref="O101:O102"/>
    <mergeCell ref="M103:M104"/>
    <mergeCell ref="K105:K106"/>
    <mergeCell ref="M105:M106"/>
    <mergeCell ref="N105:N106"/>
    <mergeCell ref="O105:O106"/>
    <mergeCell ref="N103:N104"/>
    <mergeCell ref="AB105:AB106"/>
    <mergeCell ref="AC105:AC106"/>
    <mergeCell ref="Z101:Z102"/>
    <mergeCell ref="AA101:AA102"/>
    <mergeCell ref="AD105:AD106"/>
    <mergeCell ref="AA105:AA106"/>
    <mergeCell ref="Z103:Z104"/>
    <mergeCell ref="AC101:AC102"/>
    <mergeCell ref="R103:R104"/>
    <mergeCell ref="S103:S104"/>
    <mergeCell ref="T103:T104"/>
    <mergeCell ref="U101:U102"/>
    <mergeCell ref="V101:V102"/>
    <mergeCell ref="AD101:AD102"/>
    <mergeCell ref="U103:U104"/>
    <mergeCell ref="R101:R102"/>
    <mergeCell ref="S101:S102"/>
    <mergeCell ref="T101:T102"/>
    <mergeCell ref="AB101:AB102"/>
    <mergeCell ref="W101:W102"/>
    <mergeCell ref="X101:X102"/>
    <mergeCell ref="Y101:Y102"/>
    <mergeCell ref="W105:W106"/>
    <mergeCell ref="AD103:AD104"/>
    <mergeCell ref="X105:X106"/>
    <mergeCell ref="Y105:Y106"/>
    <mergeCell ref="Z105:Z106"/>
    <mergeCell ref="AA103:AA104"/>
    <mergeCell ref="U107:U108"/>
    <mergeCell ref="G109:G110"/>
    <mergeCell ref="H109:H110"/>
    <mergeCell ref="K109:K110"/>
    <mergeCell ref="M109:M110"/>
    <mergeCell ref="R107:R108"/>
    <mergeCell ref="I107:I108"/>
    <mergeCell ref="I109:I110"/>
    <mergeCell ref="J109:J110"/>
    <mergeCell ref="J107:J108"/>
    <mergeCell ref="C105:C106"/>
    <mergeCell ref="D105:D106"/>
    <mergeCell ref="E105:E106"/>
    <mergeCell ref="C107:C108"/>
    <mergeCell ref="D107:D108"/>
    <mergeCell ref="T109:T110"/>
    <mergeCell ref="K107:K108"/>
    <mergeCell ref="M107:M108"/>
    <mergeCell ref="N107:N108"/>
    <mergeCell ref="J105:J106"/>
    <mergeCell ref="Q109:Q110"/>
    <mergeCell ref="R109:R110"/>
    <mergeCell ref="S109:S110"/>
    <mergeCell ref="S107:S108"/>
    <mergeCell ref="T107:T108"/>
    <mergeCell ref="O107:O108"/>
    <mergeCell ref="AC107:AC108"/>
    <mergeCell ref="V107:V108"/>
    <mergeCell ref="W107:W108"/>
    <mergeCell ref="X107:X108"/>
    <mergeCell ref="Y107:Y108"/>
    <mergeCell ref="C111:C112"/>
    <mergeCell ref="D111:D112"/>
    <mergeCell ref="E111:E112"/>
    <mergeCell ref="F111:F112"/>
    <mergeCell ref="U109:U110"/>
    <mergeCell ref="E107:E108"/>
    <mergeCell ref="F107:F108"/>
    <mergeCell ref="G107:G108"/>
    <mergeCell ref="H107:H108"/>
    <mergeCell ref="P107:P108"/>
    <mergeCell ref="Q107:Q108"/>
    <mergeCell ref="T113:T114"/>
    <mergeCell ref="C109:C110"/>
    <mergeCell ref="D109:D110"/>
    <mergeCell ref="E109:E110"/>
    <mergeCell ref="F109:F110"/>
    <mergeCell ref="AA111:AA112"/>
    <mergeCell ref="N109:N110"/>
    <mergeCell ref="O109:O110"/>
    <mergeCell ref="AA109:AA110"/>
    <mergeCell ref="P109:P110"/>
    <mergeCell ref="AD107:AD108"/>
    <mergeCell ref="X109:X110"/>
    <mergeCell ref="Y109:Y110"/>
    <mergeCell ref="Z109:Z110"/>
    <mergeCell ref="AD109:AD110"/>
    <mergeCell ref="AB109:AB110"/>
    <mergeCell ref="AC109:AC110"/>
    <mergeCell ref="Z107:Z108"/>
    <mergeCell ref="AA107:AA108"/>
    <mergeCell ref="AB107:AB108"/>
    <mergeCell ref="X113:X114"/>
    <mergeCell ref="V109:V110"/>
    <mergeCell ref="Z111:Z112"/>
    <mergeCell ref="Y111:Y112"/>
    <mergeCell ref="W109:W110"/>
    <mergeCell ref="Y113:Y114"/>
    <mergeCell ref="Z113:Z114"/>
    <mergeCell ref="V111:V112"/>
    <mergeCell ref="W111:W112"/>
    <mergeCell ref="H113:H114"/>
    <mergeCell ref="I113:I114"/>
    <mergeCell ref="N111:N112"/>
    <mergeCell ref="U111:U112"/>
    <mergeCell ref="AC113:AC114"/>
    <mergeCell ref="AD113:AD114"/>
    <mergeCell ref="AD111:AD112"/>
    <mergeCell ref="AB111:AB112"/>
    <mergeCell ref="AC111:AC112"/>
    <mergeCell ref="W113:W114"/>
    <mergeCell ref="M115:M116"/>
    <mergeCell ref="J113:J114"/>
    <mergeCell ref="K113:K114"/>
    <mergeCell ref="M113:M114"/>
    <mergeCell ref="X111:X112"/>
    <mergeCell ref="C113:C114"/>
    <mergeCell ref="D113:D114"/>
    <mergeCell ref="E113:E114"/>
    <mergeCell ref="F113:F114"/>
    <mergeCell ref="G113:G114"/>
    <mergeCell ref="AA113:AA114"/>
    <mergeCell ref="AB113:AB114"/>
    <mergeCell ref="O111:O112"/>
    <mergeCell ref="G111:G112"/>
    <mergeCell ref="H111:H112"/>
    <mergeCell ref="I111:I112"/>
    <mergeCell ref="J111:J112"/>
    <mergeCell ref="N113:N114"/>
    <mergeCell ref="K111:K112"/>
    <mergeCell ref="M111:M112"/>
    <mergeCell ref="U113:U114"/>
    <mergeCell ref="V113:V114"/>
    <mergeCell ref="P111:P112"/>
    <mergeCell ref="Q111:Q112"/>
    <mergeCell ref="R111:R112"/>
    <mergeCell ref="S111:S112"/>
    <mergeCell ref="Q113:Q114"/>
    <mergeCell ref="R113:R114"/>
    <mergeCell ref="S113:S114"/>
    <mergeCell ref="T111:T112"/>
    <mergeCell ref="O113:O114"/>
    <mergeCell ref="P113:P114"/>
    <mergeCell ref="C119:C120"/>
    <mergeCell ref="D119:D120"/>
    <mergeCell ref="E119:E120"/>
    <mergeCell ref="F119:F120"/>
    <mergeCell ref="G119:G120"/>
    <mergeCell ref="C115:C116"/>
    <mergeCell ref="D115:D116"/>
    <mergeCell ref="C117:C118"/>
    <mergeCell ref="E115:E116"/>
    <mergeCell ref="F115:F116"/>
    <mergeCell ref="G115:G116"/>
    <mergeCell ref="H115:H116"/>
    <mergeCell ref="I115:I116"/>
    <mergeCell ref="J115:J116"/>
    <mergeCell ref="K117:K118"/>
    <mergeCell ref="U115:U116"/>
    <mergeCell ref="V115:V116"/>
    <mergeCell ref="S115:S116"/>
    <mergeCell ref="T115:T116"/>
    <mergeCell ref="R117:R118"/>
    <mergeCell ref="S117:S118"/>
    <mergeCell ref="R115:R116"/>
    <mergeCell ref="M117:M118"/>
    <mergeCell ref="K115:K116"/>
    <mergeCell ref="G117:G118"/>
    <mergeCell ref="H117:H118"/>
    <mergeCell ref="I117:I118"/>
    <mergeCell ref="J117:J118"/>
    <mergeCell ref="D117:D118"/>
    <mergeCell ref="E117:E118"/>
    <mergeCell ref="F117:F118"/>
    <mergeCell ref="N115:N116"/>
    <mergeCell ref="O115:O116"/>
    <mergeCell ref="W115:W116"/>
    <mergeCell ref="X115:X116"/>
    <mergeCell ref="Z115:Z116"/>
    <mergeCell ref="AA115:AA116"/>
    <mergeCell ref="X119:X120"/>
    <mergeCell ref="Y119:Y120"/>
    <mergeCell ref="Y115:Y116"/>
    <mergeCell ref="Z119:Z120"/>
    <mergeCell ref="AC119:AC120"/>
    <mergeCell ref="P115:P116"/>
    <mergeCell ref="Q115:Q116"/>
    <mergeCell ref="AB115:AB116"/>
    <mergeCell ref="AD115:AD116"/>
    <mergeCell ref="U117:U118"/>
    <mergeCell ref="V117:V118"/>
    <mergeCell ref="AD117:AD118"/>
    <mergeCell ref="X117:X118"/>
    <mergeCell ref="Y117:Y118"/>
    <mergeCell ref="AC115:AC116"/>
    <mergeCell ref="AD119:AD120"/>
    <mergeCell ref="AC117:AC118"/>
    <mergeCell ref="Z117:Z118"/>
    <mergeCell ref="AA117:AA118"/>
    <mergeCell ref="AB117:AB118"/>
    <mergeCell ref="AA119:AA120"/>
    <mergeCell ref="AB119:AB120"/>
    <mergeCell ref="H119:H120"/>
    <mergeCell ref="J119:J120"/>
    <mergeCell ref="Q125:Q126"/>
    <mergeCell ref="K125:K126"/>
    <mergeCell ref="L125:L126"/>
    <mergeCell ref="M125:M126"/>
    <mergeCell ref="N125:N126"/>
    <mergeCell ref="I125:I126"/>
    <mergeCell ref="K119:K120"/>
    <mergeCell ref="M119:M120"/>
    <mergeCell ref="T119:T120"/>
    <mergeCell ref="N119:N120"/>
    <mergeCell ref="O119:O120"/>
    <mergeCell ref="W117:W118"/>
    <mergeCell ref="T117:T118"/>
    <mergeCell ref="P117:P118"/>
    <mergeCell ref="Q117:Q118"/>
    <mergeCell ref="N117:N118"/>
    <mergeCell ref="O117:O118"/>
    <mergeCell ref="Y129:Y130"/>
    <mergeCell ref="V125:V126"/>
    <mergeCell ref="W125:W126"/>
    <mergeCell ref="P119:P120"/>
    <mergeCell ref="Q119:Q120"/>
    <mergeCell ref="R119:R120"/>
    <mergeCell ref="S119:S120"/>
    <mergeCell ref="U119:U120"/>
    <mergeCell ref="V119:V120"/>
    <mergeCell ref="W119:W120"/>
    <mergeCell ref="AD123:AD124"/>
    <mergeCell ref="X125:X126"/>
    <mergeCell ref="Y125:Y126"/>
    <mergeCell ref="Z125:Z126"/>
    <mergeCell ref="AD129:AD130"/>
    <mergeCell ref="AA129:AA130"/>
    <mergeCell ref="AB129:AB130"/>
    <mergeCell ref="AC129:AC130"/>
    <mergeCell ref="AB125:AB126"/>
    <mergeCell ref="X129:X130"/>
    <mergeCell ref="I123:I124"/>
    <mergeCell ref="M123:M124"/>
    <mergeCell ref="N123:N124"/>
    <mergeCell ref="AA123:AA124"/>
    <mergeCell ref="AB123:AB124"/>
    <mergeCell ref="AC123:AC124"/>
    <mergeCell ref="AA125:AA126"/>
    <mergeCell ref="T123:T124"/>
    <mergeCell ref="U123:U124"/>
    <mergeCell ref="V123:V124"/>
    <mergeCell ref="W123:W124"/>
    <mergeCell ref="X123:X124"/>
    <mergeCell ref="Y123:Y124"/>
    <mergeCell ref="Z123:Z124"/>
    <mergeCell ref="C122:D122"/>
    <mergeCell ref="C123:C124"/>
    <mergeCell ref="D123:D124"/>
    <mergeCell ref="E123:E124"/>
    <mergeCell ref="N129:N130"/>
    <mergeCell ref="O129:O130"/>
    <mergeCell ref="J125:J126"/>
    <mergeCell ref="J123:J124"/>
    <mergeCell ref="K123:K124"/>
    <mergeCell ref="L123:L124"/>
    <mergeCell ref="G123:G124"/>
    <mergeCell ref="H123:H124"/>
    <mergeCell ref="F125:F126"/>
    <mergeCell ref="G125:G126"/>
    <mergeCell ref="H125:H126"/>
    <mergeCell ref="C125:C126"/>
    <mergeCell ref="D125:D126"/>
    <mergeCell ref="E125:E126"/>
    <mergeCell ref="F123:F124"/>
    <mergeCell ref="U125:U126"/>
    <mergeCell ref="I131:I132"/>
    <mergeCell ref="J131:J132"/>
    <mergeCell ref="K131:K132"/>
    <mergeCell ref="L131:L132"/>
    <mergeCell ref="Q131:Q132"/>
    <mergeCell ref="S131:S132"/>
    <mergeCell ref="T131:T132"/>
    <mergeCell ref="T129:T130"/>
    <mergeCell ref="U129:U130"/>
    <mergeCell ref="AC131:AC132"/>
    <mergeCell ref="V131:V132"/>
    <mergeCell ref="W131:W132"/>
    <mergeCell ref="X131:X132"/>
    <mergeCell ref="Y131:Y132"/>
    <mergeCell ref="Z131:Z132"/>
    <mergeCell ref="AA131:AA132"/>
    <mergeCell ref="N135:N136"/>
    <mergeCell ref="O135:O136"/>
    <mergeCell ref="R123:R124"/>
    <mergeCell ref="S123:S124"/>
    <mergeCell ref="S125:S126"/>
    <mergeCell ref="R129:R130"/>
    <mergeCell ref="R125:R126"/>
    <mergeCell ref="O123:O124"/>
    <mergeCell ref="P123:P124"/>
    <mergeCell ref="Q123:Q124"/>
    <mergeCell ref="P125:P126"/>
    <mergeCell ref="Z129:Z130"/>
    <mergeCell ref="V129:V130"/>
    <mergeCell ref="AC135:AC136"/>
    <mergeCell ref="V135:V136"/>
    <mergeCell ref="W135:W136"/>
    <mergeCell ref="X135:X136"/>
    <mergeCell ref="Y135:Y136"/>
    <mergeCell ref="S135:S136"/>
    <mergeCell ref="AB131:AB132"/>
    <mergeCell ref="S129:S130"/>
    <mergeCell ref="AD125:AD126"/>
    <mergeCell ref="C128:D128"/>
    <mergeCell ref="C129:C130"/>
    <mergeCell ref="D129:D130"/>
    <mergeCell ref="E129:E130"/>
    <mergeCell ref="F129:F130"/>
    <mergeCell ref="G129:G130"/>
    <mergeCell ref="I129:I130"/>
    <mergeCell ref="O125:O126"/>
    <mergeCell ref="J129:J130"/>
    <mergeCell ref="K129:K130"/>
    <mergeCell ref="L129:L130"/>
    <mergeCell ref="M129:M130"/>
    <mergeCell ref="P129:P130"/>
    <mergeCell ref="Q129:Q130"/>
    <mergeCell ref="T125:T126"/>
    <mergeCell ref="AA135:AA136"/>
    <mergeCell ref="AC125:AC126"/>
    <mergeCell ref="M131:M132"/>
    <mergeCell ref="N131:N132"/>
    <mergeCell ref="O131:O132"/>
    <mergeCell ref="P131:P132"/>
    <mergeCell ref="R131:R132"/>
    <mergeCell ref="U131:U132"/>
    <mergeCell ref="W129:W130"/>
    <mergeCell ref="L135:L136"/>
    <mergeCell ref="M135:M136"/>
    <mergeCell ref="K137:K138"/>
    <mergeCell ref="Z135:Z136"/>
    <mergeCell ref="T135:T136"/>
    <mergeCell ref="U135:U136"/>
    <mergeCell ref="P135:P136"/>
    <mergeCell ref="Q135:Q136"/>
    <mergeCell ref="R135:R136"/>
    <mergeCell ref="N137:N138"/>
    <mergeCell ref="F137:F138"/>
    <mergeCell ref="G137:G138"/>
    <mergeCell ref="AD131:AD132"/>
    <mergeCell ref="C134:D134"/>
    <mergeCell ref="C135:C136"/>
    <mergeCell ref="D135:D136"/>
    <mergeCell ref="E135:E136"/>
    <mergeCell ref="F135:F136"/>
    <mergeCell ref="G135:G136"/>
    <mergeCell ref="I135:I136"/>
    <mergeCell ref="J135:J136"/>
    <mergeCell ref="K135:K136"/>
    <mergeCell ref="C131:C132"/>
    <mergeCell ref="D131:D132"/>
    <mergeCell ref="E131:E132"/>
    <mergeCell ref="F131:F132"/>
    <mergeCell ref="G131:G132"/>
    <mergeCell ref="H131:H132"/>
    <mergeCell ref="AD137:AD138"/>
    <mergeCell ref="AA137:AA138"/>
    <mergeCell ref="AB137:AB138"/>
    <mergeCell ref="AD135:AD136"/>
    <mergeCell ref="AB135:AB136"/>
    <mergeCell ref="AC137:AC138"/>
    <mergeCell ref="C140:D140"/>
    <mergeCell ref="X137:X138"/>
    <mergeCell ref="Y137:Y138"/>
    <mergeCell ref="Z137:Z138"/>
    <mergeCell ref="T137:T138"/>
    <mergeCell ref="U137:U138"/>
    <mergeCell ref="V137:V138"/>
    <mergeCell ref="W137:W138"/>
    <mergeCell ref="P137:P138"/>
    <mergeCell ref="Q137:Q138"/>
    <mergeCell ref="H137:H138"/>
    <mergeCell ref="I137:I138"/>
    <mergeCell ref="J137:J138"/>
    <mergeCell ref="L137:L138"/>
    <mergeCell ref="M137:M138"/>
    <mergeCell ref="R141:R142"/>
    <mergeCell ref="S137:S138"/>
    <mergeCell ref="R143:R144"/>
    <mergeCell ref="S143:S144"/>
    <mergeCell ref="P143:P144"/>
    <mergeCell ref="Q143:Q144"/>
    <mergeCell ref="V141:V142"/>
    <mergeCell ref="S141:S142"/>
    <mergeCell ref="T141:T142"/>
    <mergeCell ref="U141:U142"/>
    <mergeCell ref="C143:C144"/>
    <mergeCell ref="D143:D144"/>
    <mergeCell ref="E143:E144"/>
    <mergeCell ref="F143:F144"/>
    <mergeCell ref="O137:O138"/>
    <mergeCell ref="R137:R138"/>
    <mergeCell ref="J141:J142"/>
    <mergeCell ref="C137:C138"/>
    <mergeCell ref="D137:D138"/>
    <mergeCell ref="E137:E138"/>
    <mergeCell ref="N143:N144"/>
    <mergeCell ref="O143:O144"/>
    <mergeCell ref="G143:G144"/>
    <mergeCell ref="H143:H144"/>
    <mergeCell ref="J143:J144"/>
    <mergeCell ref="K143:K144"/>
    <mergeCell ref="C141:C142"/>
    <mergeCell ref="D141:D142"/>
    <mergeCell ref="E141:E142"/>
    <mergeCell ref="F141:F142"/>
    <mergeCell ref="M141:M142"/>
    <mergeCell ref="N141:N142"/>
    <mergeCell ref="K141:K142"/>
    <mergeCell ref="L141:L142"/>
    <mergeCell ref="G141:G142"/>
    <mergeCell ref="N145:N146"/>
    <mergeCell ref="G145:G146"/>
    <mergeCell ref="H145:H146"/>
    <mergeCell ref="J145:J146"/>
    <mergeCell ref="K145:K146"/>
    <mergeCell ref="L143:L144"/>
    <mergeCell ref="M143:M144"/>
    <mergeCell ref="AC147:AC148"/>
    <mergeCell ref="AD147:AD148"/>
    <mergeCell ref="W145:W146"/>
    <mergeCell ref="X145:X146"/>
    <mergeCell ref="Y145:Y146"/>
    <mergeCell ref="Z145:Z146"/>
    <mergeCell ref="AC145:AC146"/>
    <mergeCell ref="AB141:AB142"/>
    <mergeCell ref="AA145:AA146"/>
    <mergeCell ref="AB145:AB146"/>
    <mergeCell ref="AB143:AB144"/>
    <mergeCell ref="O145:O146"/>
    <mergeCell ref="AB147:AB148"/>
    <mergeCell ref="P147:P148"/>
    <mergeCell ref="O141:O142"/>
    <mergeCell ref="P141:P142"/>
    <mergeCell ref="T143:T144"/>
    <mergeCell ref="T145:T146"/>
    <mergeCell ref="U145:U146"/>
    <mergeCell ref="V145:V146"/>
    <mergeCell ref="Z141:Z142"/>
    <mergeCell ref="AA141:AA142"/>
    <mergeCell ref="AC141:AC142"/>
    <mergeCell ref="AD141:AD142"/>
    <mergeCell ref="U143:U144"/>
    <mergeCell ref="V143:V144"/>
    <mergeCell ref="W143:W144"/>
    <mergeCell ref="X143:X144"/>
    <mergeCell ref="Y143:Y144"/>
    <mergeCell ref="Z143:Z144"/>
    <mergeCell ref="AA143:AA144"/>
    <mergeCell ref="Y141:Y142"/>
    <mergeCell ref="W141:W142"/>
    <mergeCell ref="X141:X142"/>
    <mergeCell ref="Q141:Q142"/>
    <mergeCell ref="C149:C150"/>
    <mergeCell ref="D149:D150"/>
    <mergeCell ref="E149:E150"/>
    <mergeCell ref="F149:F150"/>
    <mergeCell ref="C147:C148"/>
    <mergeCell ref="Q147:Q148"/>
    <mergeCell ref="J147:J148"/>
    <mergeCell ref="L147:L148"/>
    <mergeCell ref="M147:M148"/>
    <mergeCell ref="E147:E148"/>
    <mergeCell ref="F147:F148"/>
    <mergeCell ref="G147:G148"/>
    <mergeCell ref="H147:H148"/>
    <mergeCell ref="AD143:AD144"/>
    <mergeCell ref="S147:S148"/>
    <mergeCell ref="T147:T148"/>
    <mergeCell ref="U147:U148"/>
    <mergeCell ref="V147:V148"/>
    <mergeCell ref="W147:W148"/>
    <mergeCell ref="X147:X148"/>
    <mergeCell ref="AD145:AD146"/>
    <mergeCell ref="Z147:Z148"/>
    <mergeCell ref="AA147:AA148"/>
    <mergeCell ref="AC143:AC144"/>
    <mergeCell ref="L145:L146"/>
    <mergeCell ref="M145:M146"/>
    <mergeCell ref="AD149:AD150"/>
    <mergeCell ref="P145:P146"/>
    <mergeCell ref="Q145:Q146"/>
    <mergeCell ref="R145:R146"/>
    <mergeCell ref="S145:S146"/>
    <mergeCell ref="N147:N148"/>
    <mergeCell ref="O147:O148"/>
    <mergeCell ref="G151:G152"/>
    <mergeCell ref="H151:H152"/>
    <mergeCell ref="J151:J152"/>
    <mergeCell ref="K151:K152"/>
    <mergeCell ref="C151:C152"/>
    <mergeCell ref="D151:D152"/>
    <mergeCell ref="E151:E152"/>
    <mergeCell ref="F151:F152"/>
    <mergeCell ref="L151:L152"/>
    <mergeCell ref="W151:W152"/>
    <mergeCell ref="X151:X152"/>
    <mergeCell ref="Q151:Q152"/>
    <mergeCell ref="R151:R152"/>
    <mergeCell ref="S151:S152"/>
    <mergeCell ref="T151:T152"/>
    <mergeCell ref="Y147:Y148"/>
    <mergeCell ref="R147:R148"/>
    <mergeCell ref="V149:V150"/>
    <mergeCell ref="S149:S150"/>
    <mergeCell ref="Y149:Y150"/>
    <mergeCell ref="C145:C146"/>
    <mergeCell ref="D145:D146"/>
    <mergeCell ref="E145:E146"/>
    <mergeCell ref="F145:F146"/>
    <mergeCell ref="K147:K148"/>
    <mergeCell ref="Z149:Z150"/>
    <mergeCell ref="AA149:AA150"/>
    <mergeCell ref="AB149:AB150"/>
    <mergeCell ref="AC149:AC150"/>
    <mergeCell ref="D147:D148"/>
    <mergeCell ref="P149:P150"/>
    <mergeCell ref="Q149:Q150"/>
    <mergeCell ref="R149:R150"/>
    <mergeCell ref="L149:L150"/>
    <mergeCell ref="M149:M150"/>
    <mergeCell ref="O151:O152"/>
    <mergeCell ref="P151:P152"/>
    <mergeCell ref="T153:T154"/>
    <mergeCell ref="Y153:Y154"/>
    <mergeCell ref="Z153:Z154"/>
    <mergeCell ref="AA153:AA154"/>
    <mergeCell ref="W149:W150"/>
    <mergeCell ref="X149:X150"/>
    <mergeCell ref="G149:G150"/>
    <mergeCell ref="H149:H150"/>
    <mergeCell ref="T149:T150"/>
    <mergeCell ref="U149:U150"/>
    <mergeCell ref="J149:J150"/>
    <mergeCell ref="K149:K150"/>
    <mergeCell ref="N149:N150"/>
    <mergeCell ref="O149:O150"/>
    <mergeCell ref="AB151:AB152"/>
    <mergeCell ref="C153:C154"/>
    <mergeCell ref="D153:D154"/>
    <mergeCell ref="E153:E154"/>
    <mergeCell ref="F153:F154"/>
    <mergeCell ref="N153:N154"/>
    <mergeCell ref="O153:O154"/>
    <mergeCell ref="M151:M152"/>
    <mergeCell ref="Y151:Y152"/>
    <mergeCell ref="N151:N152"/>
    <mergeCell ref="AC151:AC152"/>
    <mergeCell ref="AD151:AD152"/>
    <mergeCell ref="U153:U154"/>
    <mergeCell ref="V153:V154"/>
    <mergeCell ref="W153:W154"/>
    <mergeCell ref="X153:X154"/>
    <mergeCell ref="U151:U152"/>
    <mergeCell ref="V151:V152"/>
    <mergeCell ref="Z151:Z152"/>
    <mergeCell ref="AA151:AA152"/>
    <mergeCell ref="P153:P154"/>
    <mergeCell ref="Q153:Q154"/>
    <mergeCell ref="G153:G154"/>
    <mergeCell ref="H153:H154"/>
    <mergeCell ref="J153:J154"/>
    <mergeCell ref="K153:K154"/>
    <mergeCell ref="L153:L154"/>
    <mergeCell ref="M153:M154"/>
    <mergeCell ref="S153:S154"/>
    <mergeCell ref="AC157:AC158"/>
    <mergeCell ref="AD157:AD158"/>
    <mergeCell ref="T155:T156"/>
    <mergeCell ref="U155:U156"/>
    <mergeCell ref="V155:V156"/>
    <mergeCell ref="AC155:AC156"/>
    <mergeCell ref="AC153:AC154"/>
    <mergeCell ref="AD153:AD154"/>
    <mergeCell ref="AB153:AB154"/>
    <mergeCell ref="N157:N158"/>
    <mergeCell ref="O157:O158"/>
    <mergeCell ref="P157:P158"/>
    <mergeCell ref="Q157:Q158"/>
    <mergeCell ref="Y157:Y158"/>
    <mergeCell ref="Z157:Z158"/>
    <mergeCell ref="AA157:AA158"/>
    <mergeCell ref="AA155:AA156"/>
    <mergeCell ref="R153:R154"/>
    <mergeCell ref="AB155:AB156"/>
    <mergeCell ref="Z155:Z156"/>
    <mergeCell ref="AD155:AD156"/>
    <mergeCell ref="W155:W156"/>
    <mergeCell ref="X155:X156"/>
    <mergeCell ref="Y155:Y156"/>
    <mergeCell ref="C157:C158"/>
    <mergeCell ref="D157:D158"/>
    <mergeCell ref="O161:O162"/>
    <mergeCell ref="P161:P162"/>
    <mergeCell ref="E157:E158"/>
    <mergeCell ref="F157:F158"/>
    <mergeCell ref="G157:G158"/>
    <mergeCell ref="H157:H158"/>
    <mergeCell ref="J161:J162"/>
    <mergeCell ref="J157:J158"/>
    <mergeCell ref="P155:P156"/>
    <mergeCell ref="L155:L156"/>
    <mergeCell ref="M155:M156"/>
    <mergeCell ref="N155:N156"/>
    <mergeCell ref="O155:O156"/>
    <mergeCell ref="C155:C156"/>
    <mergeCell ref="D155:D156"/>
    <mergeCell ref="E155:E156"/>
    <mergeCell ref="F155:F156"/>
    <mergeCell ref="I165:I166"/>
    <mergeCell ref="Q155:Q156"/>
    <mergeCell ref="S157:S158"/>
    <mergeCell ref="T157:T158"/>
    <mergeCell ref="U157:U158"/>
    <mergeCell ref="R155:R156"/>
    <mergeCell ref="S155:S156"/>
    <mergeCell ref="K157:K158"/>
    <mergeCell ref="L157:L158"/>
    <mergeCell ref="M157:M158"/>
    <mergeCell ref="N165:N166"/>
    <mergeCell ref="V157:V158"/>
    <mergeCell ref="W157:W158"/>
    <mergeCell ref="X157:X158"/>
    <mergeCell ref="C165:C166"/>
    <mergeCell ref="D165:D166"/>
    <mergeCell ref="E165:E166"/>
    <mergeCell ref="F165:F166"/>
    <mergeCell ref="G165:G166"/>
    <mergeCell ref="H165:H166"/>
    <mergeCell ref="Q165:Q166"/>
    <mergeCell ref="AB157:AB158"/>
    <mergeCell ref="X163:X164"/>
    <mergeCell ref="Y163:Y164"/>
    <mergeCell ref="Z163:Z164"/>
    <mergeCell ref="AA163:AA164"/>
    <mergeCell ref="Q163:Q164"/>
    <mergeCell ref="R157:R158"/>
    <mergeCell ref="G155:G156"/>
    <mergeCell ref="H155:H156"/>
    <mergeCell ref="J155:J156"/>
    <mergeCell ref="K155:K156"/>
    <mergeCell ref="O165:O166"/>
    <mergeCell ref="P165:P166"/>
    <mergeCell ref="P163:P164"/>
    <mergeCell ref="J165:J166"/>
    <mergeCell ref="K165:K166"/>
    <mergeCell ref="M165:M166"/>
    <mergeCell ref="F161:F162"/>
    <mergeCell ref="G161:G162"/>
    <mergeCell ref="H161:H162"/>
    <mergeCell ref="I163:I164"/>
    <mergeCell ref="C160:D160"/>
    <mergeCell ref="C161:C162"/>
    <mergeCell ref="D161:D162"/>
    <mergeCell ref="E161:E162"/>
    <mergeCell ref="O163:O164"/>
    <mergeCell ref="J163:J164"/>
    <mergeCell ref="C163:C164"/>
    <mergeCell ref="D163:D164"/>
    <mergeCell ref="E163:E164"/>
    <mergeCell ref="F163:F164"/>
    <mergeCell ref="G163:G164"/>
    <mergeCell ref="H163:H164"/>
    <mergeCell ref="K161:K162"/>
    <mergeCell ref="M161:M162"/>
    <mergeCell ref="N161:N162"/>
    <mergeCell ref="I161:I162"/>
    <mergeCell ref="K163:K164"/>
    <mergeCell ref="M163:M164"/>
    <mergeCell ref="N163:N164"/>
    <mergeCell ref="AD161:AD162"/>
    <mergeCell ref="S161:S162"/>
    <mergeCell ref="T161:T162"/>
    <mergeCell ref="T163:T164"/>
    <mergeCell ref="U163:U164"/>
    <mergeCell ref="V163:V164"/>
    <mergeCell ref="W163:W164"/>
    <mergeCell ref="AD163:AD164"/>
    <mergeCell ref="AB163:AB164"/>
    <mergeCell ref="AC163:AC164"/>
    <mergeCell ref="R163:R164"/>
    <mergeCell ref="S163:S164"/>
    <mergeCell ref="AC161:AC162"/>
    <mergeCell ref="Y161:Y162"/>
    <mergeCell ref="Z161:Z162"/>
    <mergeCell ref="AA161:AA162"/>
    <mergeCell ref="AB161:AB162"/>
    <mergeCell ref="U161:U162"/>
    <mergeCell ref="V161:V162"/>
    <mergeCell ref="W161:W162"/>
    <mergeCell ref="X161:X162"/>
    <mergeCell ref="Q161:Q162"/>
    <mergeCell ref="R161:R162"/>
    <mergeCell ref="AB167:AB168"/>
    <mergeCell ref="T165:T166"/>
    <mergeCell ref="Y165:Y166"/>
    <mergeCell ref="Z165:Z166"/>
    <mergeCell ref="AA165:AA166"/>
    <mergeCell ref="AB165:AB166"/>
    <mergeCell ref="R165:R166"/>
    <mergeCell ref="T172:T173"/>
    <mergeCell ref="U172:U173"/>
    <mergeCell ref="V172:V173"/>
    <mergeCell ref="T167:T168"/>
    <mergeCell ref="U167:U168"/>
    <mergeCell ref="V167:V168"/>
    <mergeCell ref="AA167:AA168"/>
    <mergeCell ref="M167:M168"/>
    <mergeCell ref="N167:N168"/>
    <mergeCell ref="O167:O168"/>
    <mergeCell ref="P167:P168"/>
    <mergeCell ref="AC167:AC168"/>
    <mergeCell ref="AC165:AC166"/>
    <mergeCell ref="U165:U166"/>
    <mergeCell ref="V165:V166"/>
    <mergeCell ref="W165:W166"/>
    <mergeCell ref="X165:X166"/>
    <mergeCell ref="AD167:AD168"/>
    <mergeCell ref="W167:W168"/>
    <mergeCell ref="X167:X168"/>
    <mergeCell ref="Y167:Y168"/>
    <mergeCell ref="Z167:Z168"/>
    <mergeCell ref="S165:S166"/>
    <mergeCell ref="AD165:AD166"/>
    <mergeCell ref="K174:K175"/>
    <mergeCell ref="M174:M175"/>
    <mergeCell ref="N174:N175"/>
    <mergeCell ref="O174:O175"/>
    <mergeCell ref="P174:P175"/>
    <mergeCell ref="K172:K173"/>
    <mergeCell ref="M172:M173"/>
    <mergeCell ref="N172:N173"/>
    <mergeCell ref="C170:D170"/>
    <mergeCell ref="AC172:AC173"/>
    <mergeCell ref="AD172:AD173"/>
    <mergeCell ref="W172:W173"/>
    <mergeCell ref="X172:X173"/>
    <mergeCell ref="Y172:Y173"/>
    <mergeCell ref="Z172:Z173"/>
    <mergeCell ref="AA172:AA173"/>
    <mergeCell ref="AB172:AB173"/>
    <mergeCell ref="S172:S173"/>
    <mergeCell ref="S174:S175"/>
    <mergeCell ref="T174:T175"/>
    <mergeCell ref="G174:G175"/>
    <mergeCell ref="H174:H175"/>
    <mergeCell ref="I174:I175"/>
    <mergeCell ref="Q174:Q175"/>
    <mergeCell ref="AB174:AB175"/>
    <mergeCell ref="AC174:AC175"/>
    <mergeCell ref="W174:W175"/>
    <mergeCell ref="AA174:AA175"/>
    <mergeCell ref="C167:C168"/>
    <mergeCell ref="D167:D168"/>
    <mergeCell ref="E167:E168"/>
    <mergeCell ref="F167:F168"/>
    <mergeCell ref="X174:X175"/>
    <mergeCell ref="Y174:Y175"/>
    <mergeCell ref="G167:G168"/>
    <mergeCell ref="Q167:Q168"/>
    <mergeCell ref="R167:R168"/>
    <mergeCell ref="S167:S168"/>
    <mergeCell ref="H167:H168"/>
    <mergeCell ref="I167:I168"/>
    <mergeCell ref="J167:J168"/>
    <mergeCell ref="K167:K168"/>
    <mergeCell ref="Y178:Y179"/>
    <mergeCell ref="Z178:Z179"/>
    <mergeCell ref="U174:U175"/>
    <mergeCell ref="V174:V175"/>
    <mergeCell ref="C174:C175"/>
    <mergeCell ref="D174:D175"/>
    <mergeCell ref="E174:E175"/>
    <mergeCell ref="F174:F175"/>
    <mergeCell ref="C177:D177"/>
    <mergeCell ref="Z174:Z175"/>
    <mergeCell ref="C171:D171"/>
    <mergeCell ref="C172:C173"/>
    <mergeCell ref="D172:D173"/>
    <mergeCell ref="E172:E173"/>
    <mergeCell ref="N178:N179"/>
    <mergeCell ref="O178:O179"/>
    <mergeCell ref="J174:J175"/>
    <mergeCell ref="O172:O173"/>
    <mergeCell ref="F172:F173"/>
    <mergeCell ref="G172:G173"/>
    <mergeCell ref="R172:R173"/>
    <mergeCell ref="V182:V183"/>
    <mergeCell ref="P178:P179"/>
    <mergeCell ref="Q178:Q179"/>
    <mergeCell ref="R178:R179"/>
    <mergeCell ref="P182:P183"/>
    <mergeCell ref="S178:S179"/>
    <mergeCell ref="Q182:Q183"/>
    <mergeCell ref="R182:R183"/>
    <mergeCell ref="R174:R175"/>
    <mergeCell ref="C178:C179"/>
    <mergeCell ref="D178:D179"/>
    <mergeCell ref="E178:E179"/>
    <mergeCell ref="F178:F179"/>
    <mergeCell ref="P172:P173"/>
    <mergeCell ref="Q172:Q173"/>
    <mergeCell ref="I172:I173"/>
    <mergeCell ref="J172:J173"/>
    <mergeCell ref="AD174:AD175"/>
    <mergeCell ref="U178:U179"/>
    <mergeCell ref="K178:K179"/>
    <mergeCell ref="M178:M179"/>
    <mergeCell ref="AA178:AA179"/>
    <mergeCell ref="AB178:AB179"/>
    <mergeCell ref="T178:T179"/>
    <mergeCell ref="AC178:AC179"/>
    <mergeCell ref="AD178:AD179"/>
    <mergeCell ref="W178:W179"/>
    <mergeCell ref="C181:D181"/>
    <mergeCell ref="C182:C183"/>
    <mergeCell ref="D182:D183"/>
    <mergeCell ref="E182:E183"/>
    <mergeCell ref="K182:K183"/>
    <mergeCell ref="G182:G183"/>
    <mergeCell ref="I182:I183"/>
    <mergeCell ref="J182:J183"/>
    <mergeCell ref="F182:F183"/>
    <mergeCell ref="G178:G179"/>
    <mergeCell ref="H178:H179"/>
    <mergeCell ref="I178:I179"/>
    <mergeCell ref="J178:J179"/>
    <mergeCell ref="K186:K187"/>
    <mergeCell ref="L186:L187"/>
    <mergeCell ref="M186:M187"/>
    <mergeCell ref="N186:N187"/>
    <mergeCell ref="S182:S183"/>
    <mergeCell ref="T182:T183"/>
    <mergeCell ref="U182:U183"/>
    <mergeCell ref="O186:O187"/>
    <mergeCell ref="P186:P187"/>
    <mergeCell ref="Q186:Q187"/>
    <mergeCell ref="O182:O183"/>
    <mergeCell ref="U186:U187"/>
    <mergeCell ref="V186:V187"/>
    <mergeCell ref="W186:W187"/>
    <mergeCell ref="X186:X187"/>
    <mergeCell ref="W182:W183"/>
    <mergeCell ref="V178:V179"/>
    <mergeCell ref="X178:X179"/>
    <mergeCell ref="AC182:AC183"/>
    <mergeCell ref="AD182:AD183"/>
    <mergeCell ref="C185:D185"/>
    <mergeCell ref="X182:X183"/>
    <mergeCell ref="Y182:Y183"/>
    <mergeCell ref="Z182:Z183"/>
    <mergeCell ref="AA182:AA183"/>
    <mergeCell ref="M182:M183"/>
    <mergeCell ref="N182:N183"/>
    <mergeCell ref="D186:D187"/>
    <mergeCell ref="E186:E187"/>
    <mergeCell ref="F186:F187"/>
    <mergeCell ref="I186:I187"/>
    <mergeCell ref="J186:J187"/>
    <mergeCell ref="AB182:AB183"/>
    <mergeCell ref="S186:S187"/>
    <mergeCell ref="T186:T187"/>
    <mergeCell ref="AA186:AA187"/>
    <mergeCell ref="AB186:AB187"/>
    <mergeCell ref="AC186:AC187"/>
    <mergeCell ref="AD186:AD187"/>
    <mergeCell ref="C189:D189"/>
    <mergeCell ref="C190:D190"/>
    <mergeCell ref="Y186:Y187"/>
    <mergeCell ref="Z186:Z187"/>
    <mergeCell ref="G186:G187"/>
    <mergeCell ref="H186:H187"/>
    <mergeCell ref="R186:R187"/>
    <mergeCell ref="C186:C187"/>
    <mergeCell ref="AD191:AD192"/>
    <mergeCell ref="C194:D194"/>
    <mergeCell ref="Y191:Y192"/>
    <mergeCell ref="P191:P192"/>
    <mergeCell ref="Q191:Q192"/>
    <mergeCell ref="R191:R192"/>
    <mergeCell ref="S191:S192"/>
    <mergeCell ref="G191:G192"/>
    <mergeCell ref="H191:H192"/>
    <mergeCell ref="I191:I192"/>
    <mergeCell ref="W191:W192"/>
    <mergeCell ref="X191:X192"/>
    <mergeCell ref="C191:C192"/>
    <mergeCell ref="D191:D192"/>
    <mergeCell ref="E191:E192"/>
    <mergeCell ref="F191:F192"/>
    <mergeCell ref="N191:N192"/>
    <mergeCell ref="O191:O192"/>
    <mergeCell ref="K191:K192"/>
    <mergeCell ref="M191:M192"/>
    <mergeCell ref="L196:L197"/>
    <mergeCell ref="M196:M197"/>
    <mergeCell ref="N196:N197"/>
    <mergeCell ref="O196:O197"/>
    <mergeCell ref="C195:D195"/>
    <mergeCell ref="V191:V192"/>
    <mergeCell ref="J191:J192"/>
    <mergeCell ref="T191:T192"/>
    <mergeCell ref="U191:U192"/>
    <mergeCell ref="V198:V199"/>
    <mergeCell ref="X196:X197"/>
    <mergeCell ref="Y196:Y197"/>
    <mergeCell ref="F196:F197"/>
    <mergeCell ref="G196:G197"/>
    <mergeCell ref="I196:I197"/>
    <mergeCell ref="J196:J197"/>
    <mergeCell ref="T196:T197"/>
    <mergeCell ref="U196:U197"/>
    <mergeCell ref="V196:V197"/>
    <mergeCell ref="AD200:AD201"/>
    <mergeCell ref="AA200:AA201"/>
    <mergeCell ref="AB200:AB201"/>
    <mergeCell ref="AA198:AA199"/>
    <mergeCell ref="AD196:AD197"/>
    <mergeCell ref="AD198:AD199"/>
    <mergeCell ref="W196:W197"/>
    <mergeCell ref="Z196:Z197"/>
    <mergeCell ref="AA196:AA197"/>
    <mergeCell ref="C196:C197"/>
    <mergeCell ref="D196:D197"/>
    <mergeCell ref="E196:E197"/>
    <mergeCell ref="P196:P197"/>
    <mergeCell ref="Q196:Q197"/>
    <mergeCell ref="R196:R197"/>
    <mergeCell ref="S196:S197"/>
    <mergeCell ref="AB196:AB197"/>
    <mergeCell ref="AC196:AC197"/>
    <mergeCell ref="Z191:Z192"/>
    <mergeCell ref="AA191:AA192"/>
    <mergeCell ref="AB191:AB192"/>
    <mergeCell ref="AC191:AC192"/>
    <mergeCell ref="V204:V205"/>
    <mergeCell ref="T200:T201"/>
    <mergeCell ref="U200:U201"/>
    <mergeCell ref="V200:V201"/>
    <mergeCell ref="R200:R201"/>
    <mergeCell ref="S200:S201"/>
    <mergeCell ref="AC200:AC201"/>
    <mergeCell ref="T198:T199"/>
    <mergeCell ref="U198:U199"/>
    <mergeCell ref="Z198:Z199"/>
    <mergeCell ref="AB198:AB199"/>
    <mergeCell ref="W200:W201"/>
    <mergeCell ref="X200:X201"/>
    <mergeCell ref="Y200:Y201"/>
    <mergeCell ref="Z200:Z201"/>
    <mergeCell ref="W198:W199"/>
    <mergeCell ref="AC204:AC205"/>
    <mergeCell ref="G198:G199"/>
    <mergeCell ref="H198:H199"/>
    <mergeCell ref="I198:I199"/>
    <mergeCell ref="J198:J199"/>
    <mergeCell ref="H204:H205"/>
    <mergeCell ref="I204:I205"/>
    <mergeCell ref="K198:K199"/>
    <mergeCell ref="AC198:AC199"/>
    <mergeCell ref="X198:X199"/>
    <mergeCell ref="C198:C199"/>
    <mergeCell ref="D198:D199"/>
    <mergeCell ref="E198:E199"/>
    <mergeCell ref="F198:F199"/>
    <mergeCell ref="AA204:AA205"/>
    <mergeCell ref="AB204:AB205"/>
    <mergeCell ref="Y198:Y199"/>
    <mergeCell ref="Q204:Q205"/>
    <mergeCell ref="R204:R205"/>
    <mergeCell ref="U204:U205"/>
    <mergeCell ref="R198:R199"/>
    <mergeCell ref="S198:S199"/>
    <mergeCell ref="L198:L199"/>
    <mergeCell ref="M198:M199"/>
    <mergeCell ref="N198:N199"/>
    <mergeCell ref="O198:O199"/>
    <mergeCell ref="P198:P199"/>
    <mergeCell ref="Q198:Q199"/>
    <mergeCell ref="M200:M201"/>
    <mergeCell ref="C203:D203"/>
    <mergeCell ref="C204:C205"/>
    <mergeCell ref="D204:D205"/>
    <mergeCell ref="E204:E205"/>
    <mergeCell ref="F204:F205"/>
    <mergeCell ref="G204:G205"/>
    <mergeCell ref="C200:C201"/>
    <mergeCell ref="D200:D201"/>
    <mergeCell ref="E200:E201"/>
    <mergeCell ref="N204:N205"/>
    <mergeCell ref="O204:O205"/>
    <mergeCell ref="P204:P205"/>
    <mergeCell ref="O200:O201"/>
    <mergeCell ref="P200:P201"/>
    <mergeCell ref="Q200:Q201"/>
    <mergeCell ref="L204:L205"/>
    <mergeCell ref="M204:M205"/>
    <mergeCell ref="F200:F201"/>
    <mergeCell ref="O206:O207"/>
    <mergeCell ref="P206:P207"/>
    <mergeCell ref="G206:G207"/>
    <mergeCell ref="H206:H207"/>
    <mergeCell ref="I206:I207"/>
    <mergeCell ref="J206:J207"/>
    <mergeCell ref="N200:N201"/>
    <mergeCell ref="G200:G201"/>
    <mergeCell ref="H200:H201"/>
    <mergeCell ref="I200:I201"/>
    <mergeCell ref="J200:J201"/>
    <mergeCell ref="J204:J205"/>
    <mergeCell ref="K204:K205"/>
    <mergeCell ref="K200:K201"/>
    <mergeCell ref="L200:L201"/>
    <mergeCell ref="AC208:AC209"/>
    <mergeCell ref="AD204:AD205"/>
    <mergeCell ref="W204:W205"/>
    <mergeCell ref="X204:X205"/>
    <mergeCell ref="Y204:Y205"/>
    <mergeCell ref="Z204:Z205"/>
    <mergeCell ref="K206:K207"/>
    <mergeCell ref="L206:L207"/>
    <mergeCell ref="W206:W207"/>
    <mergeCell ref="X206:X207"/>
    <mergeCell ref="M206:M207"/>
    <mergeCell ref="N206:N207"/>
    <mergeCell ref="S204:S205"/>
    <mergeCell ref="T204:T205"/>
    <mergeCell ref="Q206:Q207"/>
    <mergeCell ref="R206:R207"/>
    <mergeCell ref="S206:S207"/>
    <mergeCell ref="T206:T207"/>
    <mergeCell ref="H208:H209"/>
    <mergeCell ref="I208:I209"/>
    <mergeCell ref="AA206:AA207"/>
    <mergeCell ref="AB206:AB207"/>
    <mergeCell ref="AC206:AC207"/>
    <mergeCell ref="AD206:AD207"/>
    <mergeCell ref="U206:U207"/>
    <mergeCell ref="V206:V207"/>
    <mergeCell ref="Y206:Y207"/>
    <mergeCell ref="Z206:Z207"/>
    <mergeCell ref="L208:L209"/>
    <mergeCell ref="M208:M209"/>
    <mergeCell ref="I210:I211"/>
    <mergeCell ref="Q208:Q209"/>
    <mergeCell ref="R208:R209"/>
    <mergeCell ref="C208:C209"/>
    <mergeCell ref="D208:D209"/>
    <mergeCell ref="E208:E209"/>
    <mergeCell ref="F208:F209"/>
    <mergeCell ref="G208:G209"/>
    <mergeCell ref="P208:P209"/>
    <mergeCell ref="C212:C213"/>
    <mergeCell ref="D212:D213"/>
    <mergeCell ref="E212:E213"/>
    <mergeCell ref="F212:F213"/>
    <mergeCell ref="G212:G213"/>
    <mergeCell ref="H212:H213"/>
    <mergeCell ref="I212:I213"/>
    <mergeCell ref="J208:J209"/>
    <mergeCell ref="K208:K209"/>
    <mergeCell ref="AD208:AD209"/>
    <mergeCell ref="W208:W209"/>
    <mergeCell ref="X208:X209"/>
    <mergeCell ref="Y208:Y209"/>
    <mergeCell ref="Z208:Z209"/>
    <mergeCell ref="AA208:AA209"/>
    <mergeCell ref="AB208:AB209"/>
    <mergeCell ref="C210:C211"/>
    <mergeCell ref="D210:D211"/>
    <mergeCell ref="E210:E211"/>
    <mergeCell ref="F210:F211"/>
    <mergeCell ref="C206:C207"/>
    <mergeCell ref="D206:D207"/>
    <mergeCell ref="E206:E207"/>
    <mergeCell ref="F206:F207"/>
    <mergeCell ref="G210:G211"/>
    <mergeCell ref="H210:H211"/>
    <mergeCell ref="U210:U211"/>
    <mergeCell ref="V210:V211"/>
    <mergeCell ref="S208:S209"/>
    <mergeCell ref="T208:T209"/>
    <mergeCell ref="U208:U209"/>
    <mergeCell ref="V208:V209"/>
    <mergeCell ref="N208:N209"/>
    <mergeCell ref="O208:O209"/>
    <mergeCell ref="Q210:Q211"/>
    <mergeCell ref="R210:R211"/>
    <mergeCell ref="S210:S211"/>
    <mergeCell ref="T210:T211"/>
    <mergeCell ref="W210:W211"/>
    <mergeCell ref="X210:X211"/>
    <mergeCell ref="Q212:Q213"/>
    <mergeCell ref="R212:R213"/>
    <mergeCell ref="S212:S213"/>
    <mergeCell ref="Q214:Q215"/>
    <mergeCell ref="V214:V215"/>
    <mergeCell ref="J210:J211"/>
    <mergeCell ref="K210:K211"/>
    <mergeCell ref="N210:N211"/>
    <mergeCell ref="O210:O211"/>
    <mergeCell ref="P210:P211"/>
    <mergeCell ref="N212:N213"/>
    <mergeCell ref="O212:O213"/>
    <mergeCell ref="P212:P213"/>
    <mergeCell ref="J212:J213"/>
    <mergeCell ref="K214:K215"/>
    <mergeCell ref="L214:L215"/>
    <mergeCell ref="K212:K213"/>
    <mergeCell ref="M212:M213"/>
    <mergeCell ref="R216:R217"/>
    <mergeCell ref="H214:H215"/>
    <mergeCell ref="I214:I215"/>
    <mergeCell ref="M214:M215"/>
    <mergeCell ref="N214:N215"/>
    <mergeCell ref="D214:D215"/>
    <mergeCell ref="E214:E215"/>
    <mergeCell ref="F214:F215"/>
    <mergeCell ref="G214:G215"/>
    <mergeCell ref="Q216:Q217"/>
    <mergeCell ref="J216:J217"/>
    <mergeCell ref="K216:K217"/>
    <mergeCell ref="L216:L217"/>
    <mergeCell ref="M216:M217"/>
    <mergeCell ref="N216:N217"/>
    <mergeCell ref="O216:O217"/>
    <mergeCell ref="P216:P217"/>
    <mergeCell ref="R214:R215"/>
    <mergeCell ref="W214:W215"/>
    <mergeCell ref="Z210:Z211"/>
    <mergeCell ref="X214:X215"/>
    <mergeCell ref="Y214:Y215"/>
    <mergeCell ref="S216:S217"/>
    <mergeCell ref="T216:T217"/>
    <mergeCell ref="T212:T213"/>
    <mergeCell ref="S214:S215"/>
    <mergeCell ref="T214:T215"/>
    <mergeCell ref="AA210:AA211"/>
    <mergeCell ref="AB210:AB211"/>
    <mergeCell ref="Z214:Z215"/>
    <mergeCell ref="AA214:AA215"/>
    <mergeCell ref="AB214:AB215"/>
    <mergeCell ref="U214:U215"/>
    <mergeCell ref="AC210:AC211"/>
    <mergeCell ref="AD210:AD211"/>
    <mergeCell ref="U212:U213"/>
    <mergeCell ref="V212:V213"/>
    <mergeCell ref="W212:W213"/>
    <mergeCell ref="X212:X213"/>
    <mergeCell ref="Y212:Y213"/>
    <mergeCell ref="Z212:Z213"/>
    <mergeCell ref="AA212:AA213"/>
    <mergeCell ref="Y210:Y211"/>
    <mergeCell ref="Z216:Z217"/>
    <mergeCell ref="AA216:AA217"/>
    <mergeCell ref="AB216:AB217"/>
    <mergeCell ref="AC216:AC217"/>
    <mergeCell ref="Y216:Y217"/>
    <mergeCell ref="U216:U217"/>
    <mergeCell ref="V216:V217"/>
    <mergeCell ref="W216:W217"/>
    <mergeCell ref="X216:X217"/>
    <mergeCell ref="C218:C219"/>
    <mergeCell ref="D218:D219"/>
    <mergeCell ref="E218:E219"/>
    <mergeCell ref="F218:F219"/>
    <mergeCell ref="AD216:AD217"/>
    <mergeCell ref="AB212:AB213"/>
    <mergeCell ref="AC212:AC213"/>
    <mergeCell ref="AD212:AD213"/>
    <mergeCell ref="AC214:AC215"/>
    <mergeCell ref="AD214:AD215"/>
    <mergeCell ref="H216:H217"/>
    <mergeCell ref="I216:I217"/>
    <mergeCell ref="O214:O215"/>
    <mergeCell ref="P214:P215"/>
    <mergeCell ref="L218:L219"/>
    <mergeCell ref="M218:M219"/>
    <mergeCell ref="N218:N219"/>
    <mergeCell ref="O218:O219"/>
    <mergeCell ref="J218:J219"/>
    <mergeCell ref="K218:K219"/>
    <mergeCell ref="G218:G219"/>
    <mergeCell ref="P218:P219"/>
    <mergeCell ref="Q218:Q219"/>
    <mergeCell ref="C216:C217"/>
    <mergeCell ref="D216:D217"/>
    <mergeCell ref="E216:E217"/>
    <mergeCell ref="F216:F217"/>
    <mergeCell ref="G216:G217"/>
    <mergeCell ref="T218:T219"/>
    <mergeCell ref="U218:U219"/>
    <mergeCell ref="V218:V219"/>
    <mergeCell ref="Y218:Y219"/>
    <mergeCell ref="C214:C215"/>
    <mergeCell ref="J214:J215"/>
    <mergeCell ref="R218:R219"/>
    <mergeCell ref="S218:S219"/>
    <mergeCell ref="H218:H219"/>
    <mergeCell ref="I218:I219"/>
    <mergeCell ref="AD218:AD219"/>
    <mergeCell ref="Z220:Z221"/>
    <mergeCell ref="AA220:AA221"/>
    <mergeCell ref="AB220:AB221"/>
    <mergeCell ref="Z218:Z219"/>
    <mergeCell ref="AA218:AA219"/>
    <mergeCell ref="AB218:AB219"/>
    <mergeCell ref="AC218:AC219"/>
    <mergeCell ref="W218:W219"/>
    <mergeCell ref="X218:X219"/>
    <mergeCell ref="R222:R223"/>
    <mergeCell ref="S222:S223"/>
    <mergeCell ref="AC220:AC221"/>
    <mergeCell ref="AD220:AD221"/>
    <mergeCell ref="X222:X223"/>
    <mergeCell ref="AA222:AA223"/>
    <mergeCell ref="AB222:AB223"/>
    <mergeCell ref="AC222:AC223"/>
    <mergeCell ref="C224:C225"/>
    <mergeCell ref="D224:D225"/>
    <mergeCell ref="E224:E225"/>
    <mergeCell ref="F224:F225"/>
    <mergeCell ref="Y220:Y221"/>
    <mergeCell ref="S220:S221"/>
    <mergeCell ref="Y222:Y223"/>
    <mergeCell ref="H220:H221"/>
    <mergeCell ref="I220:I221"/>
    <mergeCell ref="J220:J221"/>
    <mergeCell ref="K222:K223"/>
    <mergeCell ref="M222:M223"/>
    <mergeCell ref="N222:N223"/>
    <mergeCell ref="L220:L221"/>
    <mergeCell ref="M220:M221"/>
    <mergeCell ref="N220:N221"/>
    <mergeCell ref="Q220:Q221"/>
    <mergeCell ref="R220:R221"/>
    <mergeCell ref="C220:C221"/>
    <mergeCell ref="D220:D221"/>
    <mergeCell ref="E220:E221"/>
    <mergeCell ref="F220:F221"/>
    <mergeCell ref="G220:G221"/>
    <mergeCell ref="O220:O221"/>
    <mergeCell ref="P220:P221"/>
    <mergeCell ref="C222:C223"/>
    <mergeCell ref="D222:D223"/>
    <mergeCell ref="E222:E223"/>
    <mergeCell ref="F222:F223"/>
    <mergeCell ref="G222:G223"/>
    <mergeCell ref="H222:H223"/>
    <mergeCell ref="P222:P223"/>
    <mergeCell ref="K220:K221"/>
    <mergeCell ref="R224:R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I222:I223"/>
    <mergeCell ref="J222:J223"/>
    <mergeCell ref="Q222:Q223"/>
    <mergeCell ref="Q224:Q225"/>
    <mergeCell ref="O222:O223"/>
    <mergeCell ref="T220:T221"/>
    <mergeCell ref="U220:U221"/>
    <mergeCell ref="V220:V221"/>
    <mergeCell ref="W220:W221"/>
    <mergeCell ref="X220:X221"/>
    <mergeCell ref="W222:W223"/>
    <mergeCell ref="T222:T223"/>
    <mergeCell ref="U222:U223"/>
    <mergeCell ref="V222:V223"/>
    <mergeCell ref="Y224:Y225"/>
    <mergeCell ref="Z224:Z225"/>
    <mergeCell ref="S224:S225"/>
    <mergeCell ref="X224:X225"/>
    <mergeCell ref="V224:V225"/>
    <mergeCell ref="Z222:Z223"/>
    <mergeCell ref="Z228:Z229"/>
    <mergeCell ref="AA224:AA225"/>
    <mergeCell ref="T230:T231"/>
    <mergeCell ref="U230:U231"/>
    <mergeCell ref="V230:V231"/>
    <mergeCell ref="Y228:Y229"/>
    <mergeCell ref="W228:W229"/>
    <mergeCell ref="T224:T225"/>
    <mergeCell ref="U224:U225"/>
    <mergeCell ref="X228:X229"/>
    <mergeCell ref="AB224:AB225"/>
    <mergeCell ref="W230:W231"/>
    <mergeCell ref="X230:X231"/>
    <mergeCell ref="Y230:Y231"/>
    <mergeCell ref="Z230:Z231"/>
    <mergeCell ref="W224:W225"/>
    <mergeCell ref="K230:K231"/>
    <mergeCell ref="L230:L231"/>
    <mergeCell ref="M230:M231"/>
    <mergeCell ref="N230:N231"/>
    <mergeCell ref="AD222:AD223"/>
    <mergeCell ref="AC224:AC225"/>
    <mergeCell ref="AD224:AD225"/>
    <mergeCell ref="T228:T229"/>
    <mergeCell ref="U228:U229"/>
    <mergeCell ref="V228:V229"/>
    <mergeCell ref="G230:G231"/>
    <mergeCell ref="H230:H231"/>
    <mergeCell ref="I230:I231"/>
    <mergeCell ref="J230:J231"/>
    <mergeCell ref="G232:G233"/>
    <mergeCell ref="C227:D227"/>
    <mergeCell ref="C228:C229"/>
    <mergeCell ref="D228:D229"/>
    <mergeCell ref="E228:E229"/>
    <mergeCell ref="Q228:Q229"/>
    <mergeCell ref="F228:F229"/>
    <mergeCell ref="G228:G229"/>
    <mergeCell ref="I228:I229"/>
    <mergeCell ref="J228:J229"/>
    <mergeCell ref="K228:K229"/>
    <mergeCell ref="L228:L229"/>
    <mergeCell ref="M228:M229"/>
    <mergeCell ref="N228:N229"/>
    <mergeCell ref="H232:H233"/>
    <mergeCell ref="I232:I233"/>
    <mergeCell ref="O230:O231"/>
    <mergeCell ref="M232:M233"/>
    <mergeCell ref="C230:C231"/>
    <mergeCell ref="D230:D231"/>
    <mergeCell ref="E230:E231"/>
    <mergeCell ref="F230:F231"/>
    <mergeCell ref="O228:O229"/>
    <mergeCell ref="AC232:AC233"/>
    <mergeCell ref="AD232:AD233"/>
    <mergeCell ref="AA228:AA229"/>
    <mergeCell ref="AB228:AB229"/>
    <mergeCell ref="AC228:AC229"/>
    <mergeCell ref="AD228:AD229"/>
    <mergeCell ref="AA230:AA231"/>
    <mergeCell ref="AB230:AB231"/>
    <mergeCell ref="AC230:AC231"/>
    <mergeCell ref="AD230:AD231"/>
    <mergeCell ref="R228:R229"/>
    <mergeCell ref="S228:S229"/>
    <mergeCell ref="S230:S231"/>
    <mergeCell ref="P230:P231"/>
    <mergeCell ref="P232:P233"/>
    <mergeCell ref="Q232:Q233"/>
    <mergeCell ref="Q230:Q231"/>
    <mergeCell ref="R230:R231"/>
    <mergeCell ref="R232:R233"/>
    <mergeCell ref="P228:P229"/>
    <mergeCell ref="C232:C233"/>
    <mergeCell ref="D232:D233"/>
    <mergeCell ref="E232:E233"/>
    <mergeCell ref="F232:F233"/>
    <mergeCell ref="K234:K235"/>
    <mergeCell ref="L234:L235"/>
    <mergeCell ref="J232:J233"/>
    <mergeCell ref="K232:K233"/>
    <mergeCell ref="L232:L233"/>
    <mergeCell ref="S232:S233"/>
    <mergeCell ref="R234:R235"/>
    <mergeCell ref="S234:S235"/>
    <mergeCell ref="Q234:Q235"/>
    <mergeCell ref="M234:M235"/>
    <mergeCell ref="N234:N235"/>
    <mergeCell ref="O234:O235"/>
    <mergeCell ref="P234:P235"/>
    <mergeCell ref="N232:N233"/>
    <mergeCell ref="O232:O233"/>
    <mergeCell ref="T232:T233"/>
    <mergeCell ref="Z234:Z235"/>
    <mergeCell ref="AA234:AA235"/>
    <mergeCell ref="U232:U233"/>
    <mergeCell ref="V232:V233"/>
    <mergeCell ref="W232:W233"/>
    <mergeCell ref="X232:X233"/>
    <mergeCell ref="Y232:Y233"/>
    <mergeCell ref="AB232:AB233"/>
    <mergeCell ref="T234:T235"/>
    <mergeCell ref="U234:U235"/>
    <mergeCell ref="V234:V235"/>
    <mergeCell ref="W234:W235"/>
    <mergeCell ref="X234:X235"/>
    <mergeCell ref="Y234:Y235"/>
    <mergeCell ref="AB234:AB235"/>
    <mergeCell ref="Z232:Z233"/>
    <mergeCell ref="AA232:AA233"/>
    <mergeCell ref="AC234:AC235"/>
    <mergeCell ref="AD234:AD235"/>
    <mergeCell ref="C236:C237"/>
    <mergeCell ref="D236:D237"/>
    <mergeCell ref="E236:E237"/>
    <mergeCell ref="F236:F237"/>
    <mergeCell ref="G236:G237"/>
    <mergeCell ref="H236:H237"/>
    <mergeCell ref="I236:I237"/>
    <mergeCell ref="C234:C235"/>
    <mergeCell ref="R236:R237"/>
    <mergeCell ref="S236:S237"/>
    <mergeCell ref="D234:D235"/>
    <mergeCell ref="N236:N237"/>
    <mergeCell ref="O236:O237"/>
    <mergeCell ref="E234:E235"/>
    <mergeCell ref="F234:F235"/>
    <mergeCell ref="G234:G235"/>
    <mergeCell ref="H234:H235"/>
    <mergeCell ref="I234:I235"/>
    <mergeCell ref="J234:J235"/>
    <mergeCell ref="J236:J237"/>
    <mergeCell ref="K236:K237"/>
    <mergeCell ref="L236:L237"/>
    <mergeCell ref="M236:M237"/>
    <mergeCell ref="H238:H239"/>
    <mergeCell ref="I238:I239"/>
    <mergeCell ref="X236:X237"/>
    <mergeCell ref="Y236:Y237"/>
    <mergeCell ref="V236:V237"/>
    <mergeCell ref="W236:W237"/>
    <mergeCell ref="T236:T237"/>
    <mergeCell ref="U236:U237"/>
    <mergeCell ref="P236:P237"/>
    <mergeCell ref="Q236:Q237"/>
    <mergeCell ref="AB236:AB237"/>
    <mergeCell ref="AC236:AC237"/>
    <mergeCell ref="Z236:Z237"/>
    <mergeCell ref="AA236:AA237"/>
    <mergeCell ref="AD236:AD237"/>
    <mergeCell ref="C238:C239"/>
    <mergeCell ref="D238:D239"/>
    <mergeCell ref="E238:E239"/>
    <mergeCell ref="F238:F239"/>
    <mergeCell ref="G238:G239"/>
    <mergeCell ref="AC238:AC239"/>
    <mergeCell ref="N238:N239"/>
    <mergeCell ref="O238:O239"/>
    <mergeCell ref="P238:P239"/>
    <mergeCell ref="Q238:Q239"/>
    <mergeCell ref="J238:J239"/>
    <mergeCell ref="K238:K239"/>
    <mergeCell ref="L238:L239"/>
    <mergeCell ref="M238:M239"/>
    <mergeCell ref="L240:L241"/>
    <mergeCell ref="M240:M241"/>
    <mergeCell ref="V240:V241"/>
    <mergeCell ref="V242:V243"/>
    <mergeCell ref="R240:R241"/>
    <mergeCell ref="S240:S241"/>
    <mergeCell ref="T240:T241"/>
    <mergeCell ref="U240:U241"/>
    <mergeCell ref="S242:S243"/>
    <mergeCell ref="T242:T243"/>
    <mergeCell ref="N240:N241"/>
    <mergeCell ref="O240:O241"/>
    <mergeCell ref="P240:P241"/>
    <mergeCell ref="Q240:Q241"/>
    <mergeCell ref="AD238:AD239"/>
    <mergeCell ref="C240:C241"/>
    <mergeCell ref="D240:D241"/>
    <mergeCell ref="E240:E241"/>
    <mergeCell ref="F240:F241"/>
    <mergeCell ref="G240:G241"/>
    <mergeCell ref="R238:R239"/>
    <mergeCell ref="S238:S239"/>
    <mergeCell ref="T238:T239"/>
    <mergeCell ref="U238:U239"/>
    <mergeCell ref="AD240:AD241"/>
    <mergeCell ref="AA240:AA241"/>
    <mergeCell ref="AB240:AB241"/>
    <mergeCell ref="AC240:AC241"/>
    <mergeCell ref="AA238:AA239"/>
    <mergeCell ref="AB238:AB239"/>
    <mergeCell ref="L244:L245"/>
    <mergeCell ref="C244:C245"/>
    <mergeCell ref="D244:D245"/>
    <mergeCell ref="E244:E245"/>
    <mergeCell ref="F244:F245"/>
    <mergeCell ref="AD242:AD243"/>
    <mergeCell ref="U242:U243"/>
    <mergeCell ref="N242:N243"/>
    <mergeCell ref="G244:G245"/>
    <mergeCell ref="J242:J243"/>
    <mergeCell ref="K242:K243"/>
    <mergeCell ref="L242:L243"/>
    <mergeCell ref="G242:G243"/>
    <mergeCell ref="H242:H243"/>
    <mergeCell ref="I242:I243"/>
    <mergeCell ref="J244:J245"/>
    <mergeCell ref="K244:K245"/>
    <mergeCell ref="X240:X241"/>
    <mergeCell ref="Y240:Y241"/>
    <mergeCell ref="M242:M243"/>
    <mergeCell ref="W240:W241"/>
    <mergeCell ref="Z238:Z239"/>
    <mergeCell ref="V238:V239"/>
    <mergeCell ref="W238:W239"/>
    <mergeCell ref="X238:X239"/>
    <mergeCell ref="Y238:Y239"/>
    <mergeCell ref="Z240:Z241"/>
    <mergeCell ref="C242:C243"/>
    <mergeCell ref="D242:D243"/>
    <mergeCell ref="E242:E243"/>
    <mergeCell ref="F242:F243"/>
    <mergeCell ref="J240:J241"/>
    <mergeCell ref="K240:K241"/>
    <mergeCell ref="H240:H241"/>
    <mergeCell ref="I240:I241"/>
    <mergeCell ref="P242:P243"/>
    <mergeCell ref="Q242:Q243"/>
    <mergeCell ref="Z246:Z247"/>
    <mergeCell ref="T244:T245"/>
    <mergeCell ref="U244:U245"/>
    <mergeCell ref="V244:V245"/>
    <mergeCell ref="W244:W245"/>
    <mergeCell ref="X244:X245"/>
    <mergeCell ref="Y244:Y245"/>
    <mergeCell ref="R242:R243"/>
    <mergeCell ref="AA242:AA243"/>
    <mergeCell ref="AB242:AB243"/>
    <mergeCell ref="AC242:AC243"/>
    <mergeCell ref="AB244:AB245"/>
    <mergeCell ref="AC244:AC245"/>
    <mergeCell ref="AA244:AA245"/>
    <mergeCell ref="M244:M245"/>
    <mergeCell ref="N244:N245"/>
    <mergeCell ref="O244:O245"/>
    <mergeCell ref="P244:P245"/>
    <mergeCell ref="Z244:Z245"/>
    <mergeCell ref="W242:W243"/>
    <mergeCell ref="X242:X243"/>
    <mergeCell ref="Y242:Y243"/>
    <mergeCell ref="Z242:Z243"/>
    <mergeCell ref="O242:O243"/>
    <mergeCell ref="Q244:Q245"/>
    <mergeCell ref="V250:V251"/>
    <mergeCell ref="T246:T247"/>
    <mergeCell ref="U246:U247"/>
    <mergeCell ref="V246:V247"/>
    <mergeCell ref="T250:T251"/>
    <mergeCell ref="U250:U251"/>
    <mergeCell ref="R246:R247"/>
    <mergeCell ref="S246:S247"/>
    <mergeCell ref="R244:R245"/>
    <mergeCell ref="AA250:AA251"/>
    <mergeCell ref="W246:W247"/>
    <mergeCell ref="X246:X247"/>
    <mergeCell ref="Y246:Y247"/>
    <mergeCell ref="AC250:AC251"/>
    <mergeCell ref="AB250:AB251"/>
    <mergeCell ref="AA246:AA247"/>
    <mergeCell ref="AB246:AB247"/>
    <mergeCell ref="AC246:AC247"/>
    <mergeCell ref="H246:H247"/>
    <mergeCell ref="I246:I247"/>
    <mergeCell ref="J246:J247"/>
    <mergeCell ref="K246:K247"/>
    <mergeCell ref="AD250:AD251"/>
    <mergeCell ref="F250:F251"/>
    <mergeCell ref="G250:G251"/>
    <mergeCell ref="I250:I251"/>
    <mergeCell ref="J250:J251"/>
    <mergeCell ref="W250:W251"/>
    <mergeCell ref="L246:L247"/>
    <mergeCell ref="M246:M247"/>
    <mergeCell ref="N246:N247"/>
    <mergeCell ref="O246:O247"/>
    <mergeCell ref="AD244:AD245"/>
    <mergeCell ref="C246:C247"/>
    <mergeCell ref="D246:D247"/>
    <mergeCell ref="E246:E247"/>
    <mergeCell ref="F246:F247"/>
    <mergeCell ref="G246:G247"/>
    <mergeCell ref="G254:G255"/>
    <mergeCell ref="S244:S245"/>
    <mergeCell ref="H244:H245"/>
    <mergeCell ref="I244:I245"/>
    <mergeCell ref="C252:C253"/>
    <mergeCell ref="D252:D253"/>
    <mergeCell ref="N250:N251"/>
    <mergeCell ref="O250:O251"/>
    <mergeCell ref="R252:R253"/>
    <mergeCell ref="S252:S253"/>
    <mergeCell ref="E252:E253"/>
    <mergeCell ref="F252:F253"/>
    <mergeCell ref="N252:N253"/>
    <mergeCell ref="O252:O253"/>
    <mergeCell ref="P252:P253"/>
    <mergeCell ref="Q252:Q253"/>
    <mergeCell ref="H252:H253"/>
    <mergeCell ref="AD246:AD247"/>
    <mergeCell ref="P250:P251"/>
    <mergeCell ref="Q250:Q251"/>
    <mergeCell ref="R250:R251"/>
    <mergeCell ref="S250:S251"/>
    <mergeCell ref="P246:P247"/>
    <mergeCell ref="Q246:Q247"/>
    <mergeCell ref="X250:X251"/>
    <mergeCell ref="Y250:Y251"/>
    <mergeCell ref="Z250:Z251"/>
    <mergeCell ref="T252:T253"/>
    <mergeCell ref="C249:D249"/>
    <mergeCell ref="C250:C251"/>
    <mergeCell ref="D250:D251"/>
    <mergeCell ref="E250:E251"/>
    <mergeCell ref="K252:K253"/>
    <mergeCell ref="M252:M253"/>
    <mergeCell ref="K250:K251"/>
    <mergeCell ref="M250:M251"/>
    <mergeCell ref="G252:G253"/>
    <mergeCell ref="AD254:AD255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AC252:AC253"/>
    <mergeCell ref="AD252:AD253"/>
    <mergeCell ref="W252:W253"/>
    <mergeCell ref="X252:X253"/>
    <mergeCell ref="Y252:Y253"/>
    <mergeCell ref="Z252:Z253"/>
    <mergeCell ref="AA252:AA253"/>
    <mergeCell ref="AB252:AB253"/>
    <mergeCell ref="U252:U253"/>
    <mergeCell ref="V252:V253"/>
    <mergeCell ref="C254:C255"/>
    <mergeCell ref="D254:D255"/>
    <mergeCell ref="E254:E255"/>
    <mergeCell ref="F254:F255"/>
    <mergeCell ref="I252:I253"/>
    <mergeCell ref="J252:J253"/>
    <mergeCell ref="N254:N255"/>
    <mergeCell ref="O254:O255"/>
    <mergeCell ref="P258:P259"/>
    <mergeCell ref="Q258:Q259"/>
    <mergeCell ref="H254:H255"/>
    <mergeCell ref="I254:I255"/>
    <mergeCell ref="J254:J255"/>
    <mergeCell ref="T254:T255"/>
    <mergeCell ref="P254:P255"/>
    <mergeCell ref="Q254:Q255"/>
    <mergeCell ref="Z254:Z255"/>
    <mergeCell ref="AA254:AA255"/>
    <mergeCell ref="AB254:AB255"/>
    <mergeCell ref="U254:U255"/>
    <mergeCell ref="G258:G259"/>
    <mergeCell ref="H258:H259"/>
    <mergeCell ref="I258:I259"/>
    <mergeCell ref="J258:J259"/>
    <mergeCell ref="K258:K259"/>
    <mergeCell ref="M258:M259"/>
    <mergeCell ref="R254:R255"/>
    <mergeCell ref="S254:S255"/>
    <mergeCell ref="K254:K255"/>
    <mergeCell ref="M254:M255"/>
    <mergeCell ref="M256:M257"/>
    <mergeCell ref="AC254:AC255"/>
    <mergeCell ref="V254:V255"/>
    <mergeCell ref="W254:W255"/>
    <mergeCell ref="X254:X255"/>
    <mergeCell ref="Y254:Y255"/>
    <mergeCell ref="AD256:AD257"/>
    <mergeCell ref="U258:U259"/>
    <mergeCell ref="V258:V259"/>
    <mergeCell ref="W258:W259"/>
    <mergeCell ref="X258:X259"/>
    <mergeCell ref="Y258:Y259"/>
    <mergeCell ref="Z258:Z259"/>
    <mergeCell ref="W256:W257"/>
    <mergeCell ref="AC258:AC259"/>
    <mergeCell ref="C258:C259"/>
    <mergeCell ref="D258:D259"/>
    <mergeCell ref="E258:E259"/>
    <mergeCell ref="F258:F259"/>
    <mergeCell ref="AA258:AA259"/>
    <mergeCell ref="R258:R259"/>
    <mergeCell ref="S258:S259"/>
    <mergeCell ref="AB258:AB259"/>
    <mergeCell ref="T258:T259"/>
    <mergeCell ref="Q256:Q257"/>
    <mergeCell ref="R256:R257"/>
    <mergeCell ref="T256:T257"/>
    <mergeCell ref="AC256:AC257"/>
    <mergeCell ref="AA256:AA257"/>
    <mergeCell ref="AB256:AB257"/>
    <mergeCell ref="Y256:Y257"/>
    <mergeCell ref="Z256:Z257"/>
    <mergeCell ref="S256:S257"/>
    <mergeCell ref="X256:X257"/>
    <mergeCell ref="AA262:AA263"/>
    <mergeCell ref="AB262:AB263"/>
    <mergeCell ref="Y260:Y261"/>
    <mergeCell ref="N258:N259"/>
    <mergeCell ref="O258:O259"/>
    <mergeCell ref="U256:U257"/>
    <mergeCell ref="V256:V257"/>
    <mergeCell ref="N256:N257"/>
    <mergeCell ref="O256:O257"/>
    <mergeCell ref="P256:P257"/>
    <mergeCell ref="G262:G263"/>
    <mergeCell ref="H262:H263"/>
    <mergeCell ref="I262:I263"/>
    <mergeCell ref="J262:J263"/>
    <mergeCell ref="AD258:AD259"/>
    <mergeCell ref="AD260:AD261"/>
    <mergeCell ref="W260:W261"/>
    <mergeCell ref="AC262:AC263"/>
    <mergeCell ref="AD262:AD263"/>
    <mergeCell ref="AC260:AC261"/>
    <mergeCell ref="K262:K263"/>
    <mergeCell ref="AA260:AA261"/>
    <mergeCell ref="AB260:AB261"/>
    <mergeCell ref="Z260:Z261"/>
    <mergeCell ref="R262:R263"/>
    <mergeCell ref="N262:N263"/>
    <mergeCell ref="O262:O263"/>
    <mergeCell ref="P262:P263"/>
    <mergeCell ref="Q262:Q263"/>
    <mergeCell ref="Y262:Y263"/>
    <mergeCell ref="G260:G261"/>
    <mergeCell ref="H260:H261"/>
    <mergeCell ref="Q260:Q261"/>
    <mergeCell ref="R260:R261"/>
    <mergeCell ref="I260:I261"/>
    <mergeCell ref="J260:J261"/>
    <mergeCell ref="K260:K261"/>
    <mergeCell ref="M260:M261"/>
    <mergeCell ref="Z266:Z267"/>
    <mergeCell ref="AA266:AA267"/>
    <mergeCell ref="AB266:AB267"/>
    <mergeCell ref="AC266:AC267"/>
    <mergeCell ref="S260:S261"/>
    <mergeCell ref="W262:W263"/>
    <mergeCell ref="X262:X263"/>
    <mergeCell ref="X260:X261"/>
    <mergeCell ref="V262:V263"/>
    <mergeCell ref="Z262:Z263"/>
    <mergeCell ref="X264:X265"/>
    <mergeCell ref="Y264:Y265"/>
    <mergeCell ref="T264:T265"/>
    <mergeCell ref="U264:U265"/>
    <mergeCell ref="AD264:AD265"/>
    <mergeCell ref="U266:U267"/>
    <mergeCell ref="V266:V267"/>
    <mergeCell ref="W266:W267"/>
    <mergeCell ref="X266:X267"/>
    <mergeCell ref="Y266:Y267"/>
    <mergeCell ref="AB264:AB265"/>
    <mergeCell ref="AC264:AC265"/>
    <mergeCell ref="AD266:AD267"/>
    <mergeCell ref="Z264:Z265"/>
    <mergeCell ref="T266:T267"/>
    <mergeCell ref="R264:R265"/>
    <mergeCell ref="S264:S265"/>
    <mergeCell ref="AA264:AA265"/>
    <mergeCell ref="V264:V265"/>
    <mergeCell ref="W264:W265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C264:C265"/>
    <mergeCell ref="P266:P267"/>
    <mergeCell ref="Q266:Q267"/>
    <mergeCell ref="R266:R267"/>
    <mergeCell ref="O264:O265"/>
    <mergeCell ref="K266:K267"/>
    <mergeCell ref="G264:G265"/>
    <mergeCell ref="H264:H265"/>
    <mergeCell ref="I264:I265"/>
    <mergeCell ref="J264:J265"/>
    <mergeCell ref="S266:S267"/>
    <mergeCell ref="O266:O267"/>
    <mergeCell ref="D264:D265"/>
    <mergeCell ref="E264:E265"/>
    <mergeCell ref="F264:F265"/>
    <mergeCell ref="P264:P265"/>
    <mergeCell ref="Q264:Q265"/>
    <mergeCell ref="K264:K265"/>
    <mergeCell ref="M264:M265"/>
    <mergeCell ref="N264:N265"/>
    <mergeCell ref="C262:C263"/>
    <mergeCell ref="D262:D263"/>
    <mergeCell ref="E262:E263"/>
    <mergeCell ref="F262:F263"/>
    <mergeCell ref="C260:C261"/>
    <mergeCell ref="D260:D261"/>
    <mergeCell ref="E260:E261"/>
    <mergeCell ref="F260:F261"/>
    <mergeCell ref="M262:M263"/>
    <mergeCell ref="T260:T261"/>
    <mergeCell ref="U260:U261"/>
    <mergeCell ref="V260:V261"/>
    <mergeCell ref="P260:P261"/>
    <mergeCell ref="N260:N261"/>
    <mergeCell ref="O260:O261"/>
    <mergeCell ref="S262:S263"/>
    <mergeCell ref="T262:T263"/>
    <mergeCell ref="U262:U263"/>
    <mergeCell ref="U268:U269"/>
    <mergeCell ref="M268:M269"/>
    <mergeCell ref="N268:N269"/>
    <mergeCell ref="O268:O269"/>
    <mergeCell ref="P268:P269"/>
    <mergeCell ref="Q268:Q269"/>
    <mergeCell ref="R268:R269"/>
    <mergeCell ref="S268:S269"/>
    <mergeCell ref="X268:X269"/>
    <mergeCell ref="Y268:Y269"/>
    <mergeCell ref="Z268:Z269"/>
    <mergeCell ref="AC268:AC269"/>
    <mergeCell ref="AD268:AD269"/>
    <mergeCell ref="V268:V269"/>
    <mergeCell ref="AA268:AA269"/>
    <mergeCell ref="AB268:AB269"/>
    <mergeCell ref="W268:W269"/>
    <mergeCell ref="K268:K269"/>
    <mergeCell ref="C270:C271"/>
    <mergeCell ref="D270:D271"/>
    <mergeCell ref="E270:E271"/>
    <mergeCell ref="F270:F271"/>
    <mergeCell ref="T268:T269"/>
    <mergeCell ref="G268:G269"/>
    <mergeCell ref="H268:H269"/>
    <mergeCell ref="C268:C269"/>
    <mergeCell ref="D268:D269"/>
    <mergeCell ref="C272:C273"/>
    <mergeCell ref="D272:D273"/>
    <mergeCell ref="E272:E273"/>
    <mergeCell ref="F272:F273"/>
    <mergeCell ref="I268:I269"/>
    <mergeCell ref="J268:J269"/>
    <mergeCell ref="E268:E269"/>
    <mergeCell ref="F268:F269"/>
    <mergeCell ref="P270:P271"/>
    <mergeCell ref="H270:H271"/>
    <mergeCell ref="I270:I271"/>
    <mergeCell ref="J270:J271"/>
    <mergeCell ref="K270:K271"/>
    <mergeCell ref="G272:G273"/>
    <mergeCell ref="H272:H273"/>
    <mergeCell ref="Y272:Y273"/>
    <mergeCell ref="Z272:Z273"/>
    <mergeCell ref="R272:R273"/>
    <mergeCell ref="G270:G271"/>
    <mergeCell ref="S270:S271"/>
    <mergeCell ref="T270:T271"/>
    <mergeCell ref="M270:M271"/>
    <mergeCell ref="N270:N271"/>
    <mergeCell ref="O270:O271"/>
    <mergeCell ref="U270:U271"/>
    <mergeCell ref="Q270:Q271"/>
    <mergeCell ref="R270:R271"/>
    <mergeCell ref="W270:W271"/>
    <mergeCell ref="I272:I273"/>
    <mergeCell ref="Q272:Q273"/>
    <mergeCell ref="J272:J273"/>
    <mergeCell ref="K272:K273"/>
    <mergeCell ref="M272:M273"/>
    <mergeCell ref="N272:N273"/>
    <mergeCell ref="O272:O273"/>
    <mergeCell ref="X270:X271"/>
    <mergeCell ref="Y270:Y271"/>
    <mergeCell ref="AD270:AD271"/>
    <mergeCell ref="T274:T275"/>
    <mergeCell ref="U274:U275"/>
    <mergeCell ref="X272:X273"/>
    <mergeCell ref="X274:X275"/>
    <mergeCell ref="AB270:AB271"/>
    <mergeCell ref="AC270:AC271"/>
    <mergeCell ref="V270:V271"/>
    <mergeCell ref="AD272:AD273"/>
    <mergeCell ref="Z274:Z275"/>
    <mergeCell ref="AA274:AA275"/>
    <mergeCell ref="AB274:AB275"/>
    <mergeCell ref="AC272:AC273"/>
    <mergeCell ref="Z270:Z271"/>
    <mergeCell ref="AA270:AA271"/>
    <mergeCell ref="AA272:AA273"/>
    <mergeCell ref="AB272:AB273"/>
    <mergeCell ref="R274:R275"/>
    <mergeCell ref="G278:G279"/>
    <mergeCell ref="H278:H279"/>
    <mergeCell ref="I278:I279"/>
    <mergeCell ref="J278:J279"/>
    <mergeCell ref="P274:P275"/>
    <mergeCell ref="Q274:Q275"/>
    <mergeCell ref="G274:G275"/>
    <mergeCell ref="M276:M277"/>
    <mergeCell ref="N276:N277"/>
    <mergeCell ref="X276:X277"/>
    <mergeCell ref="S272:S273"/>
    <mergeCell ref="T272:T273"/>
    <mergeCell ref="U272:U273"/>
    <mergeCell ref="V272:V273"/>
    <mergeCell ref="W272:W273"/>
    <mergeCell ref="T276:T277"/>
    <mergeCell ref="V276:V277"/>
    <mergeCell ref="W276:W277"/>
    <mergeCell ref="P272:P273"/>
    <mergeCell ref="AD276:AD277"/>
    <mergeCell ref="AC278:AC279"/>
    <mergeCell ref="AD278:AD279"/>
    <mergeCell ref="Z276:Z277"/>
    <mergeCell ref="AA276:AA277"/>
    <mergeCell ref="AB276:AB277"/>
    <mergeCell ref="S278:S279"/>
    <mergeCell ref="V278:V279"/>
    <mergeCell ref="W278:W279"/>
    <mergeCell ref="J274:J275"/>
    <mergeCell ref="Y274:Y275"/>
    <mergeCell ref="V274:V275"/>
    <mergeCell ref="W274:W275"/>
    <mergeCell ref="C274:C275"/>
    <mergeCell ref="D274:D275"/>
    <mergeCell ref="E274:E275"/>
    <mergeCell ref="F274:F275"/>
    <mergeCell ref="K274:K275"/>
    <mergeCell ref="M274:M275"/>
    <mergeCell ref="U276:U277"/>
    <mergeCell ref="K276:K277"/>
    <mergeCell ref="M278:M279"/>
    <mergeCell ref="N278:N279"/>
    <mergeCell ref="O278:O279"/>
    <mergeCell ref="P278:P279"/>
    <mergeCell ref="O276:O277"/>
    <mergeCell ref="K278:K279"/>
    <mergeCell ref="C278:C279"/>
    <mergeCell ref="D278:D279"/>
    <mergeCell ref="E278:E279"/>
    <mergeCell ref="F278:F279"/>
    <mergeCell ref="T278:T279"/>
    <mergeCell ref="U278:U279"/>
    <mergeCell ref="Q278:Q279"/>
    <mergeCell ref="R278:R279"/>
    <mergeCell ref="AC274:AC275"/>
    <mergeCell ref="AD274:AD275"/>
    <mergeCell ref="S274:S275"/>
    <mergeCell ref="X278:X279"/>
    <mergeCell ref="Y278:Y279"/>
    <mergeCell ref="Y276:Y277"/>
    <mergeCell ref="Z278:Z279"/>
    <mergeCell ref="AA278:AA279"/>
    <mergeCell ref="N274:N275"/>
    <mergeCell ref="O274:O275"/>
    <mergeCell ref="C276:C277"/>
    <mergeCell ref="D276:D277"/>
    <mergeCell ref="E276:E277"/>
    <mergeCell ref="F276:F277"/>
    <mergeCell ref="I276:I277"/>
    <mergeCell ref="J276:J277"/>
    <mergeCell ref="H274:H275"/>
    <mergeCell ref="I274:I275"/>
    <mergeCell ref="P276:P277"/>
    <mergeCell ref="Q276:Q277"/>
    <mergeCell ref="R276:R277"/>
    <mergeCell ref="S276:S277"/>
    <mergeCell ref="G276:G277"/>
    <mergeCell ref="H276:H277"/>
    <mergeCell ref="AB278:AB279"/>
    <mergeCell ref="AC276:AC277"/>
    <mergeCell ref="C281:D281"/>
    <mergeCell ref="C282:C283"/>
    <mergeCell ref="D282:D283"/>
    <mergeCell ref="E282:E283"/>
    <mergeCell ref="K282:K283"/>
    <mergeCell ref="L282:L283"/>
    <mergeCell ref="F282:F283"/>
    <mergeCell ref="U282:U283"/>
    <mergeCell ref="G282:G283"/>
    <mergeCell ref="I282:I283"/>
    <mergeCell ref="AC284:AC285"/>
    <mergeCell ref="AD284:AD285"/>
    <mergeCell ref="U284:U285"/>
    <mergeCell ref="V284:V285"/>
    <mergeCell ref="W284:W285"/>
    <mergeCell ref="X284:X285"/>
    <mergeCell ref="S282:S283"/>
    <mergeCell ref="T282:T283"/>
    <mergeCell ref="Y284:Y285"/>
    <mergeCell ref="Z284:Z285"/>
    <mergeCell ref="C284:C285"/>
    <mergeCell ref="D284:D285"/>
    <mergeCell ref="R284:R285"/>
    <mergeCell ref="S284:S285"/>
    <mergeCell ref="T284:T285"/>
    <mergeCell ref="X282:X283"/>
    <mergeCell ref="O282:O283"/>
    <mergeCell ref="P282:P283"/>
    <mergeCell ref="M282:M283"/>
    <mergeCell ref="N282:N283"/>
    <mergeCell ref="AC282:AC283"/>
    <mergeCell ref="Q282:Q283"/>
    <mergeCell ref="R282:R283"/>
    <mergeCell ref="I284:I285"/>
    <mergeCell ref="N284:N285"/>
    <mergeCell ref="Y282:Y283"/>
    <mergeCell ref="AD282:AD283"/>
    <mergeCell ref="Z282:Z283"/>
    <mergeCell ref="AA282:AA283"/>
    <mergeCell ref="AB282:AB283"/>
    <mergeCell ref="J282:J283"/>
    <mergeCell ref="V282:V283"/>
    <mergeCell ref="W282:W283"/>
    <mergeCell ref="O284:O285"/>
    <mergeCell ref="P284:P285"/>
    <mergeCell ref="E284:E285"/>
    <mergeCell ref="F284:F285"/>
    <mergeCell ref="G284:G285"/>
    <mergeCell ref="H284:H285"/>
    <mergeCell ref="J284:J285"/>
    <mergeCell ref="K284:K285"/>
    <mergeCell ref="L284:L285"/>
    <mergeCell ref="M284:M285"/>
    <mergeCell ref="C286:C287"/>
    <mergeCell ref="D286:D287"/>
    <mergeCell ref="E286:E287"/>
    <mergeCell ref="AC286:AC287"/>
    <mergeCell ref="AA284:AA285"/>
    <mergeCell ref="AB284:AB285"/>
    <mergeCell ref="Q284:Q285"/>
    <mergeCell ref="Q286:Q287"/>
    <mergeCell ref="AB286:AB287"/>
    <mergeCell ref="W286:W287"/>
    <mergeCell ref="C288:C289"/>
    <mergeCell ref="D288:D289"/>
    <mergeCell ref="E288:E289"/>
    <mergeCell ref="F288:F289"/>
    <mergeCell ref="G288:G289"/>
    <mergeCell ref="H288:H289"/>
    <mergeCell ref="F286:F287"/>
    <mergeCell ref="K288:K289"/>
    <mergeCell ref="L288:L289"/>
    <mergeCell ref="I288:I289"/>
    <mergeCell ref="J288:J289"/>
    <mergeCell ref="AD286:AD287"/>
    <mergeCell ref="X286:X287"/>
    <mergeCell ref="Y286:Y287"/>
    <mergeCell ref="Z286:Z287"/>
    <mergeCell ref="L286:L287"/>
    <mergeCell ref="P288:P289"/>
    <mergeCell ref="O286:O287"/>
    <mergeCell ref="P286:P287"/>
    <mergeCell ref="G286:G287"/>
    <mergeCell ref="H286:H287"/>
    <mergeCell ref="I286:I287"/>
    <mergeCell ref="J286:J287"/>
    <mergeCell ref="M286:M287"/>
    <mergeCell ref="N286:N287"/>
    <mergeCell ref="U286:U287"/>
    <mergeCell ref="V286:V287"/>
    <mergeCell ref="AA288:AA289"/>
    <mergeCell ref="K286:K287"/>
    <mergeCell ref="R292:R293"/>
    <mergeCell ref="AA286:AA287"/>
    <mergeCell ref="M292:M293"/>
    <mergeCell ref="R286:R287"/>
    <mergeCell ref="S286:S287"/>
    <mergeCell ref="T286:T287"/>
    <mergeCell ref="C292:C293"/>
    <mergeCell ref="D292:D293"/>
    <mergeCell ref="E292:E293"/>
    <mergeCell ref="F292:F293"/>
    <mergeCell ref="G292:G293"/>
    <mergeCell ref="H292:H293"/>
    <mergeCell ref="AD288:AD289"/>
    <mergeCell ref="L290:L291"/>
    <mergeCell ref="M290:M291"/>
    <mergeCell ref="N290:N291"/>
    <mergeCell ref="W290:W291"/>
    <mergeCell ref="M288:M289"/>
    <mergeCell ref="N288:N289"/>
    <mergeCell ref="Q288:Q289"/>
    <mergeCell ref="R288:R289"/>
    <mergeCell ref="O288:O289"/>
    <mergeCell ref="J292:J293"/>
    <mergeCell ref="K292:K293"/>
    <mergeCell ref="L292:L293"/>
    <mergeCell ref="V292:V293"/>
    <mergeCell ref="P292:P293"/>
    <mergeCell ref="AD290:AD291"/>
    <mergeCell ref="O290:O291"/>
    <mergeCell ref="Y290:Y291"/>
    <mergeCell ref="AC290:AC291"/>
    <mergeCell ref="Q292:Q293"/>
    <mergeCell ref="S288:S289"/>
    <mergeCell ref="AB290:AB291"/>
    <mergeCell ref="Z290:Z291"/>
    <mergeCell ref="AA290:AA291"/>
    <mergeCell ref="AB288:AB289"/>
    <mergeCell ref="Q290:Q291"/>
    <mergeCell ref="X288:X289"/>
    <mergeCell ref="Y288:Y289"/>
    <mergeCell ref="Z288:Z289"/>
    <mergeCell ref="AB292:AB293"/>
    <mergeCell ref="AC292:AC293"/>
    <mergeCell ref="W292:W293"/>
    <mergeCell ref="T288:T289"/>
    <mergeCell ref="U288:U289"/>
    <mergeCell ref="V288:V289"/>
    <mergeCell ref="W288:W289"/>
    <mergeCell ref="T290:T291"/>
    <mergeCell ref="U292:U293"/>
    <mergeCell ref="AC288:AC289"/>
    <mergeCell ref="X292:X293"/>
    <mergeCell ref="Y292:Y293"/>
    <mergeCell ref="Z292:Z293"/>
    <mergeCell ref="AA292:AA293"/>
    <mergeCell ref="Z298:Z299"/>
    <mergeCell ref="AA298:AA299"/>
    <mergeCell ref="G290:G291"/>
    <mergeCell ref="H290:H291"/>
    <mergeCell ref="I290:I291"/>
    <mergeCell ref="P290:P291"/>
    <mergeCell ref="C290:C291"/>
    <mergeCell ref="D290:D291"/>
    <mergeCell ref="E290:E291"/>
    <mergeCell ref="F290:F291"/>
    <mergeCell ref="J290:J291"/>
    <mergeCell ref="K290:K291"/>
    <mergeCell ref="I292:I293"/>
    <mergeCell ref="X290:X291"/>
    <mergeCell ref="R290:R291"/>
    <mergeCell ref="S290:S291"/>
    <mergeCell ref="U290:U291"/>
    <mergeCell ref="V290:V291"/>
    <mergeCell ref="N292:N293"/>
    <mergeCell ref="O292:O293"/>
    <mergeCell ref="S292:S293"/>
    <mergeCell ref="T292:T293"/>
    <mergeCell ref="AD292:AD293"/>
    <mergeCell ref="C294:C295"/>
    <mergeCell ref="D294:D295"/>
    <mergeCell ref="E294:E295"/>
    <mergeCell ref="F294:F295"/>
    <mergeCell ref="G294:G295"/>
    <mergeCell ref="Z294:Z295"/>
    <mergeCell ref="AA294:AA295"/>
    <mergeCell ref="AB294:AB295"/>
    <mergeCell ref="AC294:AC295"/>
    <mergeCell ref="T294:T295"/>
    <mergeCell ref="U294:U295"/>
    <mergeCell ref="V298:V299"/>
    <mergeCell ref="W298:W299"/>
    <mergeCell ref="V294:V295"/>
    <mergeCell ref="W294:W295"/>
    <mergeCell ref="P298:P299"/>
    <mergeCell ref="Q298:Q299"/>
    <mergeCell ref="R298:R299"/>
    <mergeCell ref="S298:S299"/>
    <mergeCell ref="X300:X301"/>
    <mergeCell ref="Y300:Y301"/>
    <mergeCell ref="AA300:AA301"/>
    <mergeCell ref="H294:H295"/>
    <mergeCell ref="T298:T299"/>
    <mergeCell ref="U298:U299"/>
    <mergeCell ref="N300:N301"/>
    <mergeCell ref="O300:O301"/>
    <mergeCell ref="P300:P301"/>
    <mergeCell ref="Q300:Q301"/>
    <mergeCell ref="J294:J295"/>
    <mergeCell ref="K294:K295"/>
    <mergeCell ref="AD294:AD295"/>
    <mergeCell ref="C297:D297"/>
    <mergeCell ref="X294:X295"/>
    <mergeCell ref="Y294:Y295"/>
    <mergeCell ref="P294:P295"/>
    <mergeCell ref="Q294:Q295"/>
    <mergeCell ref="L294:L295"/>
    <mergeCell ref="M294:M295"/>
    <mergeCell ref="R294:R295"/>
    <mergeCell ref="S294:S295"/>
    <mergeCell ref="K298:K299"/>
    <mergeCell ref="G302:G303"/>
    <mergeCell ref="AB302:AB303"/>
    <mergeCell ref="AB300:AB301"/>
    <mergeCell ref="AC300:AC301"/>
    <mergeCell ref="V300:V301"/>
    <mergeCell ref="W300:W301"/>
    <mergeCell ref="V302:V303"/>
    <mergeCell ref="H300:H301"/>
    <mergeCell ref="Z300:Z301"/>
    <mergeCell ref="N298:N299"/>
    <mergeCell ref="O298:O299"/>
    <mergeCell ref="T302:T303"/>
    <mergeCell ref="C298:C299"/>
    <mergeCell ref="D298:D299"/>
    <mergeCell ref="E298:E299"/>
    <mergeCell ref="F298:F299"/>
    <mergeCell ref="G298:G299"/>
    <mergeCell ref="I298:I299"/>
    <mergeCell ref="J298:J299"/>
    <mergeCell ref="X302:X303"/>
    <mergeCell ref="Y302:Y303"/>
    <mergeCell ref="Z302:Z303"/>
    <mergeCell ref="AC302:AC303"/>
    <mergeCell ref="I294:I295"/>
    <mergeCell ref="N294:N295"/>
    <mergeCell ref="O294:O295"/>
    <mergeCell ref="U302:U303"/>
    <mergeCell ref="J300:J301"/>
    <mergeCell ref="K300:K301"/>
    <mergeCell ref="AD298:AD299"/>
    <mergeCell ref="C300:C301"/>
    <mergeCell ref="D300:D301"/>
    <mergeCell ref="E300:E301"/>
    <mergeCell ref="F300:F301"/>
    <mergeCell ref="G300:G301"/>
    <mergeCell ref="AB298:AB299"/>
    <mergeCell ref="AC298:AC299"/>
    <mergeCell ref="L298:L299"/>
    <mergeCell ref="M298:M299"/>
    <mergeCell ref="X298:X299"/>
    <mergeCell ref="Y298:Y299"/>
    <mergeCell ref="C302:C303"/>
    <mergeCell ref="D302:D303"/>
    <mergeCell ref="R300:R301"/>
    <mergeCell ref="S300:S301"/>
    <mergeCell ref="K302:K303"/>
    <mergeCell ref="L302:L303"/>
    <mergeCell ref="E302:E303"/>
    <mergeCell ref="F302:F303"/>
    <mergeCell ref="H302:H303"/>
    <mergeCell ref="I302:I303"/>
    <mergeCell ref="J302:J303"/>
    <mergeCell ref="M302:M303"/>
    <mergeCell ref="AD300:AD301"/>
    <mergeCell ref="T300:T301"/>
    <mergeCell ref="U300:U301"/>
    <mergeCell ref="AA302:AA303"/>
    <mergeCell ref="AD302:AD303"/>
    <mergeCell ref="W302:W303"/>
    <mergeCell ref="I300:I301"/>
    <mergeCell ref="N302:N303"/>
    <mergeCell ref="Q304:Q305"/>
    <mergeCell ref="S302:S303"/>
    <mergeCell ref="R304:R305"/>
    <mergeCell ref="S304:S305"/>
    <mergeCell ref="L300:L301"/>
    <mergeCell ref="M300:M301"/>
    <mergeCell ref="AA304:AA305"/>
    <mergeCell ref="AB304:AB305"/>
    <mergeCell ref="T304:T305"/>
    <mergeCell ref="O302:O303"/>
    <mergeCell ref="P302:P303"/>
    <mergeCell ref="Q302:Q303"/>
    <mergeCell ref="R302:R303"/>
    <mergeCell ref="Z304:Z305"/>
    <mergeCell ref="O304:O305"/>
    <mergeCell ref="P304:P305"/>
    <mergeCell ref="AD304:AD305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U304:U305"/>
    <mergeCell ref="V306:V307"/>
    <mergeCell ref="W306:W307"/>
    <mergeCell ref="N306:N307"/>
    <mergeCell ref="O306:O307"/>
    <mergeCell ref="P306:P307"/>
    <mergeCell ref="Q306:Q307"/>
    <mergeCell ref="C304:C305"/>
    <mergeCell ref="D304:D305"/>
    <mergeCell ref="R306:R307"/>
    <mergeCell ref="AC304:AC305"/>
    <mergeCell ref="V304:V305"/>
    <mergeCell ref="W304:W305"/>
    <mergeCell ref="X304:X305"/>
    <mergeCell ref="Y304:Y305"/>
    <mergeCell ref="S306:S307"/>
    <mergeCell ref="U306:U307"/>
    <mergeCell ref="T308:T309"/>
    <mergeCell ref="O308:O309"/>
    <mergeCell ref="U310:U311"/>
    <mergeCell ref="E304:E305"/>
    <mergeCell ref="F304:F305"/>
    <mergeCell ref="G304:G305"/>
    <mergeCell ref="M304:M305"/>
    <mergeCell ref="N304:N305"/>
    <mergeCell ref="H304:H305"/>
    <mergeCell ref="X306:X307"/>
    <mergeCell ref="Y306:Y307"/>
    <mergeCell ref="U308:U309"/>
    <mergeCell ref="V308:V309"/>
    <mergeCell ref="V310:V311"/>
    <mergeCell ref="J308:J309"/>
    <mergeCell ref="K308:K309"/>
    <mergeCell ref="L308:L309"/>
    <mergeCell ref="M308:M309"/>
    <mergeCell ref="N308:N309"/>
    <mergeCell ref="P308:P309"/>
    <mergeCell ref="Q308:Q309"/>
    <mergeCell ref="K306:K307"/>
    <mergeCell ref="L306:L307"/>
    <mergeCell ref="M306:M307"/>
    <mergeCell ref="I304:I305"/>
    <mergeCell ref="J304:J305"/>
    <mergeCell ref="K304:K305"/>
    <mergeCell ref="L304:L305"/>
    <mergeCell ref="X308:X309"/>
    <mergeCell ref="R308:R309"/>
    <mergeCell ref="AD306:AD307"/>
    <mergeCell ref="C308:C309"/>
    <mergeCell ref="D308:D309"/>
    <mergeCell ref="E308:E309"/>
    <mergeCell ref="F308:F309"/>
    <mergeCell ref="G308:G309"/>
    <mergeCell ref="H308:H309"/>
    <mergeCell ref="I308:I309"/>
    <mergeCell ref="S308:S309"/>
    <mergeCell ref="T310:T311"/>
    <mergeCell ref="AD308:AD309"/>
    <mergeCell ref="C310:C311"/>
    <mergeCell ref="D310:D311"/>
    <mergeCell ref="E310:E311"/>
    <mergeCell ref="F310:F311"/>
    <mergeCell ref="G310:G311"/>
    <mergeCell ref="H310:H311"/>
    <mergeCell ref="I310:I311"/>
    <mergeCell ref="Z308:Z309"/>
    <mergeCell ref="AA308:AA309"/>
    <mergeCell ref="T306:T307"/>
    <mergeCell ref="Y308:Y309"/>
    <mergeCell ref="J310:J311"/>
    <mergeCell ref="K310:K311"/>
    <mergeCell ref="L310:L311"/>
    <mergeCell ref="W310:W311"/>
    <mergeCell ref="M310:M311"/>
    <mergeCell ref="W308:W309"/>
    <mergeCell ref="Z316:Z317"/>
    <mergeCell ref="AA316:AA317"/>
    <mergeCell ref="N310:N311"/>
    <mergeCell ref="O310:O311"/>
    <mergeCell ref="P310:P311"/>
    <mergeCell ref="Q310:Q311"/>
    <mergeCell ref="R310:R311"/>
    <mergeCell ref="S310:S311"/>
    <mergeCell ref="X310:X311"/>
    <mergeCell ref="Y310:Y311"/>
    <mergeCell ref="Z312:Z313"/>
    <mergeCell ref="AA312:AA313"/>
    <mergeCell ref="AB310:AB311"/>
    <mergeCell ref="AC310:AC311"/>
    <mergeCell ref="AB306:AB307"/>
    <mergeCell ref="AC306:AC307"/>
    <mergeCell ref="Z306:Z307"/>
    <mergeCell ref="AA306:AA307"/>
    <mergeCell ref="AB308:AB309"/>
    <mergeCell ref="AC308:AC309"/>
    <mergeCell ref="V312:V313"/>
    <mergeCell ref="W312:W313"/>
    <mergeCell ref="Z310:Z311"/>
    <mergeCell ref="AA310:AA311"/>
    <mergeCell ref="AD310:AD311"/>
    <mergeCell ref="C312:C313"/>
    <mergeCell ref="D312:D313"/>
    <mergeCell ref="E312:E313"/>
    <mergeCell ref="F312:F313"/>
    <mergeCell ref="G312:G313"/>
    <mergeCell ref="H312:H313"/>
    <mergeCell ref="I312:I313"/>
    <mergeCell ref="X318:X319"/>
    <mergeCell ref="Y318:Y319"/>
    <mergeCell ref="R312:R313"/>
    <mergeCell ref="S312:S313"/>
    <mergeCell ref="T312:T313"/>
    <mergeCell ref="U312:U313"/>
    <mergeCell ref="V316:V317"/>
    <mergeCell ref="W316:W317"/>
    <mergeCell ref="P318:P319"/>
    <mergeCell ref="Q318:Q319"/>
    <mergeCell ref="AB312:AB313"/>
    <mergeCell ref="AC312:AC313"/>
    <mergeCell ref="AD312:AD313"/>
    <mergeCell ref="C315:D315"/>
    <mergeCell ref="X312:X313"/>
    <mergeCell ref="Y312:Y313"/>
    <mergeCell ref="P312:P313"/>
    <mergeCell ref="Q312:Q313"/>
    <mergeCell ref="J316:J317"/>
    <mergeCell ref="K316:K317"/>
    <mergeCell ref="N318:N319"/>
    <mergeCell ref="AB320:AB321"/>
    <mergeCell ref="AB318:AB319"/>
    <mergeCell ref="AC318:AC319"/>
    <mergeCell ref="V318:V319"/>
    <mergeCell ref="W318:W319"/>
    <mergeCell ref="Z318:Z319"/>
    <mergeCell ref="AA318:AA319"/>
    <mergeCell ref="C316:C317"/>
    <mergeCell ref="D316:D317"/>
    <mergeCell ref="E316:E317"/>
    <mergeCell ref="F316:F317"/>
    <mergeCell ref="G316:G317"/>
    <mergeCell ref="I316:I317"/>
    <mergeCell ref="Q316:Q317"/>
    <mergeCell ref="R316:R317"/>
    <mergeCell ref="S316:S317"/>
    <mergeCell ref="T316:T317"/>
    <mergeCell ref="U316:U317"/>
    <mergeCell ref="T320:T321"/>
    <mergeCell ref="Z320:Z321"/>
    <mergeCell ref="AC320:AC321"/>
    <mergeCell ref="J312:J313"/>
    <mergeCell ref="K312:K313"/>
    <mergeCell ref="L312:L313"/>
    <mergeCell ref="M312:M313"/>
    <mergeCell ref="N312:N313"/>
    <mergeCell ref="O312:O313"/>
    <mergeCell ref="U320:U321"/>
    <mergeCell ref="V320:V321"/>
    <mergeCell ref="AB316:AB317"/>
    <mergeCell ref="AC316:AC317"/>
    <mergeCell ref="L316:L317"/>
    <mergeCell ref="M316:M317"/>
    <mergeCell ref="J318:J319"/>
    <mergeCell ref="K318:K319"/>
    <mergeCell ref="L318:L319"/>
    <mergeCell ref="M318:M319"/>
    <mergeCell ref="O318:O319"/>
    <mergeCell ref="P316:P317"/>
    <mergeCell ref="N316:N317"/>
    <mergeCell ref="O316:O317"/>
    <mergeCell ref="X316:X317"/>
    <mergeCell ref="Y316:Y317"/>
    <mergeCell ref="AD316:AD317"/>
    <mergeCell ref="C318:C319"/>
    <mergeCell ref="D318:D319"/>
    <mergeCell ref="E318:E319"/>
    <mergeCell ref="F318:F319"/>
    <mergeCell ref="G318:G319"/>
    <mergeCell ref="AD318:AD319"/>
    <mergeCell ref="T318:T319"/>
    <mergeCell ref="U318:U319"/>
    <mergeCell ref="AA320:AA321"/>
    <mergeCell ref="R318:R319"/>
    <mergeCell ref="S318:S319"/>
    <mergeCell ref="AD320:AD321"/>
    <mergeCell ref="W320:W321"/>
    <mergeCell ref="X320:X321"/>
    <mergeCell ref="Y320:Y321"/>
    <mergeCell ref="E320:E321"/>
    <mergeCell ref="F320:F321"/>
    <mergeCell ref="G320:G321"/>
    <mergeCell ref="H320:H321"/>
    <mergeCell ref="C320:C321"/>
    <mergeCell ref="D320:D321"/>
    <mergeCell ref="S320:S321"/>
    <mergeCell ref="R322:R323"/>
    <mergeCell ref="S322:S323"/>
    <mergeCell ref="I320:I321"/>
    <mergeCell ref="J320:J321"/>
    <mergeCell ref="M320:M321"/>
    <mergeCell ref="N320:N321"/>
    <mergeCell ref="K320:K321"/>
    <mergeCell ref="L320:L321"/>
    <mergeCell ref="L322:L323"/>
    <mergeCell ref="M322:M323"/>
    <mergeCell ref="N322:N323"/>
    <mergeCell ref="H322:H323"/>
    <mergeCell ref="O322:O323"/>
    <mergeCell ref="Q322:Q323"/>
    <mergeCell ref="J324:J325"/>
    <mergeCell ref="U322:U323"/>
    <mergeCell ref="H318:H319"/>
    <mergeCell ref="I318:I319"/>
    <mergeCell ref="AB322:AB323"/>
    <mergeCell ref="T322:T323"/>
    <mergeCell ref="O320:O321"/>
    <mergeCell ref="P320:P321"/>
    <mergeCell ref="Q320:Q321"/>
    <mergeCell ref="R320:R321"/>
    <mergeCell ref="P324:P325"/>
    <mergeCell ref="Q324:Q325"/>
    <mergeCell ref="AD322:AD323"/>
    <mergeCell ref="C324:C325"/>
    <mergeCell ref="D324:D325"/>
    <mergeCell ref="E324:E325"/>
    <mergeCell ref="F324:F325"/>
    <mergeCell ref="G324:G325"/>
    <mergeCell ref="H324:H325"/>
    <mergeCell ref="I324:I325"/>
    <mergeCell ref="AC322:AC323"/>
    <mergeCell ref="V322:V323"/>
    <mergeCell ref="W322:W323"/>
    <mergeCell ref="X322:X323"/>
    <mergeCell ref="Y322:Y323"/>
    <mergeCell ref="S324:S325"/>
    <mergeCell ref="AA324:AA325"/>
    <mergeCell ref="AA322:AA323"/>
    <mergeCell ref="AB324:AB325"/>
    <mergeCell ref="E322:E323"/>
    <mergeCell ref="F322:F323"/>
    <mergeCell ref="G322:G323"/>
    <mergeCell ref="Z324:Z325"/>
    <mergeCell ref="W324:W325"/>
    <mergeCell ref="Z322:Z323"/>
    <mergeCell ref="P322:P323"/>
    <mergeCell ref="K324:K325"/>
    <mergeCell ref="L324:L325"/>
    <mergeCell ref="M324:M325"/>
    <mergeCell ref="C322:C323"/>
    <mergeCell ref="D322:D323"/>
    <mergeCell ref="V330:V331"/>
    <mergeCell ref="J326:J327"/>
    <mergeCell ref="K326:K327"/>
    <mergeCell ref="L326:L327"/>
    <mergeCell ref="M326:M327"/>
    <mergeCell ref="N326:N327"/>
    <mergeCell ref="U324:U325"/>
    <mergeCell ref="V324:V325"/>
    <mergeCell ref="C326:C327"/>
    <mergeCell ref="D326:D327"/>
    <mergeCell ref="E326:E327"/>
    <mergeCell ref="F326:F327"/>
    <mergeCell ref="T326:T327"/>
    <mergeCell ref="X324:X325"/>
    <mergeCell ref="V326:V327"/>
    <mergeCell ref="T324:T325"/>
    <mergeCell ref="U326:U327"/>
    <mergeCell ref="R324:R325"/>
    <mergeCell ref="W332:W333"/>
    <mergeCell ref="X332:X333"/>
    <mergeCell ref="Y332:Y333"/>
    <mergeCell ref="G326:G327"/>
    <mergeCell ref="I322:I323"/>
    <mergeCell ref="J322:J323"/>
    <mergeCell ref="K322:K323"/>
    <mergeCell ref="Y324:Y325"/>
    <mergeCell ref="N324:N325"/>
    <mergeCell ref="O324:O325"/>
    <mergeCell ref="W326:W327"/>
    <mergeCell ref="AB326:AB327"/>
    <mergeCell ref="O326:O327"/>
    <mergeCell ref="C330:C331"/>
    <mergeCell ref="AC324:AC325"/>
    <mergeCell ref="AB330:AB331"/>
    <mergeCell ref="AC330:AC331"/>
    <mergeCell ref="W330:W331"/>
    <mergeCell ref="X330:X331"/>
    <mergeCell ref="Y330:Y331"/>
    <mergeCell ref="J330:J331"/>
    <mergeCell ref="K330:K331"/>
    <mergeCell ref="H326:H327"/>
    <mergeCell ref="I326:I327"/>
    <mergeCell ref="AB332:AB333"/>
    <mergeCell ref="C329:D329"/>
    <mergeCell ref="X326:X327"/>
    <mergeCell ref="Y326:Y327"/>
    <mergeCell ref="Z326:Z327"/>
    <mergeCell ref="AA326:AA327"/>
    <mergeCell ref="Q326:Q327"/>
    <mergeCell ref="R326:R327"/>
    <mergeCell ref="S326:S327"/>
    <mergeCell ref="R330:R331"/>
    <mergeCell ref="D330:D331"/>
    <mergeCell ref="E330:E331"/>
    <mergeCell ref="F330:F331"/>
    <mergeCell ref="P326:P327"/>
    <mergeCell ref="G330:G331"/>
    <mergeCell ref="I330:I331"/>
    <mergeCell ref="AD324:AD325"/>
    <mergeCell ref="AD326:AD327"/>
    <mergeCell ref="AC326:AC327"/>
    <mergeCell ref="AC332:AC333"/>
    <mergeCell ref="AD332:AD333"/>
    <mergeCell ref="Y334:Y335"/>
    <mergeCell ref="Z334:Z335"/>
    <mergeCell ref="Z330:Z331"/>
    <mergeCell ref="AA330:AA331"/>
    <mergeCell ref="C336:C337"/>
    <mergeCell ref="D336:D337"/>
    <mergeCell ref="E336:E337"/>
    <mergeCell ref="F336:F337"/>
    <mergeCell ref="J334:J335"/>
    <mergeCell ref="K334:K335"/>
    <mergeCell ref="AD330:AD331"/>
    <mergeCell ref="C332:C333"/>
    <mergeCell ref="D332:D333"/>
    <mergeCell ref="E332:E333"/>
    <mergeCell ref="F332:F333"/>
    <mergeCell ref="G332:G333"/>
    <mergeCell ref="U332:U333"/>
    <mergeCell ref="N332:N333"/>
    <mergeCell ref="U330:U331"/>
    <mergeCell ref="P330:P331"/>
    <mergeCell ref="Q330:Q331"/>
    <mergeCell ref="T330:T331"/>
    <mergeCell ref="O332:O333"/>
    <mergeCell ref="P332:P333"/>
    <mergeCell ref="Q332:Q333"/>
    <mergeCell ref="L330:L331"/>
    <mergeCell ref="M330:M331"/>
    <mergeCell ref="N330:N331"/>
    <mergeCell ref="O330:O331"/>
    <mergeCell ref="L332:L333"/>
    <mergeCell ref="C334:C335"/>
    <mergeCell ref="D334:D335"/>
    <mergeCell ref="E334:E335"/>
    <mergeCell ref="F334:F335"/>
    <mergeCell ref="R332:R333"/>
    <mergeCell ref="S332:S333"/>
    <mergeCell ref="M332:M333"/>
    <mergeCell ref="J332:J333"/>
    <mergeCell ref="K332:K333"/>
    <mergeCell ref="G334:G335"/>
    <mergeCell ref="H334:H335"/>
    <mergeCell ref="I334:I335"/>
    <mergeCell ref="R334:R335"/>
    <mergeCell ref="L334:L335"/>
    <mergeCell ref="M334:M335"/>
    <mergeCell ref="N334:N335"/>
    <mergeCell ref="O334:O335"/>
    <mergeCell ref="P334:P335"/>
    <mergeCell ref="Q334:Q335"/>
    <mergeCell ref="S330:S331"/>
    <mergeCell ref="AB338:AB339"/>
    <mergeCell ref="S336:S337"/>
    <mergeCell ref="T336:T337"/>
    <mergeCell ref="U336:U337"/>
    <mergeCell ref="Y338:Y339"/>
    <mergeCell ref="Z338:Z339"/>
    <mergeCell ref="AA338:AA339"/>
    <mergeCell ref="T332:T333"/>
    <mergeCell ref="Z332:Z333"/>
    <mergeCell ref="AD338:AD339"/>
    <mergeCell ref="AB334:AB335"/>
    <mergeCell ref="AC334:AC335"/>
    <mergeCell ref="AD334:AD335"/>
    <mergeCell ref="AD336:AD337"/>
    <mergeCell ref="H332:H333"/>
    <mergeCell ref="I332:I333"/>
    <mergeCell ref="AA332:AA333"/>
    <mergeCell ref="X334:X335"/>
    <mergeCell ref="V332:V333"/>
    <mergeCell ref="X336:X337"/>
    <mergeCell ref="Y336:Y337"/>
    <mergeCell ref="X338:X339"/>
    <mergeCell ref="AA336:AA337"/>
    <mergeCell ref="AB336:AB337"/>
    <mergeCell ref="AC336:AC337"/>
    <mergeCell ref="Z336:Z337"/>
    <mergeCell ref="AC338:AC339"/>
    <mergeCell ref="U334:U335"/>
    <mergeCell ref="V334:V335"/>
    <mergeCell ref="W334:W335"/>
    <mergeCell ref="S338:S339"/>
    <mergeCell ref="V336:V337"/>
    <mergeCell ref="W336:W337"/>
    <mergeCell ref="G336:G337"/>
    <mergeCell ref="H336:H337"/>
    <mergeCell ref="N338:N339"/>
    <mergeCell ref="R338:R339"/>
    <mergeCell ref="AA334:AA335"/>
    <mergeCell ref="P336:P337"/>
    <mergeCell ref="Q336:Q337"/>
    <mergeCell ref="J338:J339"/>
    <mergeCell ref="S334:S335"/>
    <mergeCell ref="T334:T335"/>
    <mergeCell ref="W338:W339"/>
    <mergeCell ref="J340:J341"/>
    <mergeCell ref="M340:M341"/>
    <mergeCell ref="N340:N341"/>
    <mergeCell ref="O340:O341"/>
    <mergeCell ref="O338:O339"/>
    <mergeCell ref="V340:V341"/>
    <mergeCell ref="U338:U339"/>
    <mergeCell ref="E340:E341"/>
    <mergeCell ref="P338:P339"/>
    <mergeCell ref="Q338:Q339"/>
    <mergeCell ref="F340:F341"/>
    <mergeCell ref="G340:G341"/>
    <mergeCell ref="S340:S341"/>
    <mergeCell ref="R340:R341"/>
    <mergeCell ref="O342:O343"/>
    <mergeCell ref="P342:P343"/>
    <mergeCell ref="Q342:Q343"/>
    <mergeCell ref="R342:R343"/>
    <mergeCell ref="AA342:AA343"/>
    <mergeCell ref="AB342:AB343"/>
    <mergeCell ref="S342:S343"/>
    <mergeCell ref="O336:O337"/>
    <mergeCell ref="I336:I337"/>
    <mergeCell ref="J336:J337"/>
    <mergeCell ref="R336:R337"/>
    <mergeCell ref="K336:K337"/>
    <mergeCell ref="L336:L337"/>
    <mergeCell ref="M336:M337"/>
    <mergeCell ref="N336:N337"/>
    <mergeCell ref="H338:H339"/>
    <mergeCell ref="K338:K339"/>
    <mergeCell ref="L338:L339"/>
    <mergeCell ref="M338:M339"/>
    <mergeCell ref="AC340:AC341"/>
    <mergeCell ref="U340:U341"/>
    <mergeCell ref="T338:T339"/>
    <mergeCell ref="I338:I339"/>
    <mergeCell ref="K340:K341"/>
    <mergeCell ref="V338:V339"/>
    <mergeCell ref="C345:D345"/>
    <mergeCell ref="C346:C347"/>
    <mergeCell ref="D346:D347"/>
    <mergeCell ref="E346:E347"/>
    <mergeCell ref="N342:N343"/>
    <mergeCell ref="C338:C339"/>
    <mergeCell ref="D338:D339"/>
    <mergeCell ref="E338:E339"/>
    <mergeCell ref="F338:F339"/>
    <mergeCell ref="G338:G339"/>
    <mergeCell ref="Z340:Z341"/>
    <mergeCell ref="AA340:AA341"/>
    <mergeCell ref="AD340:AD341"/>
    <mergeCell ref="AB340:AB341"/>
    <mergeCell ref="F346:F347"/>
    <mergeCell ref="W340:W341"/>
    <mergeCell ref="X340:X341"/>
    <mergeCell ref="T340:T341"/>
    <mergeCell ref="G342:G343"/>
    <mergeCell ref="H342:H343"/>
    <mergeCell ref="J346:J347"/>
    <mergeCell ref="C342:C343"/>
    <mergeCell ref="D342:D343"/>
    <mergeCell ref="E342:E343"/>
    <mergeCell ref="F342:F343"/>
    <mergeCell ref="Y340:Y341"/>
    <mergeCell ref="I342:I343"/>
    <mergeCell ref="J342:J343"/>
    <mergeCell ref="H340:H341"/>
    <mergeCell ref="I340:I341"/>
    <mergeCell ref="AB346:AB347"/>
    <mergeCell ref="AC346:AC347"/>
    <mergeCell ref="AD346:AD347"/>
    <mergeCell ref="Y342:Y343"/>
    <mergeCell ref="Z342:Z343"/>
    <mergeCell ref="AA346:AA347"/>
    <mergeCell ref="AC342:AC343"/>
    <mergeCell ref="AB348:AB349"/>
    <mergeCell ref="T342:T343"/>
    <mergeCell ref="U342:U343"/>
    <mergeCell ref="V342:V343"/>
    <mergeCell ref="W342:W343"/>
    <mergeCell ref="X342:X343"/>
    <mergeCell ref="U346:U347"/>
    <mergeCell ref="V346:V347"/>
    <mergeCell ref="W346:W347"/>
    <mergeCell ref="Z346:Z347"/>
    <mergeCell ref="P346:P347"/>
    <mergeCell ref="Q346:Q347"/>
    <mergeCell ref="C340:C341"/>
    <mergeCell ref="D340:D341"/>
    <mergeCell ref="P340:P341"/>
    <mergeCell ref="Q340:Q341"/>
    <mergeCell ref="L340:L341"/>
    <mergeCell ref="G346:G347"/>
    <mergeCell ref="H346:H347"/>
    <mergeCell ref="I346:I347"/>
    <mergeCell ref="X346:X347"/>
    <mergeCell ref="Y346:Y347"/>
    <mergeCell ref="K342:K343"/>
    <mergeCell ref="L342:L343"/>
    <mergeCell ref="M342:M343"/>
    <mergeCell ref="T346:T347"/>
    <mergeCell ref="K346:K347"/>
    <mergeCell ref="M346:M347"/>
    <mergeCell ref="N346:N347"/>
    <mergeCell ref="O346:O347"/>
    <mergeCell ref="T348:T349"/>
    <mergeCell ref="U348:U349"/>
    <mergeCell ref="V348:V349"/>
    <mergeCell ref="W348:W349"/>
    <mergeCell ref="R346:R347"/>
    <mergeCell ref="S346:S347"/>
    <mergeCell ref="O352:O353"/>
    <mergeCell ref="P352:P353"/>
    <mergeCell ref="X348:X349"/>
    <mergeCell ref="Y348:Y349"/>
    <mergeCell ref="AD342:AD343"/>
    <mergeCell ref="Z350:Z351"/>
    <mergeCell ref="AA350:AA351"/>
    <mergeCell ref="Z348:Z349"/>
    <mergeCell ref="AA348:AA349"/>
    <mergeCell ref="AD350:AD351"/>
    <mergeCell ref="V352:V353"/>
    <mergeCell ref="P350:P351"/>
    <mergeCell ref="AC348:AC349"/>
    <mergeCell ref="AD348:AD349"/>
    <mergeCell ref="AB350:AB351"/>
    <mergeCell ref="AC350:AC351"/>
    <mergeCell ref="V350:V351"/>
    <mergeCell ref="W350:W351"/>
    <mergeCell ref="X350:X351"/>
    <mergeCell ref="Y350:Y351"/>
    <mergeCell ref="K350:K351"/>
    <mergeCell ref="M350:M351"/>
    <mergeCell ref="N350:N351"/>
    <mergeCell ref="T350:T351"/>
    <mergeCell ref="U350:U351"/>
    <mergeCell ref="U352:U353"/>
    <mergeCell ref="S352:S353"/>
    <mergeCell ref="T352:T353"/>
    <mergeCell ref="M352:M353"/>
    <mergeCell ref="N352:N353"/>
    <mergeCell ref="G350:G351"/>
    <mergeCell ref="H350:H351"/>
    <mergeCell ref="I350:I351"/>
    <mergeCell ref="J350:J351"/>
    <mergeCell ref="Q352:Q353"/>
    <mergeCell ref="R348:R349"/>
    <mergeCell ref="K348:K349"/>
    <mergeCell ref="M348:M349"/>
    <mergeCell ref="N348:N349"/>
    <mergeCell ref="O348:O349"/>
    <mergeCell ref="Q350:Q351"/>
    <mergeCell ref="R350:R351"/>
    <mergeCell ref="S350:S351"/>
    <mergeCell ref="P348:P349"/>
    <mergeCell ref="Q348:Q349"/>
    <mergeCell ref="O350:O351"/>
    <mergeCell ref="S348:S349"/>
    <mergeCell ref="G354:G355"/>
    <mergeCell ref="H354:H355"/>
    <mergeCell ref="G352:G353"/>
    <mergeCell ref="K354:K355"/>
    <mergeCell ref="C354:C355"/>
    <mergeCell ref="D354:D355"/>
    <mergeCell ref="E354:E355"/>
    <mergeCell ref="F354:F355"/>
    <mergeCell ref="H348:H349"/>
    <mergeCell ref="I348:I349"/>
    <mergeCell ref="J348:J349"/>
    <mergeCell ref="C350:C351"/>
    <mergeCell ref="N354:N355"/>
    <mergeCell ref="O354:O355"/>
    <mergeCell ref="C352:C353"/>
    <mergeCell ref="D352:D353"/>
    <mergeCell ref="E352:E353"/>
    <mergeCell ref="F352:F353"/>
    <mergeCell ref="D350:D351"/>
    <mergeCell ref="E350:E351"/>
    <mergeCell ref="F350:F351"/>
    <mergeCell ref="F356:F357"/>
    <mergeCell ref="M354:M355"/>
    <mergeCell ref="C348:C349"/>
    <mergeCell ref="D348:D349"/>
    <mergeCell ref="E348:E349"/>
    <mergeCell ref="F348:F349"/>
    <mergeCell ref="G348:G349"/>
    <mergeCell ref="G356:G357"/>
    <mergeCell ref="H356:H357"/>
    <mergeCell ref="I356:I357"/>
    <mergeCell ref="AD352:AD353"/>
    <mergeCell ref="V356:V357"/>
    <mergeCell ref="W356:W357"/>
    <mergeCell ref="X356:X357"/>
    <mergeCell ref="Y356:Y357"/>
    <mergeCell ref="K356:K357"/>
    <mergeCell ref="M356:M357"/>
    <mergeCell ref="Y352:Y353"/>
    <mergeCell ref="Z352:Z353"/>
    <mergeCell ref="AA352:AA353"/>
    <mergeCell ref="AB352:AB353"/>
    <mergeCell ref="N356:N357"/>
    <mergeCell ref="O356:O357"/>
    <mergeCell ref="P356:P357"/>
    <mergeCell ref="X352:X353"/>
    <mergeCell ref="W352:W353"/>
    <mergeCell ref="P354:P355"/>
    <mergeCell ref="AC352:AC353"/>
    <mergeCell ref="T356:T357"/>
    <mergeCell ref="U356:U357"/>
    <mergeCell ref="R354:R355"/>
    <mergeCell ref="T354:T355"/>
    <mergeCell ref="U354:U355"/>
    <mergeCell ref="R352:R353"/>
    <mergeCell ref="AB354:AB355"/>
    <mergeCell ref="AC354:AC355"/>
    <mergeCell ref="X354:X355"/>
    <mergeCell ref="S362:S363"/>
    <mergeCell ref="V362:V363"/>
    <mergeCell ref="W362:W363"/>
    <mergeCell ref="C362:C363"/>
    <mergeCell ref="D362:D363"/>
    <mergeCell ref="E362:E363"/>
    <mergeCell ref="F362:F363"/>
    <mergeCell ref="C358:C359"/>
    <mergeCell ref="D358:D359"/>
    <mergeCell ref="E358:E359"/>
    <mergeCell ref="F358:F359"/>
    <mergeCell ref="J358:J359"/>
    <mergeCell ref="H358:H359"/>
    <mergeCell ref="AD354:AD355"/>
    <mergeCell ref="K358:K359"/>
    <mergeCell ref="AD358:AD359"/>
    <mergeCell ref="C361:D361"/>
    <mergeCell ref="Y358:Y359"/>
    <mergeCell ref="X358:X359"/>
    <mergeCell ref="AD356:AD357"/>
    <mergeCell ref="G358:G359"/>
    <mergeCell ref="J356:J357"/>
    <mergeCell ref="W354:W355"/>
    <mergeCell ref="Y354:Y355"/>
    <mergeCell ref="Z354:Z355"/>
    <mergeCell ref="AA354:AA355"/>
    <mergeCell ref="Q356:Q357"/>
    <mergeCell ref="R356:R357"/>
    <mergeCell ref="S354:S355"/>
    <mergeCell ref="Z356:Z357"/>
    <mergeCell ref="AA356:AA357"/>
    <mergeCell ref="Q354:Q355"/>
    <mergeCell ref="V354:V355"/>
    <mergeCell ref="H352:H353"/>
    <mergeCell ref="I352:I353"/>
    <mergeCell ref="J352:J353"/>
    <mergeCell ref="K352:K353"/>
    <mergeCell ref="AB356:AB357"/>
    <mergeCell ref="AB358:AB359"/>
    <mergeCell ref="M358:M359"/>
    <mergeCell ref="N358:N359"/>
    <mergeCell ref="Q358:Q359"/>
    <mergeCell ref="R358:R359"/>
    <mergeCell ref="I354:I355"/>
    <mergeCell ref="J354:J355"/>
    <mergeCell ref="AA364:AA365"/>
    <mergeCell ref="Z358:Z359"/>
    <mergeCell ref="S356:S357"/>
    <mergeCell ref="Y362:Y363"/>
    <mergeCell ref="J362:J363"/>
    <mergeCell ref="K362:K363"/>
    <mergeCell ref="I358:I359"/>
    <mergeCell ref="S358:S359"/>
    <mergeCell ref="C356:C357"/>
    <mergeCell ref="D356:D357"/>
    <mergeCell ref="E356:E357"/>
    <mergeCell ref="X362:X363"/>
    <mergeCell ref="L362:L363"/>
    <mergeCell ref="M362:M363"/>
    <mergeCell ref="N362:N363"/>
    <mergeCell ref="G362:G363"/>
    <mergeCell ref="H362:H363"/>
    <mergeCell ref="I362:I363"/>
    <mergeCell ref="AC356:AC357"/>
    <mergeCell ref="L364:L365"/>
    <mergeCell ref="M364:M365"/>
    <mergeCell ref="T362:T363"/>
    <mergeCell ref="U362:U363"/>
    <mergeCell ref="R362:R363"/>
    <mergeCell ref="U364:U365"/>
    <mergeCell ref="T358:T359"/>
    <mergeCell ref="U358:U359"/>
    <mergeCell ref="V358:V359"/>
    <mergeCell ref="T364:T365"/>
    <mergeCell ref="N364:N365"/>
    <mergeCell ref="O364:O365"/>
    <mergeCell ref="I364:I365"/>
    <mergeCell ref="J364:J365"/>
    <mergeCell ref="K364:K365"/>
    <mergeCell ref="C366:C367"/>
    <mergeCell ref="D366:D367"/>
    <mergeCell ref="O358:O359"/>
    <mergeCell ref="Z362:Z363"/>
    <mergeCell ref="AA362:AA363"/>
    <mergeCell ref="AB362:AB363"/>
    <mergeCell ref="AB364:AB365"/>
    <mergeCell ref="H364:H365"/>
    <mergeCell ref="R364:R365"/>
    <mergeCell ref="S364:S365"/>
    <mergeCell ref="W358:W359"/>
    <mergeCell ref="AB366:AB367"/>
    <mergeCell ref="W366:W367"/>
    <mergeCell ref="X366:X367"/>
    <mergeCell ref="Y366:Y367"/>
    <mergeCell ref="AD364:AD365"/>
    <mergeCell ref="AC362:AC363"/>
    <mergeCell ref="AC364:AC365"/>
    <mergeCell ref="AC358:AC359"/>
    <mergeCell ref="X364:X365"/>
    <mergeCell ref="Y364:Y365"/>
    <mergeCell ref="Z364:Z365"/>
    <mergeCell ref="M366:M367"/>
    <mergeCell ref="N366:N367"/>
    <mergeCell ref="P366:P367"/>
    <mergeCell ref="Q366:Q367"/>
    <mergeCell ref="V366:V367"/>
    <mergeCell ref="P358:P359"/>
    <mergeCell ref="F366:F367"/>
    <mergeCell ref="G366:G367"/>
    <mergeCell ref="L368:L369"/>
    <mergeCell ref="M368:M369"/>
    <mergeCell ref="H366:H367"/>
    <mergeCell ref="I366:I367"/>
    <mergeCell ref="J366:J367"/>
    <mergeCell ref="K366:K367"/>
    <mergeCell ref="K368:K369"/>
    <mergeCell ref="L366:L367"/>
    <mergeCell ref="Q364:Q365"/>
    <mergeCell ref="N368:N369"/>
    <mergeCell ref="N373:N374"/>
    <mergeCell ref="O373:O374"/>
    <mergeCell ref="AA358:AA359"/>
    <mergeCell ref="AA368:AA369"/>
    <mergeCell ref="T366:T367"/>
    <mergeCell ref="U366:U367"/>
    <mergeCell ref="V364:V365"/>
    <mergeCell ref="W364:W365"/>
    <mergeCell ref="C364:C365"/>
    <mergeCell ref="D364:D365"/>
    <mergeCell ref="E364:E365"/>
    <mergeCell ref="F364:F365"/>
    <mergeCell ref="G364:G365"/>
    <mergeCell ref="P364:P365"/>
    <mergeCell ref="AB368:AB369"/>
    <mergeCell ref="W368:W369"/>
    <mergeCell ref="X368:X369"/>
    <mergeCell ref="Y368:Y369"/>
    <mergeCell ref="Z368:Z369"/>
    <mergeCell ref="AD362:AD363"/>
    <mergeCell ref="Z366:Z367"/>
    <mergeCell ref="AA366:AA367"/>
    <mergeCell ref="AA373:AA374"/>
    <mergeCell ref="AB373:AB374"/>
    <mergeCell ref="AC373:AC374"/>
    <mergeCell ref="O366:O367"/>
    <mergeCell ref="O362:O363"/>
    <mergeCell ref="P362:P363"/>
    <mergeCell ref="Q362:Q363"/>
    <mergeCell ref="AC366:AC367"/>
    <mergeCell ref="Q373:Q374"/>
    <mergeCell ref="R373:R374"/>
    <mergeCell ref="J375:J376"/>
    <mergeCell ref="K375:K376"/>
    <mergeCell ref="AD373:AD374"/>
    <mergeCell ref="T373:T374"/>
    <mergeCell ref="U373:U374"/>
    <mergeCell ref="V373:V374"/>
    <mergeCell ref="X373:X374"/>
    <mergeCell ref="Y373:Y374"/>
    <mergeCell ref="Z373:Z374"/>
    <mergeCell ref="W373:W374"/>
    <mergeCell ref="D375:D376"/>
    <mergeCell ref="E375:E376"/>
    <mergeCell ref="F375:F376"/>
    <mergeCell ref="G375:G376"/>
    <mergeCell ref="H375:H376"/>
    <mergeCell ref="I375:I376"/>
    <mergeCell ref="AD366:AD367"/>
    <mergeCell ref="O368:O369"/>
    <mergeCell ref="P368:P369"/>
    <mergeCell ref="Q368:Q369"/>
    <mergeCell ref="R368:R369"/>
    <mergeCell ref="T368:T369"/>
    <mergeCell ref="U368:U369"/>
    <mergeCell ref="V368:V369"/>
    <mergeCell ref="AC368:AC369"/>
    <mergeCell ref="AD368:AD369"/>
    <mergeCell ref="E366:E367"/>
    <mergeCell ref="R366:R367"/>
    <mergeCell ref="S366:S367"/>
    <mergeCell ref="S373:S374"/>
    <mergeCell ref="S368:S369"/>
    <mergeCell ref="P373:P374"/>
    <mergeCell ref="G368:G369"/>
    <mergeCell ref="H368:H369"/>
    <mergeCell ref="I368:I369"/>
    <mergeCell ref="J368:J369"/>
    <mergeCell ref="U375:U376"/>
    <mergeCell ref="V375:V376"/>
    <mergeCell ref="W375:W376"/>
    <mergeCell ref="X375:X376"/>
    <mergeCell ref="C368:C369"/>
    <mergeCell ref="D368:D369"/>
    <mergeCell ref="E368:E369"/>
    <mergeCell ref="F368:F369"/>
    <mergeCell ref="O375:O376"/>
    <mergeCell ref="C375:C376"/>
    <mergeCell ref="E373:E374"/>
    <mergeCell ref="F373:F374"/>
    <mergeCell ref="G373:G374"/>
    <mergeCell ref="H373:H374"/>
    <mergeCell ref="C371:D371"/>
    <mergeCell ref="C372:D372"/>
    <mergeCell ref="C373:C374"/>
    <mergeCell ref="D373:D374"/>
    <mergeCell ref="AB375:AB376"/>
    <mergeCell ref="AC375:AC376"/>
    <mergeCell ref="V377:V378"/>
    <mergeCell ref="U377:U378"/>
    <mergeCell ref="I373:I374"/>
    <mergeCell ref="J373:J374"/>
    <mergeCell ref="K373:K374"/>
    <mergeCell ref="M373:M374"/>
    <mergeCell ref="AA375:AA376"/>
    <mergeCell ref="T375:T376"/>
    <mergeCell ref="AD375:AD376"/>
    <mergeCell ref="C377:C378"/>
    <mergeCell ref="D377:D378"/>
    <mergeCell ref="E377:E378"/>
    <mergeCell ref="F377:F378"/>
    <mergeCell ref="G377:G378"/>
    <mergeCell ref="J377:J378"/>
    <mergeCell ref="K377:K378"/>
    <mergeCell ref="M377:M378"/>
    <mergeCell ref="N377:N378"/>
    <mergeCell ref="AC377:AC378"/>
    <mergeCell ref="AD377:AD378"/>
    <mergeCell ref="W377:W378"/>
    <mergeCell ref="X377:X378"/>
    <mergeCell ref="Y377:Y378"/>
    <mergeCell ref="Z377:Z378"/>
    <mergeCell ref="AA377:AA378"/>
    <mergeCell ref="AB377:AB378"/>
    <mergeCell ref="T377:T378"/>
    <mergeCell ref="G383:G384"/>
    <mergeCell ref="H383:H384"/>
    <mergeCell ref="K383:K384"/>
    <mergeCell ref="M383:M384"/>
    <mergeCell ref="C380:D380"/>
    <mergeCell ref="C381:C382"/>
    <mergeCell ref="D381:D382"/>
    <mergeCell ref="E381:E382"/>
    <mergeCell ref="O377:O378"/>
    <mergeCell ref="W381:W382"/>
    <mergeCell ref="X381:X382"/>
    <mergeCell ref="C383:C384"/>
    <mergeCell ref="Y375:Y376"/>
    <mergeCell ref="Z375:Z376"/>
    <mergeCell ref="N381:N382"/>
    <mergeCell ref="F381:F382"/>
    <mergeCell ref="G381:G382"/>
    <mergeCell ref="H381:H382"/>
    <mergeCell ref="I381:I382"/>
    <mergeCell ref="P375:P376"/>
    <mergeCell ref="Q375:Q376"/>
    <mergeCell ref="R375:R376"/>
    <mergeCell ref="S375:S376"/>
    <mergeCell ref="H377:H378"/>
    <mergeCell ref="I377:I378"/>
    <mergeCell ref="S377:S378"/>
    <mergeCell ref="P377:P378"/>
    <mergeCell ref="Q377:Q378"/>
    <mergeCell ref="R377:R378"/>
    <mergeCell ref="M375:M376"/>
    <mergeCell ref="N375:N376"/>
    <mergeCell ref="J383:J384"/>
    <mergeCell ref="AC383:AC384"/>
    <mergeCell ref="J381:J382"/>
    <mergeCell ref="K381:K382"/>
    <mergeCell ref="M381:M382"/>
    <mergeCell ref="AB381:AB382"/>
    <mergeCell ref="AB383:AB384"/>
    <mergeCell ref="AC381:AC382"/>
    <mergeCell ref="AD383:AD384"/>
    <mergeCell ref="S381:S382"/>
    <mergeCell ref="T381:T382"/>
    <mergeCell ref="N383:N384"/>
    <mergeCell ref="O383:O384"/>
    <mergeCell ref="T383:T384"/>
    <mergeCell ref="P383:P384"/>
    <mergeCell ref="V381:V382"/>
    <mergeCell ref="Z381:Z382"/>
    <mergeCell ref="AA381:AA382"/>
    <mergeCell ref="V387:V388"/>
    <mergeCell ref="D383:D384"/>
    <mergeCell ref="E383:E384"/>
    <mergeCell ref="F383:F384"/>
    <mergeCell ref="U381:U382"/>
    <mergeCell ref="O381:O382"/>
    <mergeCell ref="P381:P382"/>
    <mergeCell ref="Q381:Q382"/>
    <mergeCell ref="R381:R382"/>
    <mergeCell ref="I383:I384"/>
    <mergeCell ref="AA385:AA386"/>
    <mergeCell ref="AB385:AB386"/>
    <mergeCell ref="Z385:Z386"/>
    <mergeCell ref="W387:W388"/>
    <mergeCell ref="X387:X388"/>
    <mergeCell ref="Q383:Q384"/>
    <mergeCell ref="R383:R384"/>
    <mergeCell ref="S383:S384"/>
    <mergeCell ref="Q385:Q386"/>
    <mergeCell ref="R385:R386"/>
    <mergeCell ref="Z383:Z384"/>
    <mergeCell ref="AA383:AA384"/>
    <mergeCell ref="Y381:Y382"/>
    <mergeCell ref="AD385:AD386"/>
    <mergeCell ref="W385:W386"/>
    <mergeCell ref="AC387:AC388"/>
    <mergeCell ref="AD387:AD388"/>
    <mergeCell ref="AC385:AC386"/>
    <mergeCell ref="X385:X386"/>
    <mergeCell ref="Y385:Y386"/>
    <mergeCell ref="K385:K386"/>
    <mergeCell ref="I387:I388"/>
    <mergeCell ref="J387:J388"/>
    <mergeCell ref="K387:K388"/>
    <mergeCell ref="AD381:AD382"/>
    <mergeCell ref="U383:U384"/>
    <mergeCell ref="V383:V384"/>
    <mergeCell ref="W383:W384"/>
    <mergeCell ref="X383:X384"/>
    <mergeCell ref="Y383:Y384"/>
    <mergeCell ref="M387:M388"/>
    <mergeCell ref="T385:T386"/>
    <mergeCell ref="U385:U386"/>
    <mergeCell ref="M385:M386"/>
    <mergeCell ref="N385:N386"/>
    <mergeCell ref="O385:O386"/>
    <mergeCell ref="R387:R388"/>
    <mergeCell ref="U387:U388"/>
    <mergeCell ref="S385:S386"/>
    <mergeCell ref="S387:S388"/>
    <mergeCell ref="T387:T388"/>
    <mergeCell ref="N387:N388"/>
    <mergeCell ref="O387:O388"/>
    <mergeCell ref="P387:P388"/>
    <mergeCell ref="Q387:Q388"/>
    <mergeCell ref="K391:K392"/>
    <mergeCell ref="M391:M392"/>
    <mergeCell ref="N391:N392"/>
    <mergeCell ref="O391:O392"/>
    <mergeCell ref="C390:D390"/>
    <mergeCell ref="C391:C392"/>
    <mergeCell ref="D391:D392"/>
    <mergeCell ref="E391:E392"/>
    <mergeCell ref="AA387:AA388"/>
    <mergeCell ref="AB387:AB388"/>
    <mergeCell ref="C385:C386"/>
    <mergeCell ref="D385:D386"/>
    <mergeCell ref="E385:E386"/>
    <mergeCell ref="F385:F386"/>
    <mergeCell ref="C387:C388"/>
    <mergeCell ref="D387:D388"/>
    <mergeCell ref="E387:E388"/>
    <mergeCell ref="F387:F388"/>
    <mergeCell ref="G385:G386"/>
    <mergeCell ref="H385:H386"/>
    <mergeCell ref="I385:I386"/>
    <mergeCell ref="J385:J386"/>
    <mergeCell ref="Y387:Y388"/>
    <mergeCell ref="Z387:Z388"/>
    <mergeCell ref="V385:V386"/>
    <mergeCell ref="P385:P386"/>
    <mergeCell ref="G387:G388"/>
    <mergeCell ref="H387:H388"/>
    <mergeCell ref="AB391:AB392"/>
    <mergeCell ref="AC391:AC392"/>
    <mergeCell ref="V391:V392"/>
    <mergeCell ref="W391:W392"/>
    <mergeCell ref="X391:X392"/>
    <mergeCell ref="Y391:Y392"/>
    <mergeCell ref="Z391:Z392"/>
    <mergeCell ref="AA391:AA392"/>
    <mergeCell ref="T391:T392"/>
    <mergeCell ref="U391:U392"/>
    <mergeCell ref="M393:M394"/>
    <mergeCell ref="N393:N394"/>
    <mergeCell ref="O393:O394"/>
    <mergeCell ref="P393:P394"/>
    <mergeCell ref="R391:R392"/>
    <mergeCell ref="S391:S392"/>
    <mergeCell ref="P391:P392"/>
    <mergeCell ref="Q391:Q392"/>
    <mergeCell ref="D395:D396"/>
    <mergeCell ref="E395:E396"/>
    <mergeCell ref="F395:F396"/>
    <mergeCell ref="G395:G396"/>
    <mergeCell ref="H395:H396"/>
    <mergeCell ref="K395:K396"/>
    <mergeCell ref="O395:O396"/>
    <mergeCell ref="P395:P396"/>
    <mergeCell ref="Q395:Q396"/>
    <mergeCell ref="Z393:Z394"/>
    <mergeCell ref="AA393:AA394"/>
    <mergeCell ref="AB393:AB394"/>
    <mergeCell ref="I393:I394"/>
    <mergeCell ref="J393:J394"/>
    <mergeCell ref="K393:K394"/>
    <mergeCell ref="I395:I396"/>
    <mergeCell ref="J395:J396"/>
    <mergeCell ref="N395:N396"/>
    <mergeCell ref="M395:M396"/>
    <mergeCell ref="AC397:AC398"/>
    <mergeCell ref="AA397:AA398"/>
    <mergeCell ref="AB397:AB398"/>
    <mergeCell ref="F391:F392"/>
    <mergeCell ref="G391:G392"/>
    <mergeCell ref="I391:I392"/>
    <mergeCell ref="J391:J392"/>
    <mergeCell ref="R395:R396"/>
    <mergeCell ref="S395:S396"/>
    <mergeCell ref="H393:H394"/>
    <mergeCell ref="X395:X396"/>
    <mergeCell ref="Y395:Y396"/>
    <mergeCell ref="Z395:Z396"/>
    <mergeCell ref="AA395:AA396"/>
    <mergeCell ref="Y393:Y394"/>
    <mergeCell ref="U397:U398"/>
    <mergeCell ref="V397:V398"/>
    <mergeCell ref="W397:W398"/>
    <mergeCell ref="AD391:AD392"/>
    <mergeCell ref="C393:C394"/>
    <mergeCell ref="D393:D394"/>
    <mergeCell ref="E393:E394"/>
    <mergeCell ref="F393:F394"/>
    <mergeCell ref="G393:G394"/>
    <mergeCell ref="U393:U394"/>
    <mergeCell ref="V393:V394"/>
    <mergeCell ref="W393:W394"/>
    <mergeCell ref="AC393:AC394"/>
    <mergeCell ref="X393:X394"/>
    <mergeCell ref="Q393:Q394"/>
    <mergeCell ref="R393:R394"/>
    <mergeCell ref="S393:S394"/>
    <mergeCell ref="T393:T394"/>
    <mergeCell ref="AD397:AD398"/>
    <mergeCell ref="AD393:AD394"/>
    <mergeCell ref="U395:U396"/>
    <mergeCell ref="V395:V396"/>
    <mergeCell ref="W395:W396"/>
    <mergeCell ref="C395:C396"/>
    <mergeCell ref="V399:V400"/>
    <mergeCell ref="W399:W400"/>
    <mergeCell ref="E399:E400"/>
    <mergeCell ref="F399:F400"/>
    <mergeCell ref="G399:G400"/>
    <mergeCell ref="H399:H400"/>
    <mergeCell ref="M399:M400"/>
    <mergeCell ref="S397:S398"/>
    <mergeCell ref="T395:T396"/>
    <mergeCell ref="AD399:AD400"/>
    <mergeCell ref="G397:G398"/>
    <mergeCell ref="H397:H398"/>
    <mergeCell ref="I397:I398"/>
    <mergeCell ref="J397:J398"/>
    <mergeCell ref="AC399:AC400"/>
    <mergeCell ref="Z399:Z400"/>
    <mergeCell ref="Y399:Y400"/>
    <mergeCell ref="Q399:Q400"/>
    <mergeCell ref="R397:R398"/>
    <mergeCell ref="AB395:AB396"/>
    <mergeCell ref="AC395:AC396"/>
    <mergeCell ref="AD395:AD396"/>
    <mergeCell ref="R399:R400"/>
    <mergeCell ref="S399:S400"/>
    <mergeCell ref="X397:X398"/>
    <mergeCell ref="Y397:Y398"/>
    <mergeCell ref="Z397:Z398"/>
    <mergeCell ref="AA399:AA400"/>
    <mergeCell ref="AB399:AB400"/>
    <mergeCell ref="T397:T398"/>
    <mergeCell ref="C397:C398"/>
    <mergeCell ref="D397:D398"/>
    <mergeCell ref="E397:E398"/>
    <mergeCell ref="F397:F398"/>
    <mergeCell ref="K397:K398"/>
    <mergeCell ref="M397:M398"/>
    <mergeCell ref="N397:N398"/>
    <mergeCell ref="O397:O398"/>
    <mergeCell ref="P397:P398"/>
    <mergeCell ref="Q397:Q398"/>
    <mergeCell ref="N399:N400"/>
    <mergeCell ref="O399:O400"/>
    <mergeCell ref="L401:L402"/>
    <mergeCell ref="M401:M402"/>
    <mergeCell ref="O401:O402"/>
    <mergeCell ref="X399:X400"/>
    <mergeCell ref="D401:D402"/>
    <mergeCell ref="E401:E402"/>
    <mergeCell ref="F401:F402"/>
    <mergeCell ref="X401:X402"/>
    <mergeCell ref="P401:P402"/>
    <mergeCell ref="G401:G402"/>
    <mergeCell ref="R401:R402"/>
    <mergeCell ref="S401:S402"/>
    <mergeCell ref="T399:T400"/>
    <mergeCell ref="C399:C400"/>
    <mergeCell ref="D399:D400"/>
    <mergeCell ref="P399:P400"/>
    <mergeCell ref="I399:I400"/>
    <mergeCell ref="J399:J400"/>
    <mergeCell ref="K399:K400"/>
    <mergeCell ref="L399:L400"/>
    <mergeCell ref="U399:U400"/>
    <mergeCell ref="C406:D406"/>
    <mergeCell ref="X403:X404"/>
    <mergeCell ref="Y403:Y404"/>
    <mergeCell ref="C403:C404"/>
    <mergeCell ref="D403:D404"/>
    <mergeCell ref="E403:E404"/>
    <mergeCell ref="F403:F404"/>
    <mergeCell ref="Q401:Q402"/>
    <mergeCell ref="J401:J402"/>
    <mergeCell ref="C407:C408"/>
    <mergeCell ref="D407:D408"/>
    <mergeCell ref="N401:N402"/>
    <mergeCell ref="H401:H402"/>
    <mergeCell ref="I401:I402"/>
    <mergeCell ref="C401:C402"/>
    <mergeCell ref="N403:N404"/>
    <mergeCell ref="AD401:AD402"/>
    <mergeCell ref="T401:T402"/>
    <mergeCell ref="U401:U402"/>
    <mergeCell ref="V401:V402"/>
    <mergeCell ref="W401:W402"/>
    <mergeCell ref="K401:K402"/>
    <mergeCell ref="Y407:Y408"/>
    <mergeCell ref="Z407:Z408"/>
    <mergeCell ref="AA407:AA408"/>
    <mergeCell ref="Y401:Y402"/>
    <mergeCell ref="AB401:AB402"/>
    <mergeCell ref="AC401:AC402"/>
    <mergeCell ref="X409:X410"/>
    <mergeCell ref="AD409:AD410"/>
    <mergeCell ref="Y409:Y410"/>
    <mergeCell ref="R403:R404"/>
    <mergeCell ref="S403:S404"/>
    <mergeCell ref="T403:T404"/>
    <mergeCell ref="U403:U404"/>
    <mergeCell ref="AD403:AD404"/>
    <mergeCell ref="AA403:AA404"/>
    <mergeCell ref="Z403:Z404"/>
    <mergeCell ref="Z401:Z402"/>
    <mergeCell ref="AA401:AA402"/>
    <mergeCell ref="O403:O404"/>
    <mergeCell ref="V409:V410"/>
    <mergeCell ref="W409:W410"/>
    <mergeCell ref="R407:R408"/>
    <mergeCell ref="T407:T408"/>
    <mergeCell ref="V407:V408"/>
    <mergeCell ref="W407:W408"/>
    <mergeCell ref="S407:S408"/>
    <mergeCell ref="AB403:AB404"/>
    <mergeCell ref="G407:G408"/>
    <mergeCell ref="I407:I408"/>
    <mergeCell ref="J407:J408"/>
    <mergeCell ref="K407:K408"/>
    <mergeCell ref="P403:P404"/>
    <mergeCell ref="Q403:Q404"/>
    <mergeCell ref="V403:V404"/>
    <mergeCell ref="W403:W404"/>
    <mergeCell ref="X407:X408"/>
    <mergeCell ref="I409:I410"/>
    <mergeCell ref="I411:I412"/>
    <mergeCell ref="O409:O410"/>
    <mergeCell ref="N411:N412"/>
    <mergeCell ref="O411:O412"/>
    <mergeCell ref="L409:L410"/>
    <mergeCell ref="M409:M410"/>
    <mergeCell ref="AC403:AC404"/>
    <mergeCell ref="U407:U408"/>
    <mergeCell ref="L407:L408"/>
    <mergeCell ref="M407:M408"/>
    <mergeCell ref="N407:N408"/>
    <mergeCell ref="O407:O408"/>
    <mergeCell ref="P407:P408"/>
    <mergeCell ref="Q407:Q408"/>
    <mergeCell ref="AB407:AB408"/>
    <mergeCell ref="AC407:AC408"/>
    <mergeCell ref="Z409:Z410"/>
    <mergeCell ref="G403:G404"/>
    <mergeCell ref="H403:H404"/>
    <mergeCell ref="I403:I404"/>
    <mergeCell ref="J403:J404"/>
    <mergeCell ref="K403:K404"/>
    <mergeCell ref="L403:L404"/>
    <mergeCell ref="M403:M404"/>
    <mergeCell ref="K409:K410"/>
    <mergeCell ref="N409:N410"/>
    <mergeCell ref="AB409:AB410"/>
    <mergeCell ref="C409:C410"/>
    <mergeCell ref="D409:D410"/>
    <mergeCell ref="E409:E410"/>
    <mergeCell ref="F409:F410"/>
    <mergeCell ref="G409:G410"/>
    <mergeCell ref="R409:R410"/>
    <mergeCell ref="P409:P410"/>
    <mergeCell ref="Q409:Q410"/>
    <mergeCell ref="J409:J410"/>
    <mergeCell ref="AD407:AD408"/>
    <mergeCell ref="S409:S410"/>
    <mergeCell ref="P411:P412"/>
    <mergeCell ref="Q411:Q412"/>
    <mergeCell ref="AB411:AB412"/>
    <mergeCell ref="U411:U412"/>
    <mergeCell ref="T409:T410"/>
    <mergeCell ref="U409:U410"/>
    <mergeCell ref="S411:S412"/>
    <mergeCell ref="T411:T412"/>
    <mergeCell ref="G411:G412"/>
    <mergeCell ref="H411:H412"/>
    <mergeCell ref="J411:J412"/>
    <mergeCell ref="E407:E408"/>
    <mergeCell ref="F407:F408"/>
    <mergeCell ref="C411:C412"/>
    <mergeCell ref="D411:D412"/>
    <mergeCell ref="E411:E412"/>
    <mergeCell ref="F411:F412"/>
    <mergeCell ref="H409:H410"/>
    <mergeCell ref="AC415:AC416"/>
    <mergeCell ref="AD415:AD416"/>
    <mergeCell ref="C413:C414"/>
    <mergeCell ref="Y413:Y414"/>
    <mergeCell ref="G413:G414"/>
    <mergeCell ref="H413:H414"/>
    <mergeCell ref="I413:I414"/>
    <mergeCell ref="J413:J414"/>
    <mergeCell ref="K411:K412"/>
    <mergeCell ref="L411:L412"/>
    <mergeCell ref="M411:M412"/>
    <mergeCell ref="R411:R412"/>
    <mergeCell ref="AD413:AD414"/>
    <mergeCell ref="C415:C416"/>
    <mergeCell ref="D415:D416"/>
    <mergeCell ref="R415:R416"/>
    <mergeCell ref="S415:S416"/>
    <mergeCell ref="AC413:AC414"/>
    <mergeCell ref="AC409:AC410"/>
    <mergeCell ref="AA409:AA410"/>
    <mergeCell ref="AA413:AA414"/>
    <mergeCell ref="AB413:AB414"/>
    <mergeCell ref="AC411:AC412"/>
    <mergeCell ref="V411:V412"/>
    <mergeCell ref="Y411:Y412"/>
    <mergeCell ref="Z411:Z412"/>
    <mergeCell ref="AA411:AA412"/>
    <mergeCell ref="V413:V414"/>
    <mergeCell ref="Q417:Q418"/>
    <mergeCell ref="E415:E416"/>
    <mergeCell ref="F415:F416"/>
    <mergeCell ref="G415:G416"/>
    <mergeCell ref="H415:H416"/>
    <mergeCell ref="I415:I416"/>
    <mergeCell ref="J415:J416"/>
    <mergeCell ref="K415:K416"/>
    <mergeCell ref="L417:L418"/>
    <mergeCell ref="M417:M418"/>
    <mergeCell ref="AD411:AD412"/>
    <mergeCell ref="Z413:Z414"/>
    <mergeCell ref="W413:W414"/>
    <mergeCell ref="X413:X414"/>
    <mergeCell ref="O413:O414"/>
    <mergeCell ref="P413:P414"/>
    <mergeCell ref="W411:W412"/>
    <mergeCell ref="X411:X412"/>
    <mergeCell ref="Y415:Y416"/>
    <mergeCell ref="Z415:Z416"/>
    <mergeCell ref="AA415:AA416"/>
    <mergeCell ref="AB415:AB416"/>
    <mergeCell ref="D413:D414"/>
    <mergeCell ref="E413:E414"/>
    <mergeCell ref="F413:F414"/>
    <mergeCell ref="K413:K414"/>
    <mergeCell ref="L413:L414"/>
    <mergeCell ref="M413:M414"/>
    <mergeCell ref="N413:N414"/>
    <mergeCell ref="U413:U414"/>
    <mergeCell ref="N415:N416"/>
    <mergeCell ref="O415:O416"/>
    <mergeCell ref="N417:N418"/>
    <mergeCell ref="O417:O418"/>
    <mergeCell ref="P417:P418"/>
    <mergeCell ref="L415:L416"/>
    <mergeCell ref="M415:M416"/>
    <mergeCell ref="P415:P416"/>
    <mergeCell ref="AB417:AB418"/>
    <mergeCell ref="Q415:Q416"/>
    <mergeCell ref="S413:S414"/>
    <mergeCell ref="T413:T414"/>
    <mergeCell ref="Q413:Q414"/>
    <mergeCell ref="R413:R414"/>
    <mergeCell ref="T415:T416"/>
    <mergeCell ref="V415:V416"/>
    <mergeCell ref="W415:W416"/>
    <mergeCell ref="X415:X416"/>
    <mergeCell ref="M419:M420"/>
    <mergeCell ref="N419:N420"/>
    <mergeCell ref="AC419:AC420"/>
    <mergeCell ref="AD419:AD420"/>
    <mergeCell ref="Z419:Z420"/>
    <mergeCell ref="U415:U416"/>
    <mergeCell ref="AA419:AA420"/>
    <mergeCell ref="AB419:AB420"/>
    <mergeCell ref="U419:U420"/>
    <mergeCell ref="V419:V420"/>
    <mergeCell ref="S417:S418"/>
    <mergeCell ref="T417:T418"/>
    <mergeCell ref="AA417:AA418"/>
    <mergeCell ref="Y417:Y418"/>
    <mergeCell ref="Z417:Z418"/>
    <mergeCell ref="U417:U418"/>
    <mergeCell ref="V417:V418"/>
    <mergeCell ref="W417:W418"/>
    <mergeCell ref="X417:X418"/>
    <mergeCell ref="AD417:AD418"/>
    <mergeCell ref="AC417:AC418"/>
    <mergeCell ref="C419:C420"/>
    <mergeCell ref="D419:D420"/>
    <mergeCell ref="E419:E420"/>
    <mergeCell ref="F419:F420"/>
    <mergeCell ref="G419:G420"/>
    <mergeCell ref="H419:H420"/>
    <mergeCell ref="S419:S420"/>
    <mergeCell ref="C417:C418"/>
    <mergeCell ref="Y419:Y420"/>
    <mergeCell ref="T419:T420"/>
    <mergeCell ref="O419:O420"/>
    <mergeCell ref="P419:P420"/>
    <mergeCell ref="Q419:Q420"/>
    <mergeCell ref="R419:R420"/>
    <mergeCell ref="W419:W420"/>
    <mergeCell ref="X419:X420"/>
    <mergeCell ref="F417:F418"/>
    <mergeCell ref="G417:G418"/>
    <mergeCell ref="H417:H418"/>
    <mergeCell ref="I419:I420"/>
    <mergeCell ref="D417:D418"/>
    <mergeCell ref="K419:K420"/>
    <mergeCell ref="E417:E418"/>
    <mergeCell ref="R423:R424"/>
    <mergeCell ref="S423:S424"/>
    <mergeCell ref="T423:T424"/>
    <mergeCell ref="U423:U424"/>
    <mergeCell ref="J419:J420"/>
    <mergeCell ref="I417:I418"/>
    <mergeCell ref="J417:J418"/>
    <mergeCell ref="K417:K418"/>
    <mergeCell ref="L419:L420"/>
    <mergeCell ref="R417:R418"/>
    <mergeCell ref="I427:I428"/>
    <mergeCell ref="J427:J428"/>
    <mergeCell ref="C422:D422"/>
    <mergeCell ref="C423:C424"/>
    <mergeCell ref="D423:D424"/>
    <mergeCell ref="E423:E424"/>
    <mergeCell ref="J423:J424"/>
    <mergeCell ref="K423:K424"/>
    <mergeCell ref="L423:L424"/>
    <mergeCell ref="M423:M424"/>
    <mergeCell ref="K427:K428"/>
    <mergeCell ref="L427:L428"/>
    <mergeCell ref="N423:N424"/>
    <mergeCell ref="O423:O424"/>
    <mergeCell ref="AD423:AD424"/>
    <mergeCell ref="C426:D426"/>
    <mergeCell ref="P423:P424"/>
    <mergeCell ref="Q423:Q424"/>
    <mergeCell ref="F423:F424"/>
    <mergeCell ref="G423:G424"/>
    <mergeCell ref="H423:H424"/>
    <mergeCell ref="I423:I424"/>
    <mergeCell ref="S427:S428"/>
    <mergeCell ref="T427:T428"/>
    <mergeCell ref="U427:U428"/>
    <mergeCell ref="V427:V428"/>
    <mergeCell ref="C427:C428"/>
    <mergeCell ref="D427:D428"/>
    <mergeCell ref="E427:E428"/>
    <mergeCell ref="F427:F428"/>
    <mergeCell ref="G427:G428"/>
    <mergeCell ref="H427:H428"/>
    <mergeCell ref="AC427:AC428"/>
    <mergeCell ref="AD427:AD428"/>
    <mergeCell ref="O427:O428"/>
    <mergeCell ref="P427:P428"/>
    <mergeCell ref="Q427:Q428"/>
    <mergeCell ref="R427:R428"/>
    <mergeCell ref="W427:W428"/>
    <mergeCell ref="X427:X428"/>
    <mergeCell ref="Y427:Y428"/>
    <mergeCell ref="Z427:Z428"/>
    <mergeCell ref="AA427:AA428"/>
    <mergeCell ref="AB427:AB428"/>
    <mergeCell ref="AC423:AC424"/>
    <mergeCell ref="V423:V424"/>
    <mergeCell ref="W423:W424"/>
    <mergeCell ref="X423:X424"/>
    <mergeCell ref="Y423:Y424"/>
    <mergeCell ref="Z423:Z424"/>
    <mergeCell ref="AA423:AA424"/>
    <mergeCell ref="AB423:AB424"/>
    <mergeCell ref="M427:M428"/>
    <mergeCell ref="N427:N428"/>
    <mergeCell ref="G429:G430"/>
    <mergeCell ref="H429:H430"/>
    <mergeCell ref="I429:I430"/>
    <mergeCell ref="J429:J430"/>
    <mergeCell ref="K429:K430"/>
    <mergeCell ref="L429:L430"/>
    <mergeCell ref="M429:M430"/>
    <mergeCell ref="N429:N430"/>
    <mergeCell ref="S429:S430"/>
    <mergeCell ref="T429:T430"/>
    <mergeCell ref="U429:U430"/>
    <mergeCell ref="V429:V430"/>
    <mergeCell ref="O429:O430"/>
    <mergeCell ref="P429:P430"/>
    <mergeCell ref="Q429:Q430"/>
    <mergeCell ref="R429:R430"/>
    <mergeCell ref="C434:D434"/>
    <mergeCell ref="C435:D435"/>
    <mergeCell ref="C436:D436"/>
    <mergeCell ref="C437:C438"/>
    <mergeCell ref="D437:D438"/>
    <mergeCell ref="AC429:AC430"/>
    <mergeCell ref="C429:C430"/>
    <mergeCell ref="D429:D430"/>
    <mergeCell ref="E429:E430"/>
    <mergeCell ref="F429:F430"/>
    <mergeCell ref="E437:E438"/>
    <mergeCell ref="O437:O438"/>
    <mergeCell ref="P437:P438"/>
    <mergeCell ref="I437:I438"/>
    <mergeCell ref="J437:J438"/>
    <mergeCell ref="K437:K438"/>
    <mergeCell ref="L437:L438"/>
    <mergeCell ref="AD429:AD430"/>
    <mergeCell ref="W429:W430"/>
    <mergeCell ref="X429:X430"/>
    <mergeCell ref="Y429:Y430"/>
    <mergeCell ref="Z429:Z430"/>
    <mergeCell ref="AA429:AA430"/>
    <mergeCell ref="AB429:AB430"/>
    <mergeCell ref="J431:J432"/>
    <mergeCell ref="K431:K432"/>
    <mergeCell ref="M431:M432"/>
    <mergeCell ref="N431:N432"/>
    <mergeCell ref="O431:O432"/>
    <mergeCell ref="C431:C432"/>
    <mergeCell ref="D431:D432"/>
    <mergeCell ref="E431:E432"/>
    <mergeCell ref="F431:F432"/>
    <mergeCell ref="AC431:AC432"/>
    <mergeCell ref="AD437:AD438"/>
    <mergeCell ref="R437:R438"/>
    <mergeCell ref="S437:S438"/>
    <mergeCell ref="Z437:Z438"/>
    <mergeCell ref="AA437:AA438"/>
    <mergeCell ref="U431:U432"/>
    <mergeCell ref="V431:V432"/>
    <mergeCell ref="F437:F438"/>
    <mergeCell ref="G437:G438"/>
    <mergeCell ref="H437:H438"/>
    <mergeCell ref="W431:W432"/>
    <mergeCell ref="X431:X432"/>
    <mergeCell ref="Y431:Y432"/>
    <mergeCell ref="L431:L432"/>
    <mergeCell ref="G431:G432"/>
    <mergeCell ref="H431:H432"/>
    <mergeCell ref="I431:I432"/>
    <mergeCell ref="P431:P432"/>
    <mergeCell ref="Q431:Q432"/>
    <mergeCell ref="R431:R432"/>
    <mergeCell ref="S431:S432"/>
    <mergeCell ref="AD431:AD432"/>
    <mergeCell ref="T437:T438"/>
    <mergeCell ref="AB437:AB438"/>
    <mergeCell ref="Z431:Z432"/>
    <mergeCell ref="AC437:AC438"/>
    <mergeCell ref="AB431:AB432"/>
    <mergeCell ref="I439:I440"/>
    <mergeCell ref="J439:J440"/>
    <mergeCell ref="K439:K440"/>
    <mergeCell ref="T431:T432"/>
    <mergeCell ref="AA431:AA432"/>
    <mergeCell ref="U437:U438"/>
    <mergeCell ref="V437:V438"/>
    <mergeCell ref="W437:W438"/>
    <mergeCell ref="X437:X438"/>
    <mergeCell ref="Y437:Y438"/>
    <mergeCell ref="T439:T440"/>
    <mergeCell ref="C439:C440"/>
    <mergeCell ref="D439:D440"/>
    <mergeCell ref="E439:E440"/>
    <mergeCell ref="F439:F440"/>
    <mergeCell ref="G439:G440"/>
    <mergeCell ref="R439:R440"/>
    <mergeCell ref="S439:S440"/>
    <mergeCell ref="N439:N440"/>
    <mergeCell ref="H439:H440"/>
    <mergeCell ref="Q437:Q438"/>
    <mergeCell ref="M437:M438"/>
    <mergeCell ref="N437:N438"/>
    <mergeCell ref="L439:L440"/>
    <mergeCell ref="M439:M440"/>
    <mergeCell ref="P439:P440"/>
    <mergeCell ref="Q439:Q440"/>
    <mergeCell ref="O439:O440"/>
    <mergeCell ref="AB443:AB444"/>
    <mergeCell ref="AC443:AC444"/>
    <mergeCell ref="U439:U440"/>
    <mergeCell ref="V439:V440"/>
    <mergeCell ref="W439:W440"/>
    <mergeCell ref="X439:X440"/>
    <mergeCell ref="Y439:Y440"/>
    <mergeCell ref="V441:V442"/>
    <mergeCell ref="W441:W442"/>
    <mergeCell ref="Y443:Y444"/>
    <mergeCell ref="AD439:AD440"/>
    <mergeCell ref="Y441:Y442"/>
    <mergeCell ref="Z441:Z442"/>
    <mergeCell ref="AA441:AA442"/>
    <mergeCell ref="AB441:AB442"/>
    <mergeCell ref="AD441:AD442"/>
    <mergeCell ref="AC439:AC440"/>
    <mergeCell ref="AC441:AC442"/>
    <mergeCell ref="Z439:Z440"/>
    <mergeCell ref="AA439:AA440"/>
    <mergeCell ref="C441:C442"/>
    <mergeCell ref="D441:D442"/>
    <mergeCell ref="Z443:Z444"/>
    <mergeCell ref="AA443:AA444"/>
    <mergeCell ref="U441:U442"/>
    <mergeCell ref="X441:X442"/>
    <mergeCell ref="X443:X444"/>
    <mergeCell ref="J449:J450"/>
    <mergeCell ref="K449:K450"/>
    <mergeCell ref="M449:M450"/>
    <mergeCell ref="AB439:AB440"/>
    <mergeCell ref="C443:C444"/>
    <mergeCell ref="D443:D444"/>
    <mergeCell ref="E443:E444"/>
    <mergeCell ref="F443:F444"/>
    <mergeCell ref="K441:K442"/>
    <mergeCell ref="L441:L442"/>
    <mergeCell ref="S447:S448"/>
    <mergeCell ref="T447:T448"/>
    <mergeCell ref="V447:V448"/>
    <mergeCell ref="E441:E442"/>
    <mergeCell ref="N449:N450"/>
    <mergeCell ref="O449:O450"/>
    <mergeCell ref="E449:E450"/>
    <mergeCell ref="F449:F450"/>
    <mergeCell ref="G449:G450"/>
    <mergeCell ref="H449:H450"/>
    <mergeCell ref="R447:R448"/>
    <mergeCell ref="O447:O448"/>
    <mergeCell ref="P447:P448"/>
    <mergeCell ref="Q447:Q448"/>
    <mergeCell ref="R443:R444"/>
    <mergeCell ref="N447:N448"/>
    <mergeCell ref="I447:I448"/>
    <mergeCell ref="G441:G442"/>
    <mergeCell ref="H441:H442"/>
    <mergeCell ref="I441:I442"/>
    <mergeCell ref="I443:I444"/>
    <mergeCell ref="M441:M442"/>
    <mergeCell ref="J441:J442"/>
    <mergeCell ref="O441:O442"/>
    <mergeCell ref="P441:P442"/>
    <mergeCell ref="Q441:Q442"/>
    <mergeCell ref="R441:R442"/>
    <mergeCell ref="S443:S444"/>
    <mergeCell ref="F441:F442"/>
    <mergeCell ref="N441:N442"/>
    <mergeCell ref="O443:O444"/>
    <mergeCell ref="P443:P444"/>
    <mergeCell ref="Q443:Q444"/>
    <mergeCell ref="W451:W452"/>
    <mergeCell ref="Z449:Z450"/>
    <mergeCell ref="AB451:AB452"/>
    <mergeCell ref="S441:S442"/>
    <mergeCell ref="T441:T442"/>
    <mergeCell ref="AA449:AA450"/>
    <mergeCell ref="AB449:AB450"/>
    <mergeCell ref="W447:W448"/>
    <mergeCell ref="U447:U448"/>
    <mergeCell ref="W443:W444"/>
    <mergeCell ref="AC451:AC452"/>
    <mergeCell ref="X447:X448"/>
    <mergeCell ref="Y447:Y448"/>
    <mergeCell ref="Z447:Z448"/>
    <mergeCell ref="AA447:AA448"/>
    <mergeCell ref="AB447:AB448"/>
    <mergeCell ref="AC447:AC448"/>
    <mergeCell ref="AA451:AA452"/>
    <mergeCell ref="Y451:Y452"/>
    <mergeCell ref="F447:F448"/>
    <mergeCell ref="G447:G448"/>
    <mergeCell ref="J447:J448"/>
    <mergeCell ref="K447:K448"/>
    <mergeCell ref="J443:J444"/>
    <mergeCell ref="C446:D446"/>
    <mergeCell ref="C447:C448"/>
    <mergeCell ref="D447:D448"/>
    <mergeCell ref="E447:E448"/>
    <mergeCell ref="H447:H448"/>
    <mergeCell ref="M443:M444"/>
    <mergeCell ref="N443:N444"/>
    <mergeCell ref="G443:G444"/>
    <mergeCell ref="H443:H444"/>
    <mergeCell ref="K443:K444"/>
    <mergeCell ref="L443:L444"/>
    <mergeCell ref="M447:M448"/>
    <mergeCell ref="N453:N454"/>
    <mergeCell ref="W453:W454"/>
    <mergeCell ref="X453:X454"/>
    <mergeCell ref="S449:S450"/>
    <mergeCell ref="V453:V454"/>
    <mergeCell ref="T453:T454"/>
    <mergeCell ref="T451:T452"/>
    <mergeCell ref="X451:X452"/>
    <mergeCell ref="V451:V452"/>
    <mergeCell ref="Y453:Y454"/>
    <mergeCell ref="C449:C450"/>
    <mergeCell ref="D449:D450"/>
    <mergeCell ref="X449:X450"/>
    <mergeCell ref="Y449:Y450"/>
    <mergeCell ref="P449:P450"/>
    <mergeCell ref="Q449:Q450"/>
    <mergeCell ref="I449:I450"/>
    <mergeCell ref="U451:U452"/>
    <mergeCell ref="C451:C452"/>
    <mergeCell ref="AD443:AD444"/>
    <mergeCell ref="T449:T450"/>
    <mergeCell ref="T443:T444"/>
    <mergeCell ref="U443:U444"/>
    <mergeCell ref="V443:V444"/>
    <mergeCell ref="AC449:AC450"/>
    <mergeCell ref="AD449:AD450"/>
    <mergeCell ref="U449:U450"/>
    <mergeCell ref="V449:V450"/>
    <mergeCell ref="W449:W450"/>
    <mergeCell ref="D451:D452"/>
    <mergeCell ref="E451:E452"/>
    <mergeCell ref="F451:F452"/>
    <mergeCell ref="R449:R450"/>
    <mergeCell ref="K451:K452"/>
    <mergeCell ref="M451:M452"/>
    <mergeCell ref="P451:P452"/>
    <mergeCell ref="I451:I452"/>
    <mergeCell ref="J451:J452"/>
    <mergeCell ref="G451:G452"/>
    <mergeCell ref="AD447:AD448"/>
    <mergeCell ref="Z457:Z458"/>
    <mergeCell ref="AA457:AA458"/>
    <mergeCell ref="AB457:AB458"/>
    <mergeCell ref="AC457:AC458"/>
    <mergeCell ref="AD455:AD456"/>
    <mergeCell ref="AC455:AC456"/>
    <mergeCell ref="AD451:AD452"/>
    <mergeCell ref="AB453:AB454"/>
    <mergeCell ref="Z451:Z452"/>
    <mergeCell ref="W457:W458"/>
    <mergeCell ref="X457:X458"/>
    <mergeCell ref="Y457:Y458"/>
    <mergeCell ref="Y455:Y456"/>
    <mergeCell ref="W455:W456"/>
    <mergeCell ref="X455:X456"/>
    <mergeCell ref="H453:H454"/>
    <mergeCell ref="I453:I454"/>
    <mergeCell ref="G455:G456"/>
    <mergeCell ref="H455:H456"/>
    <mergeCell ref="I455:I456"/>
    <mergeCell ref="G453:G454"/>
    <mergeCell ref="Q451:Q452"/>
    <mergeCell ref="R451:R452"/>
    <mergeCell ref="S451:S452"/>
    <mergeCell ref="N451:N452"/>
    <mergeCell ref="O451:O452"/>
    <mergeCell ref="Q453:Q454"/>
    <mergeCell ref="R453:R454"/>
    <mergeCell ref="S453:S454"/>
    <mergeCell ref="H451:H452"/>
    <mergeCell ref="Z455:Z456"/>
    <mergeCell ref="AA455:AA456"/>
    <mergeCell ref="AB455:AB456"/>
    <mergeCell ref="Z453:Z454"/>
    <mergeCell ref="T455:T456"/>
    <mergeCell ref="U455:U456"/>
    <mergeCell ref="O453:O454"/>
    <mergeCell ref="P453:P454"/>
    <mergeCell ref="AA453:AA454"/>
    <mergeCell ref="C455:C456"/>
    <mergeCell ref="D455:D456"/>
    <mergeCell ref="V455:V456"/>
    <mergeCell ref="AC453:AC454"/>
    <mergeCell ref="J453:J454"/>
    <mergeCell ref="K453:K454"/>
    <mergeCell ref="U453:U454"/>
    <mergeCell ref="M453:M454"/>
    <mergeCell ref="C453:C454"/>
    <mergeCell ref="D453:D454"/>
    <mergeCell ref="E455:E456"/>
    <mergeCell ref="F455:F456"/>
    <mergeCell ref="G457:G458"/>
    <mergeCell ref="H457:H458"/>
    <mergeCell ref="S455:S456"/>
    <mergeCell ref="AD453:AD454"/>
    <mergeCell ref="E453:E454"/>
    <mergeCell ref="F453:F454"/>
    <mergeCell ref="J455:J456"/>
    <mergeCell ref="R455:R456"/>
    <mergeCell ref="H459:H460"/>
    <mergeCell ref="I459:I460"/>
    <mergeCell ref="J459:J460"/>
    <mergeCell ref="K459:K460"/>
    <mergeCell ref="M459:M460"/>
    <mergeCell ref="I457:I458"/>
    <mergeCell ref="J457:J458"/>
    <mergeCell ref="P455:P456"/>
    <mergeCell ref="Q455:Q456"/>
    <mergeCell ref="K455:K456"/>
    <mergeCell ref="M455:M456"/>
    <mergeCell ref="N455:N456"/>
    <mergeCell ref="O455:O456"/>
    <mergeCell ref="C457:C458"/>
    <mergeCell ref="D457:D458"/>
    <mergeCell ref="E457:E458"/>
    <mergeCell ref="F457:F458"/>
    <mergeCell ref="N459:N460"/>
    <mergeCell ref="O459:O460"/>
    <mergeCell ref="D459:D460"/>
    <mergeCell ref="E459:E460"/>
    <mergeCell ref="F459:F460"/>
    <mergeCell ref="G459:G460"/>
    <mergeCell ref="AD457:AD458"/>
    <mergeCell ref="V457:V458"/>
    <mergeCell ref="T457:T458"/>
    <mergeCell ref="U457:U458"/>
    <mergeCell ref="Q461:Q462"/>
    <mergeCell ref="R461:R462"/>
    <mergeCell ref="S461:S462"/>
    <mergeCell ref="T461:T462"/>
    <mergeCell ref="AD459:AD460"/>
    <mergeCell ref="V461:V462"/>
    <mergeCell ref="AA459:AA460"/>
    <mergeCell ref="K457:K458"/>
    <mergeCell ref="M457:M458"/>
    <mergeCell ref="U459:U460"/>
    <mergeCell ref="P457:P458"/>
    <mergeCell ref="Q457:Q458"/>
    <mergeCell ref="R457:R458"/>
    <mergeCell ref="S457:S458"/>
    <mergeCell ref="N457:N458"/>
    <mergeCell ref="O457:O458"/>
    <mergeCell ref="AB459:AB460"/>
    <mergeCell ref="AC459:AC460"/>
    <mergeCell ref="H461:H462"/>
    <mergeCell ref="I461:I462"/>
    <mergeCell ref="U461:U462"/>
    <mergeCell ref="AA461:AA462"/>
    <mergeCell ref="AB461:AB462"/>
    <mergeCell ref="X459:X460"/>
    <mergeCell ref="Y459:Y460"/>
    <mergeCell ref="Z459:Z460"/>
    <mergeCell ref="W459:W460"/>
    <mergeCell ref="M461:M462"/>
    <mergeCell ref="N461:N462"/>
    <mergeCell ref="S459:S460"/>
    <mergeCell ref="T459:T460"/>
    <mergeCell ref="O461:O462"/>
    <mergeCell ref="R459:R460"/>
    <mergeCell ref="P459:P460"/>
    <mergeCell ref="Q459:Q460"/>
    <mergeCell ref="C463:C464"/>
    <mergeCell ref="D463:D464"/>
    <mergeCell ref="E463:E464"/>
    <mergeCell ref="F463:F464"/>
    <mergeCell ref="C459:C460"/>
    <mergeCell ref="V459:V460"/>
    <mergeCell ref="C461:C462"/>
    <mergeCell ref="D461:D462"/>
    <mergeCell ref="E461:E462"/>
    <mergeCell ref="F461:F462"/>
    <mergeCell ref="K463:K464"/>
    <mergeCell ref="M463:M464"/>
    <mergeCell ref="N463:N464"/>
    <mergeCell ref="J461:J462"/>
    <mergeCell ref="K461:K462"/>
    <mergeCell ref="G463:G464"/>
    <mergeCell ref="H463:H464"/>
    <mergeCell ref="I463:I464"/>
    <mergeCell ref="J463:J464"/>
    <mergeCell ref="G461:G462"/>
    <mergeCell ref="AD467:AD468"/>
    <mergeCell ref="AD463:AD464"/>
    <mergeCell ref="R465:R466"/>
    <mergeCell ref="AA465:AA466"/>
    <mergeCell ref="AD465:AD466"/>
    <mergeCell ref="AB465:AB466"/>
    <mergeCell ref="Y465:Y466"/>
    <mergeCell ref="Z465:Z466"/>
    <mergeCell ref="S465:S466"/>
    <mergeCell ref="T465:T466"/>
    <mergeCell ref="V465:V466"/>
    <mergeCell ref="Z467:Z468"/>
    <mergeCell ref="P461:P462"/>
    <mergeCell ref="T463:T464"/>
    <mergeCell ref="U463:U464"/>
    <mergeCell ref="R463:R464"/>
    <mergeCell ref="S463:S464"/>
    <mergeCell ref="Y463:Y464"/>
    <mergeCell ref="Z463:Z464"/>
    <mergeCell ref="AD461:AD462"/>
    <mergeCell ref="W461:W462"/>
    <mergeCell ref="X461:X462"/>
    <mergeCell ref="Y461:Y462"/>
    <mergeCell ref="Z461:Z462"/>
    <mergeCell ref="AC461:AC462"/>
    <mergeCell ref="AA463:AA464"/>
    <mergeCell ref="AB463:AB464"/>
    <mergeCell ref="AC463:AC464"/>
    <mergeCell ref="G471:G472"/>
    <mergeCell ref="H471:H472"/>
    <mergeCell ref="I471:I472"/>
    <mergeCell ref="J471:J472"/>
    <mergeCell ref="K471:K472"/>
    <mergeCell ref="L471:L472"/>
    <mergeCell ref="AC465:AC466"/>
    <mergeCell ref="I465:I466"/>
    <mergeCell ref="O465:O466"/>
    <mergeCell ref="O471:O472"/>
    <mergeCell ref="R471:R472"/>
    <mergeCell ref="AA471:AA472"/>
    <mergeCell ref="S471:S472"/>
    <mergeCell ref="T471:T472"/>
    <mergeCell ref="U471:U472"/>
    <mergeCell ref="V471:V472"/>
    <mergeCell ref="U465:U466"/>
    <mergeCell ref="G465:G466"/>
    <mergeCell ref="H465:H466"/>
    <mergeCell ref="W465:W466"/>
    <mergeCell ref="X465:X466"/>
    <mergeCell ref="K467:K468"/>
    <mergeCell ref="M467:M468"/>
    <mergeCell ref="N467:N468"/>
    <mergeCell ref="O467:O468"/>
    <mergeCell ref="P465:P466"/>
    <mergeCell ref="Q465:Q466"/>
    <mergeCell ref="X463:X464"/>
    <mergeCell ref="J465:J466"/>
    <mergeCell ref="K465:K466"/>
    <mergeCell ref="M465:M466"/>
    <mergeCell ref="N465:N466"/>
    <mergeCell ref="Y467:Y468"/>
    <mergeCell ref="X467:X468"/>
    <mergeCell ref="O463:O464"/>
    <mergeCell ref="P463:P464"/>
    <mergeCell ref="Q463:Q464"/>
    <mergeCell ref="C471:C472"/>
    <mergeCell ref="D471:D472"/>
    <mergeCell ref="E471:E472"/>
    <mergeCell ref="F471:F472"/>
    <mergeCell ref="V463:V464"/>
    <mergeCell ref="W463:W464"/>
    <mergeCell ref="C465:C466"/>
    <mergeCell ref="D465:D466"/>
    <mergeCell ref="E465:E466"/>
    <mergeCell ref="F465:F466"/>
    <mergeCell ref="M471:M472"/>
    <mergeCell ref="N471:N472"/>
    <mergeCell ref="AB467:AB468"/>
    <mergeCell ref="P471:P472"/>
    <mergeCell ref="Q471:Q472"/>
    <mergeCell ref="AA467:AA468"/>
    <mergeCell ref="T467:T468"/>
    <mergeCell ref="U467:U468"/>
    <mergeCell ref="V467:V468"/>
    <mergeCell ref="W467:W468"/>
    <mergeCell ref="AB473:AB474"/>
    <mergeCell ref="AC473:AC474"/>
    <mergeCell ref="AC467:AC468"/>
    <mergeCell ref="P467:P468"/>
    <mergeCell ref="Q467:Q468"/>
    <mergeCell ref="R467:R468"/>
    <mergeCell ref="S467:S468"/>
    <mergeCell ref="AD473:AD474"/>
    <mergeCell ref="W473:W474"/>
    <mergeCell ref="X473:X474"/>
    <mergeCell ref="Y473:Y474"/>
    <mergeCell ref="K473:K474"/>
    <mergeCell ref="L473:L474"/>
    <mergeCell ref="M473:M474"/>
    <mergeCell ref="N473:N474"/>
    <mergeCell ref="Z473:Z474"/>
    <mergeCell ref="AA473:AA474"/>
    <mergeCell ref="C467:C468"/>
    <mergeCell ref="D467:D468"/>
    <mergeCell ref="AB471:AB472"/>
    <mergeCell ref="E467:E468"/>
    <mergeCell ref="F467:F468"/>
    <mergeCell ref="G467:G468"/>
    <mergeCell ref="H467:H468"/>
    <mergeCell ref="I467:I468"/>
    <mergeCell ref="J467:J468"/>
    <mergeCell ref="C470:D470"/>
    <mergeCell ref="AC471:AC472"/>
    <mergeCell ref="AD471:AD472"/>
    <mergeCell ref="W471:W472"/>
    <mergeCell ref="X471:X472"/>
    <mergeCell ref="Y471:Y472"/>
    <mergeCell ref="Z471:Z472"/>
    <mergeCell ref="M475:M476"/>
    <mergeCell ref="N475:N476"/>
    <mergeCell ref="S473:S474"/>
    <mergeCell ref="T473:T474"/>
    <mergeCell ref="P473:P474"/>
    <mergeCell ref="Q473:Q474"/>
    <mergeCell ref="R473:R474"/>
    <mergeCell ref="O473:O474"/>
    <mergeCell ref="G475:G476"/>
    <mergeCell ref="H475:H476"/>
    <mergeCell ref="I475:I476"/>
    <mergeCell ref="J475:J476"/>
    <mergeCell ref="K475:K476"/>
    <mergeCell ref="L475:L476"/>
    <mergeCell ref="C473:C474"/>
    <mergeCell ref="D473:D474"/>
    <mergeCell ref="E473:E474"/>
    <mergeCell ref="F473:F474"/>
    <mergeCell ref="U473:U474"/>
    <mergeCell ref="V473:V474"/>
    <mergeCell ref="G473:G474"/>
    <mergeCell ref="J473:J474"/>
    <mergeCell ref="H473:H474"/>
    <mergeCell ref="I473:I474"/>
    <mergeCell ref="Z475:Z476"/>
    <mergeCell ref="AD475:AD476"/>
    <mergeCell ref="C477:C478"/>
    <mergeCell ref="D477:D478"/>
    <mergeCell ref="E477:E478"/>
    <mergeCell ref="F477:F478"/>
    <mergeCell ref="G477:G478"/>
    <mergeCell ref="AB477:AB478"/>
    <mergeCell ref="AC477:AC478"/>
    <mergeCell ref="AD477:AD478"/>
    <mergeCell ref="P475:P476"/>
    <mergeCell ref="Q475:Q476"/>
    <mergeCell ref="R475:R476"/>
    <mergeCell ref="T477:T478"/>
    <mergeCell ref="R477:R478"/>
    <mergeCell ref="Y477:Y478"/>
    <mergeCell ref="S477:S478"/>
    <mergeCell ref="AC475:AC476"/>
    <mergeCell ref="S475:S476"/>
    <mergeCell ref="T475:T476"/>
    <mergeCell ref="U475:U476"/>
    <mergeCell ref="V475:V476"/>
    <mergeCell ref="Y475:Y476"/>
    <mergeCell ref="W475:W476"/>
    <mergeCell ref="X475:X476"/>
    <mergeCell ref="AA475:AA476"/>
    <mergeCell ref="AB475:AB476"/>
    <mergeCell ref="S479:S480"/>
    <mergeCell ref="C479:C480"/>
    <mergeCell ref="D479:D480"/>
    <mergeCell ref="E479:E480"/>
    <mergeCell ref="L479:L480"/>
    <mergeCell ref="C475:C476"/>
    <mergeCell ref="D475:D476"/>
    <mergeCell ref="E475:E476"/>
    <mergeCell ref="F475:F476"/>
    <mergeCell ref="O475:O476"/>
    <mergeCell ref="M477:M478"/>
    <mergeCell ref="N477:N478"/>
    <mergeCell ref="AA477:AA478"/>
    <mergeCell ref="U477:U478"/>
    <mergeCell ref="V477:V478"/>
    <mergeCell ref="W477:W478"/>
    <mergeCell ref="X477:X478"/>
    <mergeCell ref="Z477:Z478"/>
    <mergeCell ref="V479:V480"/>
    <mergeCell ref="AB479:AB480"/>
    <mergeCell ref="H477:H478"/>
    <mergeCell ref="I477:I478"/>
    <mergeCell ref="J477:J478"/>
    <mergeCell ref="Q477:Q478"/>
    <mergeCell ref="O477:O478"/>
    <mergeCell ref="P477:P478"/>
    <mergeCell ref="K477:K478"/>
    <mergeCell ref="L477:L478"/>
    <mergeCell ref="H479:H480"/>
    <mergeCell ref="I479:I480"/>
    <mergeCell ref="J479:J480"/>
    <mergeCell ref="K479:K480"/>
    <mergeCell ref="G479:G480"/>
    <mergeCell ref="U479:U480"/>
    <mergeCell ref="M479:M480"/>
    <mergeCell ref="N479:N480"/>
    <mergeCell ref="O479:O480"/>
    <mergeCell ref="R479:R480"/>
    <mergeCell ref="AA485:AA486"/>
    <mergeCell ref="Y479:Y480"/>
    <mergeCell ref="Z479:Z480"/>
    <mergeCell ref="AA479:AA480"/>
    <mergeCell ref="Y483:Y484"/>
    <mergeCell ref="AD479:AD480"/>
    <mergeCell ref="W485:W486"/>
    <mergeCell ref="X485:X486"/>
    <mergeCell ref="G483:G484"/>
    <mergeCell ref="H483:H484"/>
    <mergeCell ref="I483:I484"/>
    <mergeCell ref="J483:J484"/>
    <mergeCell ref="X483:X484"/>
    <mergeCell ref="O483:O484"/>
    <mergeCell ref="P483:P484"/>
    <mergeCell ref="Q483:Q484"/>
    <mergeCell ref="W479:W480"/>
    <mergeCell ref="X479:X480"/>
    <mergeCell ref="C483:C484"/>
    <mergeCell ref="D483:D484"/>
    <mergeCell ref="E483:E484"/>
    <mergeCell ref="F483:F484"/>
    <mergeCell ref="F479:F480"/>
    <mergeCell ref="P479:P480"/>
    <mergeCell ref="Q479:Q480"/>
    <mergeCell ref="C482:D482"/>
    <mergeCell ref="V483:V484"/>
    <mergeCell ref="Y487:Y488"/>
    <mergeCell ref="Z487:Z488"/>
    <mergeCell ref="Y485:Y486"/>
    <mergeCell ref="Z485:Z486"/>
    <mergeCell ref="Z489:Z490"/>
    <mergeCell ref="V489:V490"/>
    <mergeCell ref="X489:X490"/>
    <mergeCell ref="Y489:Y490"/>
    <mergeCell ref="W483:W484"/>
    <mergeCell ref="R483:R484"/>
    <mergeCell ref="S483:S484"/>
    <mergeCell ref="T483:T484"/>
    <mergeCell ref="T479:T480"/>
    <mergeCell ref="AC487:AC488"/>
    <mergeCell ref="U483:U484"/>
    <mergeCell ref="V487:V488"/>
    <mergeCell ref="T485:T486"/>
    <mergeCell ref="U485:U486"/>
    <mergeCell ref="V485:V486"/>
    <mergeCell ref="N485:N486"/>
    <mergeCell ref="O485:O486"/>
    <mergeCell ref="AC479:AC480"/>
    <mergeCell ref="K483:K484"/>
    <mergeCell ref="L483:L484"/>
    <mergeCell ref="M483:M484"/>
    <mergeCell ref="N483:N484"/>
    <mergeCell ref="Z483:Z484"/>
    <mergeCell ref="AA483:AA484"/>
    <mergeCell ref="AB483:AB484"/>
    <mergeCell ref="AB485:AB486"/>
    <mergeCell ref="AC485:AC486"/>
    <mergeCell ref="AD485:AD486"/>
    <mergeCell ref="AC483:AC484"/>
    <mergeCell ref="H485:H486"/>
    <mergeCell ref="I485:I486"/>
    <mergeCell ref="J485:J486"/>
    <mergeCell ref="K485:K486"/>
    <mergeCell ref="L485:L486"/>
    <mergeCell ref="M485:M486"/>
    <mergeCell ref="P485:P486"/>
    <mergeCell ref="Q485:Q486"/>
    <mergeCell ref="R485:R486"/>
    <mergeCell ref="S485:S486"/>
    <mergeCell ref="AD483:AD484"/>
    <mergeCell ref="C485:C486"/>
    <mergeCell ref="D485:D486"/>
    <mergeCell ref="E485:E486"/>
    <mergeCell ref="F485:F486"/>
    <mergeCell ref="G485:G486"/>
    <mergeCell ref="AC491:AC492"/>
    <mergeCell ref="L487:L488"/>
    <mergeCell ref="M487:M488"/>
    <mergeCell ref="N487:N488"/>
    <mergeCell ref="O491:O492"/>
    <mergeCell ref="P491:P492"/>
    <mergeCell ref="AA489:AA490"/>
    <mergeCell ref="AB489:AB490"/>
    <mergeCell ref="M491:M492"/>
    <mergeCell ref="N491:N492"/>
    <mergeCell ref="K487:K488"/>
    <mergeCell ref="D487:D488"/>
    <mergeCell ref="E487:E488"/>
    <mergeCell ref="F487:F488"/>
    <mergeCell ref="I491:I492"/>
    <mergeCell ref="J491:J492"/>
    <mergeCell ref="K491:K492"/>
    <mergeCell ref="L491:L492"/>
    <mergeCell ref="W489:W490"/>
    <mergeCell ref="AD491:AD492"/>
    <mergeCell ref="G487:G488"/>
    <mergeCell ref="H487:H488"/>
    <mergeCell ref="I487:I488"/>
    <mergeCell ref="J487:J488"/>
    <mergeCell ref="I489:I490"/>
    <mergeCell ref="C489:C490"/>
    <mergeCell ref="D489:D490"/>
    <mergeCell ref="E489:E490"/>
    <mergeCell ref="F489:F490"/>
    <mergeCell ref="S487:S488"/>
    <mergeCell ref="W487:W488"/>
    <mergeCell ref="Q489:Q490"/>
    <mergeCell ref="T487:T488"/>
    <mergeCell ref="U487:U488"/>
    <mergeCell ref="J489:J490"/>
    <mergeCell ref="G493:G494"/>
    <mergeCell ref="U489:U490"/>
    <mergeCell ref="K489:K490"/>
    <mergeCell ref="L489:L490"/>
    <mergeCell ref="M489:M490"/>
    <mergeCell ref="N489:N490"/>
    <mergeCell ref="R489:R490"/>
    <mergeCell ref="T491:T492"/>
    <mergeCell ref="H493:H494"/>
    <mergeCell ref="K493:K494"/>
    <mergeCell ref="D491:D492"/>
    <mergeCell ref="G489:G490"/>
    <mergeCell ref="H489:H490"/>
    <mergeCell ref="E491:E492"/>
    <mergeCell ref="G491:G492"/>
    <mergeCell ref="H491:H492"/>
    <mergeCell ref="AD487:AD488"/>
    <mergeCell ref="Q487:Q488"/>
    <mergeCell ref="R487:R488"/>
    <mergeCell ref="AC489:AC490"/>
    <mergeCell ref="AD489:AD490"/>
    <mergeCell ref="S489:S490"/>
    <mergeCell ref="T489:T490"/>
    <mergeCell ref="AA487:AA488"/>
    <mergeCell ref="AB487:AB488"/>
    <mergeCell ref="X487:X488"/>
    <mergeCell ref="C487:C488"/>
    <mergeCell ref="Q491:Q492"/>
    <mergeCell ref="R491:R492"/>
    <mergeCell ref="S491:S492"/>
    <mergeCell ref="F491:F492"/>
    <mergeCell ref="O487:O488"/>
    <mergeCell ref="P487:P488"/>
    <mergeCell ref="O489:O490"/>
    <mergeCell ref="P489:P490"/>
    <mergeCell ref="C491:C492"/>
    <mergeCell ref="AA491:AA492"/>
    <mergeCell ref="AB491:AB492"/>
    <mergeCell ref="U491:U492"/>
    <mergeCell ref="V491:V492"/>
    <mergeCell ref="W491:W492"/>
    <mergeCell ref="X491:X492"/>
    <mergeCell ref="Y491:Y492"/>
    <mergeCell ref="Z491:Z492"/>
    <mergeCell ref="AA493:AA494"/>
    <mergeCell ref="AB493:AB494"/>
    <mergeCell ref="AC493:AC494"/>
    <mergeCell ref="L493:L494"/>
    <mergeCell ref="C493:C494"/>
    <mergeCell ref="D493:D494"/>
    <mergeCell ref="E493:E494"/>
    <mergeCell ref="F493:F494"/>
    <mergeCell ref="I493:I494"/>
    <mergeCell ref="J493:J494"/>
    <mergeCell ref="I497:I498"/>
    <mergeCell ref="J497:J498"/>
    <mergeCell ref="K497:K498"/>
    <mergeCell ref="L497:L498"/>
    <mergeCell ref="O497:O498"/>
    <mergeCell ref="AD493:AD494"/>
    <mergeCell ref="W493:W494"/>
    <mergeCell ref="X493:X494"/>
    <mergeCell ref="Y493:Y494"/>
    <mergeCell ref="Z493:Z494"/>
    <mergeCell ref="V493:V494"/>
    <mergeCell ref="S493:S494"/>
    <mergeCell ref="P493:P494"/>
    <mergeCell ref="Q493:Q494"/>
    <mergeCell ref="R493:R494"/>
    <mergeCell ref="M493:M494"/>
    <mergeCell ref="N493:N494"/>
    <mergeCell ref="T493:T494"/>
    <mergeCell ref="U493:U494"/>
    <mergeCell ref="C496:D496"/>
    <mergeCell ref="C497:C498"/>
    <mergeCell ref="D497:D498"/>
    <mergeCell ref="O493:O494"/>
    <mergeCell ref="E497:E498"/>
    <mergeCell ref="F497:F498"/>
    <mergeCell ref="G497:G498"/>
    <mergeCell ref="H497:H498"/>
    <mergeCell ref="M497:M498"/>
    <mergeCell ref="N497:N498"/>
    <mergeCell ref="AA497:AA498"/>
    <mergeCell ref="L501:L502"/>
    <mergeCell ref="C501:C502"/>
    <mergeCell ref="D501:D502"/>
    <mergeCell ref="E501:E502"/>
    <mergeCell ref="F501:F502"/>
    <mergeCell ref="U497:U498"/>
    <mergeCell ref="V497:V498"/>
    <mergeCell ref="W497:W498"/>
    <mergeCell ref="X497:X498"/>
    <mergeCell ref="Q497:Q498"/>
    <mergeCell ref="R497:R498"/>
    <mergeCell ref="S497:S498"/>
    <mergeCell ref="T497:T498"/>
    <mergeCell ref="L499:L500"/>
    <mergeCell ref="M499:M500"/>
    <mergeCell ref="P497:P498"/>
    <mergeCell ref="AC497:AC498"/>
    <mergeCell ref="AD497:AD498"/>
    <mergeCell ref="AC499:AC500"/>
    <mergeCell ref="AC501:AC502"/>
    <mergeCell ref="AD501:AD502"/>
    <mergeCell ref="Y501:Y502"/>
    <mergeCell ref="AB499:AB500"/>
    <mergeCell ref="Y497:Y498"/>
    <mergeCell ref="AB497:AB498"/>
    <mergeCell ref="Z497:Z498"/>
    <mergeCell ref="AB505:AB506"/>
    <mergeCell ref="Z501:Z502"/>
    <mergeCell ref="AA501:AA502"/>
    <mergeCell ref="AB501:AB502"/>
    <mergeCell ref="N501:N502"/>
    <mergeCell ref="V499:V500"/>
    <mergeCell ref="O499:O500"/>
    <mergeCell ref="V501:V502"/>
    <mergeCell ref="W501:W502"/>
    <mergeCell ref="X501:X502"/>
    <mergeCell ref="C499:C500"/>
    <mergeCell ref="D499:D500"/>
    <mergeCell ref="E499:E500"/>
    <mergeCell ref="F499:F500"/>
    <mergeCell ref="Z505:Z506"/>
    <mergeCell ref="AA505:AA506"/>
    <mergeCell ref="H499:H500"/>
    <mergeCell ref="I499:I500"/>
    <mergeCell ref="J499:J500"/>
    <mergeCell ref="W499:W500"/>
    <mergeCell ref="U503:U504"/>
    <mergeCell ref="K499:K500"/>
    <mergeCell ref="N499:N500"/>
    <mergeCell ref="M501:M502"/>
    <mergeCell ref="G499:G500"/>
    <mergeCell ref="I501:I502"/>
    <mergeCell ref="J501:J502"/>
    <mergeCell ref="G501:G502"/>
    <mergeCell ref="H501:H502"/>
    <mergeCell ref="K501:K502"/>
    <mergeCell ref="AD499:AD500"/>
    <mergeCell ref="P499:P500"/>
    <mergeCell ref="Q499:Q500"/>
    <mergeCell ref="R499:R500"/>
    <mergeCell ref="Y499:Y500"/>
    <mergeCell ref="Z499:Z500"/>
    <mergeCell ref="AA499:AA500"/>
    <mergeCell ref="X499:X500"/>
    <mergeCell ref="S499:S500"/>
    <mergeCell ref="T499:T500"/>
    <mergeCell ref="U499:U500"/>
    <mergeCell ref="C505:C506"/>
    <mergeCell ref="D505:D506"/>
    <mergeCell ref="E505:E506"/>
    <mergeCell ref="S501:S502"/>
    <mergeCell ref="T501:T502"/>
    <mergeCell ref="U501:U502"/>
    <mergeCell ref="S503:S504"/>
    <mergeCell ref="O501:O502"/>
    <mergeCell ref="P501:P502"/>
    <mergeCell ref="Q501:Q502"/>
    <mergeCell ref="R501:R502"/>
    <mergeCell ref="W503:W504"/>
    <mergeCell ref="X503:X504"/>
    <mergeCell ref="P503:P504"/>
    <mergeCell ref="Q503:Q504"/>
    <mergeCell ref="R503:R504"/>
    <mergeCell ref="V503:V504"/>
    <mergeCell ref="AD503:AD504"/>
    <mergeCell ref="AA503:AA504"/>
    <mergeCell ref="AB503:AB504"/>
    <mergeCell ref="AC503:AC504"/>
    <mergeCell ref="Y503:Y504"/>
    <mergeCell ref="Z503:Z504"/>
    <mergeCell ref="C503:C504"/>
    <mergeCell ref="D503:D504"/>
    <mergeCell ref="E503:E504"/>
    <mergeCell ref="F503:F504"/>
    <mergeCell ref="Y509:Y510"/>
    <mergeCell ref="Z509:Z510"/>
    <mergeCell ref="L505:L506"/>
    <mergeCell ref="M505:M506"/>
    <mergeCell ref="Y505:Y506"/>
    <mergeCell ref="V505:V506"/>
    <mergeCell ref="N503:N504"/>
    <mergeCell ref="O503:O504"/>
    <mergeCell ref="G503:G504"/>
    <mergeCell ref="H503:H504"/>
    <mergeCell ref="AA509:AA510"/>
    <mergeCell ref="X509:X510"/>
    <mergeCell ref="T505:T506"/>
    <mergeCell ref="W505:W506"/>
    <mergeCell ref="X505:X506"/>
    <mergeCell ref="T503:T504"/>
    <mergeCell ref="I503:I504"/>
    <mergeCell ref="J503:J504"/>
    <mergeCell ref="G505:G506"/>
    <mergeCell ref="C508:D508"/>
    <mergeCell ref="N505:N506"/>
    <mergeCell ref="O505:O506"/>
    <mergeCell ref="F505:F506"/>
    <mergeCell ref="K503:K504"/>
    <mergeCell ref="L503:L504"/>
    <mergeCell ref="M503:M504"/>
    <mergeCell ref="C509:C510"/>
    <mergeCell ref="D509:D510"/>
    <mergeCell ref="AD511:AD512"/>
    <mergeCell ref="AC505:AC506"/>
    <mergeCell ref="AD505:AD506"/>
    <mergeCell ref="S509:S510"/>
    <mergeCell ref="T509:T510"/>
    <mergeCell ref="AD509:AD510"/>
    <mergeCell ref="AB509:AB510"/>
    <mergeCell ref="U509:U510"/>
    <mergeCell ref="H505:H506"/>
    <mergeCell ref="I505:I506"/>
    <mergeCell ref="J505:J506"/>
    <mergeCell ref="K505:K506"/>
    <mergeCell ref="H509:H510"/>
    <mergeCell ref="O509:O510"/>
    <mergeCell ref="I509:I510"/>
    <mergeCell ref="J509:J510"/>
    <mergeCell ref="U505:U506"/>
    <mergeCell ref="M509:M510"/>
    <mergeCell ref="N509:N510"/>
    <mergeCell ref="P505:P506"/>
    <mergeCell ref="Q505:Q506"/>
    <mergeCell ref="R505:R506"/>
    <mergeCell ref="S505:S506"/>
    <mergeCell ref="Q509:Q510"/>
    <mergeCell ref="R511:R512"/>
    <mergeCell ref="S511:S512"/>
    <mergeCell ref="AB511:AB512"/>
    <mergeCell ref="AC511:AC512"/>
    <mergeCell ref="R509:R510"/>
    <mergeCell ref="Y511:Y512"/>
    <mergeCell ref="Z511:Z512"/>
    <mergeCell ref="V509:V510"/>
    <mergeCell ref="W509:W510"/>
    <mergeCell ref="V511:V512"/>
    <mergeCell ref="W511:W512"/>
    <mergeCell ref="X511:X512"/>
    <mergeCell ref="AC509:AC510"/>
    <mergeCell ref="T511:T512"/>
    <mergeCell ref="U511:U512"/>
    <mergeCell ref="AA511:AA512"/>
    <mergeCell ref="C511:C512"/>
    <mergeCell ref="D511:D512"/>
    <mergeCell ref="E511:E512"/>
    <mergeCell ref="F511:F512"/>
    <mergeCell ref="Q511:Q512"/>
    <mergeCell ref="J511:J512"/>
    <mergeCell ref="K511:K512"/>
    <mergeCell ref="L511:L512"/>
    <mergeCell ref="M511:M512"/>
    <mergeCell ref="O511:O512"/>
    <mergeCell ref="P511:P512"/>
    <mergeCell ref="E509:E510"/>
    <mergeCell ref="F509:F510"/>
    <mergeCell ref="G509:G510"/>
    <mergeCell ref="G511:G512"/>
    <mergeCell ref="P509:P510"/>
    <mergeCell ref="K509:K510"/>
    <mergeCell ref="L509:L510"/>
    <mergeCell ref="P513:P514"/>
    <mergeCell ref="Q513:Q514"/>
    <mergeCell ref="D513:D514"/>
    <mergeCell ref="E513:E514"/>
    <mergeCell ref="F513:F514"/>
    <mergeCell ref="G513:G514"/>
    <mergeCell ref="N513:N514"/>
    <mergeCell ref="O513:O514"/>
    <mergeCell ref="H513:H514"/>
    <mergeCell ref="I513:I514"/>
    <mergeCell ref="J513:J514"/>
    <mergeCell ref="K513:K514"/>
    <mergeCell ref="L513:L514"/>
    <mergeCell ref="M513:M514"/>
    <mergeCell ref="H511:H512"/>
    <mergeCell ref="I511:I512"/>
    <mergeCell ref="N511:N512"/>
    <mergeCell ref="AD513:AD514"/>
    <mergeCell ref="AB513:AB514"/>
    <mergeCell ref="AC513:AC514"/>
    <mergeCell ref="V513:V514"/>
    <mergeCell ref="W513:W514"/>
    <mergeCell ref="X513:X514"/>
    <mergeCell ref="Y513:Y514"/>
    <mergeCell ref="AD515:AD516"/>
    <mergeCell ref="AC515:AC516"/>
    <mergeCell ref="AB515:AB516"/>
    <mergeCell ref="Z515:Z516"/>
    <mergeCell ref="AB517:AB518"/>
    <mergeCell ref="AC517:AC518"/>
    <mergeCell ref="AD517:AD518"/>
    <mergeCell ref="C517:C518"/>
    <mergeCell ref="D517:D518"/>
    <mergeCell ref="K515:K516"/>
    <mergeCell ref="N515:N516"/>
    <mergeCell ref="R515:R516"/>
    <mergeCell ref="S515:S516"/>
    <mergeCell ref="L515:L516"/>
    <mergeCell ref="M515:M516"/>
    <mergeCell ref="O515:O516"/>
    <mergeCell ref="N517:N518"/>
    <mergeCell ref="W515:W516"/>
    <mergeCell ref="X515:X516"/>
    <mergeCell ref="Y515:Y516"/>
    <mergeCell ref="C513:C514"/>
    <mergeCell ref="U517:U518"/>
    <mergeCell ref="R513:R514"/>
    <mergeCell ref="S513:S514"/>
    <mergeCell ref="T513:T514"/>
    <mergeCell ref="U513:U514"/>
    <mergeCell ref="T517:T518"/>
    <mergeCell ref="E517:E518"/>
    <mergeCell ref="F517:F518"/>
    <mergeCell ref="G517:G518"/>
    <mergeCell ref="H517:H518"/>
    <mergeCell ref="Z513:Z514"/>
    <mergeCell ref="AA513:AA514"/>
    <mergeCell ref="I517:I518"/>
    <mergeCell ref="P517:P518"/>
    <mergeCell ref="Q517:Q518"/>
    <mergeCell ref="T515:T516"/>
    <mergeCell ref="Z517:Z518"/>
    <mergeCell ref="AA517:AA518"/>
    <mergeCell ref="R517:R518"/>
    <mergeCell ref="S517:S518"/>
    <mergeCell ref="L517:L518"/>
    <mergeCell ref="M517:M518"/>
    <mergeCell ref="V517:V518"/>
    <mergeCell ref="O517:O518"/>
    <mergeCell ref="C515:C516"/>
    <mergeCell ref="D515:D516"/>
    <mergeCell ref="E515:E516"/>
    <mergeCell ref="F515:F516"/>
    <mergeCell ref="I515:I516"/>
    <mergeCell ref="V515:V516"/>
    <mergeCell ref="U515:U516"/>
    <mergeCell ref="J515:J516"/>
    <mergeCell ref="G515:G516"/>
    <mergeCell ref="H515:H516"/>
    <mergeCell ref="J517:J518"/>
    <mergeCell ref="J519:J520"/>
    <mergeCell ref="H519:H520"/>
    <mergeCell ref="I519:I520"/>
    <mergeCell ref="P519:P520"/>
    <mergeCell ref="AB519:AB520"/>
    <mergeCell ref="AC519:AC520"/>
    <mergeCell ref="X519:X520"/>
    <mergeCell ref="Y519:Y520"/>
    <mergeCell ref="AA519:AA520"/>
    <mergeCell ref="T519:T520"/>
    <mergeCell ref="R519:R520"/>
    <mergeCell ref="S519:S520"/>
    <mergeCell ref="AA515:AA516"/>
    <mergeCell ref="W527:W528"/>
    <mergeCell ref="X527:X528"/>
    <mergeCell ref="Y527:Y528"/>
    <mergeCell ref="Z527:Z528"/>
    <mergeCell ref="W517:W518"/>
    <mergeCell ref="X517:X518"/>
    <mergeCell ref="Z519:Z520"/>
    <mergeCell ref="Y517:Y518"/>
    <mergeCell ref="W523:W524"/>
    <mergeCell ref="S523:S524"/>
    <mergeCell ref="K519:K520"/>
    <mergeCell ref="K517:K518"/>
    <mergeCell ref="P515:P516"/>
    <mergeCell ref="Q515:Q516"/>
    <mergeCell ref="O519:O520"/>
    <mergeCell ref="L519:L520"/>
    <mergeCell ref="M519:M520"/>
    <mergeCell ref="N519:N520"/>
    <mergeCell ref="Q519:Q520"/>
    <mergeCell ref="J523:J524"/>
    <mergeCell ref="K523:K524"/>
    <mergeCell ref="M523:M524"/>
    <mergeCell ref="N523:N524"/>
    <mergeCell ref="O523:O524"/>
    <mergeCell ref="R527:R528"/>
    <mergeCell ref="P523:P524"/>
    <mergeCell ref="Q523:Q524"/>
    <mergeCell ref="R523:R524"/>
    <mergeCell ref="C523:C524"/>
    <mergeCell ref="D523:D524"/>
    <mergeCell ref="E523:E524"/>
    <mergeCell ref="F523:F524"/>
    <mergeCell ref="AC523:AC524"/>
    <mergeCell ref="AD523:AD524"/>
    <mergeCell ref="Y523:Y524"/>
    <mergeCell ref="G523:G524"/>
    <mergeCell ref="H523:H524"/>
    <mergeCell ref="I523:I524"/>
    <mergeCell ref="D519:D520"/>
    <mergeCell ref="E519:E520"/>
    <mergeCell ref="F519:F520"/>
    <mergeCell ref="G519:G520"/>
    <mergeCell ref="AD519:AD520"/>
    <mergeCell ref="C522:D522"/>
    <mergeCell ref="C519:C520"/>
    <mergeCell ref="U519:U520"/>
    <mergeCell ref="V519:V520"/>
    <mergeCell ref="W519:W520"/>
    <mergeCell ref="AA529:AA530"/>
    <mergeCell ref="V527:V528"/>
    <mergeCell ref="T523:T524"/>
    <mergeCell ref="AA523:AA524"/>
    <mergeCell ref="AB523:AB524"/>
    <mergeCell ref="X523:X524"/>
    <mergeCell ref="T527:T528"/>
    <mergeCell ref="Z523:Z524"/>
    <mergeCell ref="U523:U524"/>
    <mergeCell ref="V523:V524"/>
    <mergeCell ref="S527:S528"/>
    <mergeCell ref="T531:T532"/>
    <mergeCell ref="U531:U532"/>
    <mergeCell ref="S529:S530"/>
    <mergeCell ref="U527:U528"/>
    <mergeCell ref="X529:X530"/>
    <mergeCell ref="W531:W532"/>
    <mergeCell ref="AB531:AB532"/>
    <mergeCell ref="V529:V530"/>
    <mergeCell ref="W529:W530"/>
    <mergeCell ref="X531:X532"/>
    <mergeCell ref="Y531:Y532"/>
    <mergeCell ref="Z531:Z532"/>
    <mergeCell ref="V531:V532"/>
    <mergeCell ref="Y529:Y530"/>
    <mergeCell ref="Z529:Z530"/>
    <mergeCell ref="AC529:AC530"/>
    <mergeCell ref="AD529:AD530"/>
    <mergeCell ref="AC531:AC532"/>
    <mergeCell ref="AB529:AB530"/>
    <mergeCell ref="C526:D526"/>
    <mergeCell ref="C527:C528"/>
    <mergeCell ref="D527:D528"/>
    <mergeCell ref="E527:E528"/>
    <mergeCell ref="R531:R532"/>
    <mergeCell ref="R529:R530"/>
    <mergeCell ref="N527:N528"/>
    <mergeCell ref="O527:O528"/>
    <mergeCell ref="P527:P528"/>
    <mergeCell ref="Q527:Q528"/>
    <mergeCell ref="AD531:AD532"/>
    <mergeCell ref="AA527:AA528"/>
    <mergeCell ref="AB527:AB528"/>
    <mergeCell ref="AC527:AC528"/>
    <mergeCell ref="AD527:AD528"/>
    <mergeCell ref="AA531:AA532"/>
    <mergeCell ref="I529:I530"/>
    <mergeCell ref="J529:J530"/>
    <mergeCell ref="J527:J528"/>
    <mergeCell ref="K527:K528"/>
    <mergeCell ref="F527:F528"/>
    <mergeCell ref="G527:G528"/>
    <mergeCell ref="H527:H528"/>
    <mergeCell ref="I527:I528"/>
    <mergeCell ref="L527:L528"/>
    <mergeCell ref="M527:M528"/>
    <mergeCell ref="C529:C530"/>
    <mergeCell ref="C531:C532"/>
    <mergeCell ref="D531:D532"/>
    <mergeCell ref="E531:E532"/>
    <mergeCell ref="F531:F532"/>
    <mergeCell ref="G531:G532"/>
    <mergeCell ref="D529:D530"/>
    <mergeCell ref="E529:E530"/>
    <mergeCell ref="F529:F530"/>
    <mergeCell ref="G529:G530"/>
    <mergeCell ref="H529:H530"/>
    <mergeCell ref="N531:N532"/>
    <mergeCell ref="K529:K530"/>
    <mergeCell ref="L529:L530"/>
    <mergeCell ref="M529:M530"/>
    <mergeCell ref="N529:N530"/>
    <mergeCell ref="H531:H532"/>
    <mergeCell ref="I531:I532"/>
    <mergeCell ref="O531:O532"/>
    <mergeCell ref="T529:T530"/>
    <mergeCell ref="U529:U530"/>
    <mergeCell ref="Q529:Q530"/>
    <mergeCell ref="O529:O530"/>
    <mergeCell ref="P529:P530"/>
    <mergeCell ref="P531:P532"/>
    <mergeCell ref="Q531:Q532"/>
    <mergeCell ref="S531:S532"/>
    <mergeCell ref="AD538:AD539"/>
    <mergeCell ref="I533:I534"/>
    <mergeCell ref="J533:J534"/>
    <mergeCell ref="K533:K534"/>
    <mergeCell ref="L533:L534"/>
    <mergeCell ref="Q533:Q534"/>
    <mergeCell ref="AD533:AD534"/>
    <mergeCell ref="Z533:Z534"/>
    <mergeCell ref="AB533:AB534"/>
    <mergeCell ref="AC533:AC534"/>
    <mergeCell ref="J531:J532"/>
    <mergeCell ref="K531:K532"/>
    <mergeCell ref="L531:L532"/>
    <mergeCell ref="M531:M532"/>
    <mergeCell ref="E533:E534"/>
    <mergeCell ref="F533:F534"/>
    <mergeCell ref="G533:G534"/>
    <mergeCell ref="H533:H534"/>
    <mergeCell ref="H538:H539"/>
    <mergeCell ref="I538:I539"/>
    <mergeCell ref="AA533:AA534"/>
    <mergeCell ref="V533:V534"/>
    <mergeCell ref="W533:W534"/>
    <mergeCell ref="X533:X534"/>
    <mergeCell ref="Y533:Y534"/>
    <mergeCell ref="T533:T534"/>
    <mergeCell ref="U533:U534"/>
    <mergeCell ref="Q538:Q539"/>
    <mergeCell ref="E538:E539"/>
    <mergeCell ref="F538:F539"/>
    <mergeCell ref="C533:C534"/>
    <mergeCell ref="D533:D534"/>
    <mergeCell ref="C536:D536"/>
    <mergeCell ref="C537:D537"/>
    <mergeCell ref="C538:C539"/>
    <mergeCell ref="D538:D539"/>
    <mergeCell ref="G538:G539"/>
    <mergeCell ref="O533:O534"/>
    <mergeCell ref="P533:P534"/>
    <mergeCell ref="R533:R534"/>
    <mergeCell ref="S533:S534"/>
    <mergeCell ref="J538:J539"/>
    <mergeCell ref="K538:K539"/>
    <mergeCell ref="M533:M534"/>
    <mergeCell ref="N533:N534"/>
    <mergeCell ref="R538:R539"/>
    <mergeCell ref="S538:S539"/>
    <mergeCell ref="AD542:AD543"/>
    <mergeCell ref="W542:W543"/>
    <mergeCell ref="X542:X543"/>
    <mergeCell ref="Y542:Y543"/>
    <mergeCell ref="Z542:Z543"/>
    <mergeCell ref="AC542:AC543"/>
    <mergeCell ref="AA542:AA543"/>
    <mergeCell ref="AB542:AB543"/>
    <mergeCell ref="Y544:Y545"/>
    <mergeCell ref="AB544:AB545"/>
    <mergeCell ref="S542:S543"/>
    <mergeCell ref="T542:T543"/>
    <mergeCell ref="U542:U543"/>
    <mergeCell ref="V542:V543"/>
    <mergeCell ref="W538:W539"/>
    <mergeCell ref="C542:C543"/>
    <mergeCell ref="D542:D543"/>
    <mergeCell ref="E542:E543"/>
    <mergeCell ref="F542:F543"/>
    <mergeCell ref="S544:S545"/>
    <mergeCell ref="T544:T545"/>
    <mergeCell ref="N538:N539"/>
    <mergeCell ref="O538:O539"/>
    <mergeCell ref="P538:P539"/>
    <mergeCell ref="C541:D541"/>
    <mergeCell ref="M542:M543"/>
    <mergeCell ref="N542:N543"/>
    <mergeCell ref="AB538:AB539"/>
    <mergeCell ref="G542:G543"/>
    <mergeCell ref="H542:H543"/>
    <mergeCell ref="O542:O543"/>
    <mergeCell ref="P542:P543"/>
    <mergeCell ref="Q542:Q543"/>
    <mergeCell ref="R542:R543"/>
    <mergeCell ref="AC538:AC539"/>
    <mergeCell ref="L538:L539"/>
    <mergeCell ref="M538:M539"/>
    <mergeCell ref="X538:X539"/>
    <mergeCell ref="Y538:Y539"/>
    <mergeCell ref="Z538:Z539"/>
    <mergeCell ref="AA538:AA539"/>
    <mergeCell ref="T538:T539"/>
    <mergeCell ref="U538:U539"/>
    <mergeCell ref="V538:V539"/>
    <mergeCell ref="W544:W545"/>
    <mergeCell ref="X544:X545"/>
    <mergeCell ref="G546:G547"/>
    <mergeCell ref="H546:H547"/>
    <mergeCell ref="K546:K547"/>
    <mergeCell ref="L546:L547"/>
    <mergeCell ref="I542:I543"/>
    <mergeCell ref="J542:J543"/>
    <mergeCell ref="K542:K543"/>
    <mergeCell ref="L542:L543"/>
    <mergeCell ref="O544:O545"/>
    <mergeCell ref="P544:P545"/>
    <mergeCell ref="G544:G545"/>
    <mergeCell ref="H544:H545"/>
    <mergeCell ref="Q544:Q545"/>
    <mergeCell ref="R544:R545"/>
    <mergeCell ref="J544:J545"/>
    <mergeCell ref="C544:C545"/>
    <mergeCell ref="D544:D545"/>
    <mergeCell ref="E544:E545"/>
    <mergeCell ref="F544:F545"/>
    <mergeCell ref="C546:C547"/>
    <mergeCell ref="D546:D547"/>
    <mergeCell ref="E546:E547"/>
    <mergeCell ref="F546:F547"/>
    <mergeCell ref="M546:M547"/>
    <mergeCell ref="S546:S547"/>
    <mergeCell ref="I546:I547"/>
    <mergeCell ref="J546:J547"/>
    <mergeCell ref="AC544:AC545"/>
    <mergeCell ref="N546:N547"/>
    <mergeCell ref="O546:O547"/>
    <mergeCell ref="P546:P547"/>
    <mergeCell ref="Q546:Q547"/>
    <mergeCell ref="R546:R547"/>
    <mergeCell ref="I544:I545"/>
    <mergeCell ref="T546:T547"/>
    <mergeCell ref="AD544:AD545"/>
    <mergeCell ref="K544:K545"/>
    <mergeCell ref="L544:L545"/>
    <mergeCell ref="M544:M545"/>
    <mergeCell ref="N544:N545"/>
    <mergeCell ref="V546:V547"/>
    <mergeCell ref="U544:U545"/>
    <mergeCell ref="Z544:Z545"/>
    <mergeCell ref="AA544:AA545"/>
    <mergeCell ref="V544:V545"/>
    <mergeCell ref="W550:W551"/>
    <mergeCell ref="X550:X551"/>
    <mergeCell ref="Y550:Y551"/>
    <mergeCell ref="T550:T551"/>
    <mergeCell ref="U550:U551"/>
    <mergeCell ref="V550:V551"/>
    <mergeCell ref="U546:U547"/>
    <mergeCell ref="J550:J551"/>
    <mergeCell ref="K550:K551"/>
    <mergeCell ref="L550:L551"/>
    <mergeCell ref="M550:M551"/>
    <mergeCell ref="N550:N551"/>
    <mergeCell ref="O550:O551"/>
    <mergeCell ref="P550:P551"/>
    <mergeCell ref="Q550:Q551"/>
    <mergeCell ref="AC546:AC547"/>
    <mergeCell ref="AD546:AD547"/>
    <mergeCell ref="W546:W547"/>
    <mergeCell ref="AA546:AA547"/>
    <mergeCell ref="AB546:AB547"/>
    <mergeCell ref="AD548:AD549"/>
    <mergeCell ref="X546:X547"/>
    <mergeCell ref="Y546:Y547"/>
    <mergeCell ref="Z546:Z547"/>
    <mergeCell ref="G548:G549"/>
    <mergeCell ref="H548:H549"/>
    <mergeCell ref="I548:I549"/>
    <mergeCell ref="J548:J549"/>
    <mergeCell ref="U548:U549"/>
    <mergeCell ref="AB548:AB549"/>
    <mergeCell ref="R550:R551"/>
    <mergeCell ref="S550:S551"/>
    <mergeCell ref="K548:K549"/>
    <mergeCell ref="L548:L549"/>
    <mergeCell ref="M548:M549"/>
    <mergeCell ref="C550:C551"/>
    <mergeCell ref="D550:D551"/>
    <mergeCell ref="E550:E551"/>
    <mergeCell ref="F550:F551"/>
    <mergeCell ref="N548:N549"/>
    <mergeCell ref="AC548:AC549"/>
    <mergeCell ref="AA548:AA549"/>
    <mergeCell ref="O548:O549"/>
    <mergeCell ref="P548:P549"/>
    <mergeCell ref="Q548:Q549"/>
    <mergeCell ref="R548:R549"/>
    <mergeCell ref="V548:V549"/>
    <mergeCell ref="W548:W549"/>
    <mergeCell ref="X548:X549"/>
    <mergeCell ref="Y548:Y549"/>
    <mergeCell ref="D555:D556"/>
    <mergeCell ref="E555:E556"/>
    <mergeCell ref="F555:F556"/>
    <mergeCell ref="G555:G556"/>
    <mergeCell ref="H555:H556"/>
    <mergeCell ref="T548:T549"/>
    <mergeCell ref="G550:G551"/>
    <mergeCell ref="H550:H551"/>
    <mergeCell ref="I550:I551"/>
    <mergeCell ref="S548:S549"/>
    <mergeCell ref="C548:C549"/>
    <mergeCell ref="D548:D549"/>
    <mergeCell ref="E548:E549"/>
    <mergeCell ref="F548:F549"/>
    <mergeCell ref="Z548:Z549"/>
    <mergeCell ref="W555:W556"/>
    <mergeCell ref="X555:X556"/>
    <mergeCell ref="C553:D553"/>
    <mergeCell ref="C554:D554"/>
    <mergeCell ref="C555:C556"/>
    <mergeCell ref="Q555:Q556"/>
    <mergeCell ref="J555:J556"/>
    <mergeCell ref="K555:K556"/>
    <mergeCell ref="L555:L556"/>
    <mergeCell ref="M555:M556"/>
    <mergeCell ref="I555:I556"/>
    <mergeCell ref="N555:N556"/>
    <mergeCell ref="O555:O556"/>
    <mergeCell ref="C558:D558"/>
    <mergeCell ref="C559:D559"/>
    <mergeCell ref="C560:C561"/>
    <mergeCell ref="D560:D561"/>
    <mergeCell ref="G560:G561"/>
    <mergeCell ref="H560:H561"/>
    <mergeCell ref="E560:E561"/>
    <mergeCell ref="F560:F561"/>
    <mergeCell ref="N560:N561"/>
    <mergeCell ref="P555:P556"/>
    <mergeCell ref="I560:I561"/>
    <mergeCell ref="J560:J561"/>
    <mergeCell ref="L560:L561"/>
    <mergeCell ref="M560:M561"/>
    <mergeCell ref="O560:O561"/>
    <mergeCell ref="P560:P561"/>
    <mergeCell ref="Q560:Q561"/>
    <mergeCell ref="AD555:AD556"/>
    <mergeCell ref="R555:R556"/>
    <mergeCell ref="S555:S556"/>
    <mergeCell ref="Y560:Y561"/>
    <mergeCell ref="Z560:Z561"/>
    <mergeCell ref="Z555:Z556"/>
    <mergeCell ref="T555:T556"/>
    <mergeCell ref="U555:U556"/>
    <mergeCell ref="V555:V556"/>
    <mergeCell ref="U562:U563"/>
    <mergeCell ref="R560:R561"/>
    <mergeCell ref="S560:S561"/>
    <mergeCell ref="T560:T561"/>
    <mergeCell ref="U560:U561"/>
    <mergeCell ref="S562:S563"/>
    <mergeCell ref="AC560:AC561"/>
    <mergeCell ref="AD550:AD551"/>
    <mergeCell ref="Y555:Y556"/>
    <mergeCell ref="Z550:Z551"/>
    <mergeCell ref="AA550:AA551"/>
    <mergeCell ref="AB550:AB551"/>
    <mergeCell ref="AC550:AC551"/>
    <mergeCell ref="AA555:AA556"/>
    <mergeCell ref="AB555:AB556"/>
    <mergeCell ref="AC555:AC556"/>
    <mergeCell ref="AD560:AD561"/>
    <mergeCell ref="R564:R565"/>
    <mergeCell ref="S564:S565"/>
    <mergeCell ref="T564:T565"/>
    <mergeCell ref="U564:U565"/>
    <mergeCell ref="V564:V565"/>
    <mergeCell ref="W564:W565"/>
    <mergeCell ref="AD562:AD563"/>
    <mergeCell ref="V562:V563"/>
    <mergeCell ref="AC564:AC565"/>
    <mergeCell ref="AD564:AD565"/>
    <mergeCell ref="Y562:Y563"/>
    <mergeCell ref="Z562:Z563"/>
    <mergeCell ref="AA562:AA563"/>
    <mergeCell ref="AB562:AB563"/>
    <mergeCell ref="AC562:AC563"/>
    <mergeCell ref="AB564:AB565"/>
    <mergeCell ref="Z564:Z565"/>
    <mergeCell ref="AA564:AA565"/>
    <mergeCell ref="AD566:AD567"/>
    <mergeCell ref="AC566:AC567"/>
    <mergeCell ref="C562:C563"/>
    <mergeCell ref="D562:D563"/>
    <mergeCell ref="E562:E563"/>
    <mergeCell ref="F562:F563"/>
    <mergeCell ref="C564:C565"/>
    <mergeCell ref="D564:D565"/>
    <mergeCell ref="I564:I565"/>
    <mergeCell ref="J564:J565"/>
    <mergeCell ref="O564:O565"/>
    <mergeCell ref="P564:P565"/>
    <mergeCell ref="N562:N563"/>
    <mergeCell ref="O562:O563"/>
    <mergeCell ref="Q564:Q565"/>
    <mergeCell ref="AB560:AB561"/>
    <mergeCell ref="X564:X565"/>
    <mergeCell ref="Y564:Y565"/>
    <mergeCell ref="W562:W563"/>
    <mergeCell ref="X562:X563"/>
    <mergeCell ref="G562:G563"/>
    <mergeCell ref="H562:H563"/>
    <mergeCell ref="I562:I563"/>
    <mergeCell ref="J562:J563"/>
    <mergeCell ref="M564:M565"/>
    <mergeCell ref="N564:N565"/>
    <mergeCell ref="L562:L563"/>
    <mergeCell ref="M562:M563"/>
    <mergeCell ref="AA560:AA561"/>
    <mergeCell ref="W560:W561"/>
    <mergeCell ref="X560:X561"/>
    <mergeCell ref="P562:P563"/>
    <mergeCell ref="Q562:Q563"/>
    <mergeCell ref="R562:R563"/>
    <mergeCell ref="V560:V561"/>
    <mergeCell ref="T562:T563"/>
    <mergeCell ref="E564:E565"/>
    <mergeCell ref="F564:F565"/>
    <mergeCell ref="C566:C567"/>
    <mergeCell ref="D566:D567"/>
    <mergeCell ref="E566:E567"/>
    <mergeCell ref="F566:F567"/>
    <mergeCell ref="I566:I567"/>
    <mergeCell ref="J568:J569"/>
    <mergeCell ref="K568:K569"/>
    <mergeCell ref="L568:L569"/>
    <mergeCell ref="I568:I569"/>
    <mergeCell ref="G566:G567"/>
    <mergeCell ref="H566:H567"/>
    <mergeCell ref="L566:L567"/>
    <mergeCell ref="M566:M567"/>
    <mergeCell ref="N566:N567"/>
    <mergeCell ref="O566:O567"/>
    <mergeCell ref="N568:N569"/>
    <mergeCell ref="O568:O569"/>
    <mergeCell ref="E568:E569"/>
    <mergeCell ref="F568:F569"/>
    <mergeCell ref="G568:G569"/>
    <mergeCell ref="H568:H569"/>
    <mergeCell ref="K564:K565"/>
    <mergeCell ref="L564:L565"/>
    <mergeCell ref="G564:G565"/>
    <mergeCell ref="H564:H565"/>
    <mergeCell ref="J566:J567"/>
    <mergeCell ref="K566:K567"/>
    <mergeCell ref="M568:M569"/>
    <mergeCell ref="T566:T567"/>
    <mergeCell ref="U566:U567"/>
    <mergeCell ref="R568:R569"/>
    <mergeCell ref="S568:S569"/>
    <mergeCell ref="R566:R567"/>
    <mergeCell ref="S566:S567"/>
    <mergeCell ref="P566:P567"/>
    <mergeCell ref="Q566:Q567"/>
    <mergeCell ref="AB566:AB567"/>
    <mergeCell ref="Z566:Z567"/>
    <mergeCell ref="AA566:AA567"/>
    <mergeCell ref="X566:X567"/>
    <mergeCell ref="Y566:Y567"/>
    <mergeCell ref="V566:V567"/>
    <mergeCell ref="W566:W567"/>
    <mergeCell ref="U568:U569"/>
    <mergeCell ref="V570:V571"/>
    <mergeCell ref="W570:W571"/>
    <mergeCell ref="P568:P569"/>
    <mergeCell ref="Q568:Q569"/>
    <mergeCell ref="T570:T571"/>
    <mergeCell ref="U570:U571"/>
    <mergeCell ref="AD568:AD569"/>
    <mergeCell ref="C570:C571"/>
    <mergeCell ref="D570:D571"/>
    <mergeCell ref="E570:E571"/>
    <mergeCell ref="F570:F571"/>
    <mergeCell ref="G570:G571"/>
    <mergeCell ref="H570:H571"/>
    <mergeCell ref="I570:I571"/>
    <mergeCell ref="Z568:Z569"/>
    <mergeCell ref="AA568:AA569"/>
    <mergeCell ref="W568:W569"/>
    <mergeCell ref="AB570:AB571"/>
    <mergeCell ref="AC570:AC571"/>
    <mergeCell ref="J570:J571"/>
    <mergeCell ref="K570:K571"/>
    <mergeCell ref="L570:L571"/>
    <mergeCell ref="M570:M571"/>
    <mergeCell ref="X568:X569"/>
    <mergeCell ref="Y568:Y569"/>
    <mergeCell ref="T568:T569"/>
    <mergeCell ref="D576:D577"/>
    <mergeCell ref="E576:E577"/>
    <mergeCell ref="F576:F577"/>
    <mergeCell ref="AB568:AB569"/>
    <mergeCell ref="AC568:AC569"/>
    <mergeCell ref="N570:N571"/>
    <mergeCell ref="O570:O571"/>
    <mergeCell ref="P570:P571"/>
    <mergeCell ref="Q570:Q571"/>
    <mergeCell ref="V568:V569"/>
    <mergeCell ref="O574:O575"/>
    <mergeCell ref="P574:P575"/>
    <mergeCell ref="M576:M577"/>
    <mergeCell ref="N576:N577"/>
    <mergeCell ref="C568:C569"/>
    <mergeCell ref="D568:D569"/>
    <mergeCell ref="I576:I577"/>
    <mergeCell ref="J576:J577"/>
    <mergeCell ref="C576:C577"/>
    <mergeCell ref="J572:J573"/>
    <mergeCell ref="Z574:Z575"/>
    <mergeCell ref="AA574:AA575"/>
    <mergeCell ref="X570:X571"/>
    <mergeCell ref="Y570:Y571"/>
    <mergeCell ref="Z570:Z571"/>
    <mergeCell ref="AA570:AA571"/>
    <mergeCell ref="Z572:Z573"/>
    <mergeCell ref="AA572:AA573"/>
    <mergeCell ref="X574:X575"/>
    <mergeCell ref="AD570:AD571"/>
    <mergeCell ref="C572:C573"/>
    <mergeCell ref="D572:D573"/>
    <mergeCell ref="E572:E573"/>
    <mergeCell ref="F572:F573"/>
    <mergeCell ref="G572:G573"/>
    <mergeCell ref="H572:H573"/>
    <mergeCell ref="I572:I573"/>
    <mergeCell ref="R570:R571"/>
    <mergeCell ref="S570:S571"/>
    <mergeCell ref="K572:K573"/>
    <mergeCell ref="AD572:AD573"/>
    <mergeCell ref="C574:C575"/>
    <mergeCell ref="D574:D575"/>
    <mergeCell ref="E574:E575"/>
    <mergeCell ref="F574:F575"/>
    <mergeCell ref="G574:G575"/>
    <mergeCell ref="H574:H575"/>
    <mergeCell ref="I574:I575"/>
    <mergeCell ref="N574:N575"/>
    <mergeCell ref="P572:P573"/>
    <mergeCell ref="Q574:Q575"/>
    <mergeCell ref="J574:J575"/>
    <mergeCell ref="K574:K575"/>
    <mergeCell ref="L574:L575"/>
    <mergeCell ref="M574:M575"/>
    <mergeCell ref="L572:L573"/>
    <mergeCell ref="M572:M573"/>
    <mergeCell ref="N572:N573"/>
    <mergeCell ref="O572:O573"/>
    <mergeCell ref="AC572:AC573"/>
    <mergeCell ref="Q572:Q573"/>
    <mergeCell ref="AB572:AB573"/>
    <mergeCell ref="Y574:Y575"/>
    <mergeCell ref="R574:R575"/>
    <mergeCell ref="X572:X573"/>
    <mergeCell ref="Y572:Y573"/>
    <mergeCell ref="T572:T573"/>
    <mergeCell ref="U572:U573"/>
    <mergeCell ref="V572:V573"/>
    <mergeCell ref="Z578:Z579"/>
    <mergeCell ref="AA578:AA579"/>
    <mergeCell ref="W572:W573"/>
    <mergeCell ref="R572:R573"/>
    <mergeCell ref="S572:S573"/>
    <mergeCell ref="S574:S575"/>
    <mergeCell ref="T574:T575"/>
    <mergeCell ref="U574:U575"/>
    <mergeCell ref="V574:V575"/>
    <mergeCell ref="W574:W575"/>
    <mergeCell ref="AC578:AC579"/>
    <mergeCell ref="AD578:AD579"/>
    <mergeCell ref="AB574:AB575"/>
    <mergeCell ref="AC574:AC575"/>
    <mergeCell ref="AD574:AD575"/>
    <mergeCell ref="AD576:AD577"/>
    <mergeCell ref="AC576:AC577"/>
    <mergeCell ref="AB578:AB579"/>
    <mergeCell ref="S576:S577"/>
    <mergeCell ref="T576:T577"/>
    <mergeCell ref="U576:U577"/>
    <mergeCell ref="Y578:Y579"/>
    <mergeCell ref="X578:X579"/>
    <mergeCell ref="V578:V579"/>
    <mergeCell ref="W578:W579"/>
    <mergeCell ref="U578:U579"/>
    <mergeCell ref="S578:S579"/>
    <mergeCell ref="T578:T579"/>
    <mergeCell ref="AA576:AA577"/>
    <mergeCell ref="AB576:AB577"/>
    <mergeCell ref="V576:V577"/>
    <mergeCell ref="W576:W577"/>
    <mergeCell ref="X576:X577"/>
    <mergeCell ref="Y576:Y577"/>
    <mergeCell ref="Z576:Z577"/>
    <mergeCell ref="Q576:Q577"/>
    <mergeCell ref="R576:R577"/>
    <mergeCell ref="J578:J579"/>
    <mergeCell ref="K578:K579"/>
    <mergeCell ref="L578:L579"/>
    <mergeCell ref="M578:M579"/>
    <mergeCell ref="N578:N579"/>
    <mergeCell ref="O578:O579"/>
    <mergeCell ref="P578:P579"/>
    <mergeCell ref="Q578:Q579"/>
    <mergeCell ref="E580:E581"/>
    <mergeCell ref="F580:F581"/>
    <mergeCell ref="G580:G581"/>
    <mergeCell ref="H580:H581"/>
    <mergeCell ref="K576:K577"/>
    <mergeCell ref="L576:L577"/>
    <mergeCell ref="G576:G577"/>
    <mergeCell ref="H576:H577"/>
    <mergeCell ref="Q580:Q581"/>
    <mergeCell ref="I580:I581"/>
    <mergeCell ref="J580:J581"/>
    <mergeCell ref="M580:M581"/>
    <mergeCell ref="N580:N581"/>
    <mergeCell ref="K580:K581"/>
    <mergeCell ref="O576:O577"/>
    <mergeCell ref="P576:P577"/>
    <mergeCell ref="G582:G583"/>
    <mergeCell ref="H582:H583"/>
    <mergeCell ref="I582:I583"/>
    <mergeCell ref="W582:W583"/>
    <mergeCell ref="R578:R579"/>
    <mergeCell ref="R580:R581"/>
    <mergeCell ref="O580:O581"/>
    <mergeCell ref="AD582:AD583"/>
    <mergeCell ref="C578:C579"/>
    <mergeCell ref="D578:D579"/>
    <mergeCell ref="E578:E579"/>
    <mergeCell ref="F578:F579"/>
    <mergeCell ref="G578:G579"/>
    <mergeCell ref="H578:H579"/>
    <mergeCell ref="I578:I579"/>
    <mergeCell ref="AC580:AC581"/>
    <mergeCell ref="AD580:AD581"/>
    <mergeCell ref="AA582:AA583"/>
    <mergeCell ref="Q582:Q583"/>
    <mergeCell ref="R582:R583"/>
    <mergeCell ref="T582:T583"/>
    <mergeCell ref="AB582:AB583"/>
    <mergeCell ref="AC582:AC583"/>
    <mergeCell ref="S582:S583"/>
    <mergeCell ref="C580:C581"/>
    <mergeCell ref="D580:D581"/>
    <mergeCell ref="S580:S581"/>
    <mergeCell ref="O582:O583"/>
    <mergeCell ref="Z582:Z583"/>
    <mergeCell ref="C582:C583"/>
    <mergeCell ref="D582:D583"/>
    <mergeCell ref="E582:E583"/>
    <mergeCell ref="F582:F583"/>
    <mergeCell ref="C584:C585"/>
    <mergeCell ref="D584:D585"/>
    <mergeCell ref="E584:E585"/>
    <mergeCell ref="F584:F585"/>
    <mergeCell ref="AA580:AA581"/>
    <mergeCell ref="AB580:AB581"/>
    <mergeCell ref="U582:U583"/>
    <mergeCell ref="V582:V583"/>
    <mergeCell ref="W580:W581"/>
    <mergeCell ref="X580:X581"/>
    <mergeCell ref="G584:G585"/>
    <mergeCell ref="H584:H585"/>
    <mergeCell ref="U580:U581"/>
    <mergeCell ref="V580:V581"/>
    <mergeCell ref="V584:V585"/>
    <mergeCell ref="K582:K583"/>
    <mergeCell ref="L582:L583"/>
    <mergeCell ref="M582:M583"/>
    <mergeCell ref="J584:J585"/>
    <mergeCell ref="K584:K585"/>
    <mergeCell ref="L580:L581"/>
    <mergeCell ref="W584:W585"/>
    <mergeCell ref="X584:X585"/>
    <mergeCell ref="Y584:Y585"/>
    <mergeCell ref="T584:T585"/>
    <mergeCell ref="U584:U585"/>
    <mergeCell ref="Y580:Y581"/>
    <mergeCell ref="X582:X583"/>
    <mergeCell ref="Y582:Y583"/>
    <mergeCell ref="P582:P583"/>
    <mergeCell ref="I586:I587"/>
    <mergeCell ref="L586:L587"/>
    <mergeCell ref="M586:M587"/>
    <mergeCell ref="L584:L585"/>
    <mergeCell ref="M584:M585"/>
    <mergeCell ref="N582:N583"/>
    <mergeCell ref="C586:C587"/>
    <mergeCell ref="D586:D587"/>
    <mergeCell ref="E586:E587"/>
    <mergeCell ref="F586:F587"/>
    <mergeCell ref="G586:G587"/>
    <mergeCell ref="H586:H587"/>
    <mergeCell ref="N584:N585"/>
    <mergeCell ref="O584:O585"/>
    <mergeCell ref="N586:N587"/>
    <mergeCell ref="O586:O587"/>
    <mergeCell ref="P586:P587"/>
    <mergeCell ref="Q586:Q587"/>
    <mergeCell ref="I584:I585"/>
    <mergeCell ref="AB586:AB587"/>
    <mergeCell ref="AC586:AC587"/>
    <mergeCell ref="R586:R587"/>
    <mergeCell ref="S586:S587"/>
    <mergeCell ref="K586:K587"/>
    <mergeCell ref="V586:V587"/>
    <mergeCell ref="P584:P585"/>
    <mergeCell ref="Z584:Z585"/>
    <mergeCell ref="AA584:AA585"/>
    <mergeCell ref="J582:J583"/>
    <mergeCell ref="P580:P581"/>
    <mergeCell ref="X590:X591"/>
    <mergeCell ref="S584:S585"/>
    <mergeCell ref="L590:L591"/>
    <mergeCell ref="M590:M591"/>
    <mergeCell ref="T588:T589"/>
    <mergeCell ref="U588:U589"/>
    <mergeCell ref="J590:J591"/>
    <mergeCell ref="T586:T587"/>
    <mergeCell ref="AD586:AD587"/>
    <mergeCell ref="AB590:AB591"/>
    <mergeCell ref="AC590:AC591"/>
    <mergeCell ref="AA590:AA591"/>
    <mergeCell ref="AD590:AD591"/>
    <mergeCell ref="T580:T581"/>
    <mergeCell ref="U586:U587"/>
    <mergeCell ref="W586:W587"/>
    <mergeCell ref="AD584:AD585"/>
    <mergeCell ref="Z580:Z581"/>
    <mergeCell ref="C588:C589"/>
    <mergeCell ref="D588:D589"/>
    <mergeCell ref="E588:E589"/>
    <mergeCell ref="F588:F589"/>
    <mergeCell ref="Y590:Y591"/>
    <mergeCell ref="Z590:Z591"/>
    <mergeCell ref="V588:V589"/>
    <mergeCell ref="G588:G589"/>
    <mergeCell ref="H588:H589"/>
    <mergeCell ref="Q584:Q585"/>
    <mergeCell ref="R584:R585"/>
    <mergeCell ref="J588:J589"/>
    <mergeCell ref="K588:K589"/>
    <mergeCell ref="L588:L589"/>
    <mergeCell ref="M588:M589"/>
    <mergeCell ref="J586:J587"/>
    <mergeCell ref="N588:N589"/>
    <mergeCell ref="AB584:AB585"/>
    <mergeCell ref="AC584:AC585"/>
    <mergeCell ref="X586:X587"/>
    <mergeCell ref="Y586:Y587"/>
    <mergeCell ref="Z586:Z587"/>
    <mergeCell ref="AA586:AA587"/>
    <mergeCell ref="S590:S591"/>
    <mergeCell ref="AD588:AD589"/>
    <mergeCell ref="X588:X589"/>
    <mergeCell ref="Y588:Y589"/>
    <mergeCell ref="Z588:Z589"/>
    <mergeCell ref="AA588:AA589"/>
    <mergeCell ref="AB588:AB589"/>
    <mergeCell ref="AC588:AC589"/>
    <mergeCell ref="C590:C591"/>
    <mergeCell ref="D590:D591"/>
    <mergeCell ref="E590:E591"/>
    <mergeCell ref="F590:F591"/>
    <mergeCell ref="Q590:Q591"/>
    <mergeCell ref="R590:R591"/>
    <mergeCell ref="K590:K591"/>
    <mergeCell ref="N590:N591"/>
    <mergeCell ref="O590:O591"/>
    <mergeCell ref="P590:P591"/>
    <mergeCell ref="G590:G591"/>
    <mergeCell ref="H590:H591"/>
    <mergeCell ref="I590:I591"/>
    <mergeCell ref="W588:W589"/>
    <mergeCell ref="T590:T591"/>
    <mergeCell ref="U590:U591"/>
    <mergeCell ref="V590:V591"/>
    <mergeCell ref="I588:I589"/>
    <mergeCell ref="R588:R589"/>
    <mergeCell ref="S588:S589"/>
    <mergeCell ref="H594:H595"/>
    <mergeCell ref="I594:I595"/>
    <mergeCell ref="J594:J595"/>
    <mergeCell ref="K594:K595"/>
    <mergeCell ref="H592:H593"/>
    <mergeCell ref="I592:I593"/>
    <mergeCell ref="J592:J593"/>
    <mergeCell ref="K592:K593"/>
    <mergeCell ref="O588:O589"/>
    <mergeCell ref="P588:P589"/>
    <mergeCell ref="Q588:Q589"/>
    <mergeCell ref="AB592:AB593"/>
    <mergeCell ref="Z592:Z593"/>
    <mergeCell ref="W590:W591"/>
    <mergeCell ref="AA592:AA593"/>
    <mergeCell ref="R592:R593"/>
    <mergeCell ref="S592:S593"/>
    <mergeCell ref="O592:O593"/>
    <mergeCell ref="AC592:AC593"/>
    <mergeCell ref="AD596:AD597"/>
    <mergeCell ref="R600:R601"/>
    <mergeCell ref="M604:M605"/>
    <mergeCell ref="AC604:AC605"/>
    <mergeCell ref="AD604:AD605"/>
    <mergeCell ref="W604:W605"/>
    <mergeCell ref="X604:X605"/>
    <mergeCell ref="Y604:Y605"/>
    <mergeCell ref="Z604:Z605"/>
    <mergeCell ref="W592:W593"/>
    <mergeCell ref="X592:X593"/>
    <mergeCell ref="Y592:Y593"/>
    <mergeCell ref="L594:L595"/>
    <mergeCell ref="M594:M595"/>
    <mergeCell ref="N594:N595"/>
    <mergeCell ref="O594:O595"/>
    <mergeCell ref="L592:L593"/>
    <mergeCell ref="M592:M593"/>
    <mergeCell ref="N592:N593"/>
    <mergeCell ref="V594:V595"/>
    <mergeCell ref="T592:T593"/>
    <mergeCell ref="U592:U593"/>
    <mergeCell ref="V592:V593"/>
    <mergeCell ref="T594:T595"/>
    <mergeCell ref="U594:U595"/>
    <mergeCell ref="C594:C595"/>
    <mergeCell ref="D594:D595"/>
    <mergeCell ref="E594:E595"/>
    <mergeCell ref="F594:F595"/>
    <mergeCell ref="AD598:AD599"/>
    <mergeCell ref="T596:T597"/>
    <mergeCell ref="U596:U597"/>
    <mergeCell ref="P596:P597"/>
    <mergeCell ref="Q596:Q597"/>
    <mergeCell ref="AC598:AC599"/>
    <mergeCell ref="AC594:AC595"/>
    <mergeCell ref="AD594:AD595"/>
    <mergeCell ref="P592:P593"/>
    <mergeCell ref="Q592:Q593"/>
    <mergeCell ref="P594:P595"/>
    <mergeCell ref="Q594:Q595"/>
    <mergeCell ref="R594:R595"/>
    <mergeCell ref="S594:S595"/>
    <mergeCell ref="W594:W595"/>
    <mergeCell ref="AD592:AD593"/>
    <mergeCell ref="Y594:Y595"/>
    <mergeCell ref="Z594:Z595"/>
    <mergeCell ref="Y596:Y597"/>
    <mergeCell ref="Z596:Z597"/>
    <mergeCell ref="AA600:AA601"/>
    <mergeCell ref="AB600:AB601"/>
    <mergeCell ref="AA594:AA595"/>
    <mergeCell ref="AB594:AB595"/>
    <mergeCell ref="Z600:Z601"/>
    <mergeCell ref="AA596:AA597"/>
    <mergeCell ref="J604:J605"/>
    <mergeCell ref="C592:C593"/>
    <mergeCell ref="D592:D593"/>
    <mergeCell ref="E592:E593"/>
    <mergeCell ref="F592:F593"/>
    <mergeCell ref="X594:X595"/>
    <mergeCell ref="P600:P601"/>
    <mergeCell ref="Q600:Q601"/>
    <mergeCell ref="R596:R597"/>
    <mergeCell ref="G594:G595"/>
    <mergeCell ref="K600:K601"/>
    <mergeCell ref="G592:G593"/>
    <mergeCell ref="AA604:AA605"/>
    <mergeCell ref="AB604:AB605"/>
    <mergeCell ref="S604:S605"/>
    <mergeCell ref="T604:T605"/>
    <mergeCell ref="U604:U605"/>
    <mergeCell ref="V604:V605"/>
    <mergeCell ref="G604:G605"/>
    <mergeCell ref="I604:I605"/>
    <mergeCell ref="D604:D605"/>
    <mergeCell ref="E604:E605"/>
    <mergeCell ref="F604:F605"/>
    <mergeCell ref="AD600:AD601"/>
    <mergeCell ref="C603:D603"/>
    <mergeCell ref="N600:N601"/>
    <mergeCell ref="O600:O601"/>
    <mergeCell ref="M600:M601"/>
    <mergeCell ref="I600:I601"/>
    <mergeCell ref="J600:J601"/>
    <mergeCell ref="R604:R605"/>
    <mergeCell ref="C600:C601"/>
    <mergeCell ref="D600:D601"/>
    <mergeCell ref="E600:E601"/>
    <mergeCell ref="N604:N605"/>
    <mergeCell ref="O604:O605"/>
    <mergeCell ref="P604:P605"/>
    <mergeCell ref="Q604:Q605"/>
    <mergeCell ref="K604:K605"/>
    <mergeCell ref="C604:C605"/>
    <mergeCell ref="V606:V607"/>
    <mergeCell ref="W606:W607"/>
    <mergeCell ref="U608:U609"/>
    <mergeCell ref="Y608:Y609"/>
    <mergeCell ref="C610:C611"/>
    <mergeCell ref="D610:D611"/>
    <mergeCell ref="E610:E611"/>
    <mergeCell ref="F610:F611"/>
    <mergeCell ref="F608:F609"/>
    <mergeCell ref="G608:G609"/>
    <mergeCell ref="K610:K611"/>
    <mergeCell ref="L610:L611"/>
    <mergeCell ref="M610:M611"/>
    <mergeCell ref="N610:N611"/>
    <mergeCell ref="X606:X607"/>
    <mergeCell ref="Y606:Y607"/>
    <mergeCell ref="P610:P611"/>
    <mergeCell ref="Q610:Q611"/>
    <mergeCell ref="R610:R611"/>
    <mergeCell ref="U606:U607"/>
    <mergeCell ref="M608:M609"/>
    <mergeCell ref="R606:R607"/>
    <mergeCell ref="S606:S607"/>
    <mergeCell ref="T606:T607"/>
    <mergeCell ref="T608:T609"/>
    <mergeCell ref="O606:O607"/>
    <mergeCell ref="P606:P607"/>
    <mergeCell ref="Q606:Q607"/>
    <mergeCell ref="V608:V609"/>
    <mergeCell ref="W608:W609"/>
    <mergeCell ref="F606:F607"/>
    <mergeCell ref="G606:G607"/>
    <mergeCell ref="I606:I607"/>
    <mergeCell ref="N606:N607"/>
    <mergeCell ref="L606:L607"/>
    <mergeCell ref="M606:M607"/>
    <mergeCell ref="J606:J607"/>
    <mergeCell ref="K606:K607"/>
    <mergeCell ref="R608:R609"/>
    <mergeCell ref="S608:S609"/>
    <mergeCell ref="Y610:Y611"/>
    <mergeCell ref="I608:I609"/>
    <mergeCell ref="J608:J609"/>
    <mergeCell ref="K608:K609"/>
    <mergeCell ref="L608:L609"/>
    <mergeCell ref="W610:W611"/>
    <mergeCell ref="X610:X611"/>
    <mergeCell ref="V610:V611"/>
    <mergeCell ref="T612:T613"/>
    <mergeCell ref="I610:I611"/>
    <mergeCell ref="J610:J611"/>
    <mergeCell ref="O610:O611"/>
    <mergeCell ref="S610:S611"/>
    <mergeCell ref="X608:X609"/>
    <mergeCell ref="N608:N609"/>
    <mergeCell ref="O608:O609"/>
    <mergeCell ref="P608:P609"/>
    <mergeCell ref="Q608:Q609"/>
    <mergeCell ref="Z610:Z611"/>
    <mergeCell ref="AA610:AA611"/>
    <mergeCell ref="T610:T611"/>
    <mergeCell ref="Z612:Z613"/>
    <mergeCell ref="AA612:AA613"/>
    <mergeCell ref="AB614:AB615"/>
    <mergeCell ref="V612:V613"/>
    <mergeCell ref="W612:W613"/>
    <mergeCell ref="AB610:AB611"/>
    <mergeCell ref="X614:X615"/>
    <mergeCell ref="AC608:AC609"/>
    <mergeCell ref="AD608:AD609"/>
    <mergeCell ref="S612:S613"/>
    <mergeCell ref="O612:O613"/>
    <mergeCell ref="AD614:AD615"/>
    <mergeCell ref="AD606:AD607"/>
    <mergeCell ref="AC606:AC607"/>
    <mergeCell ref="Z606:Z607"/>
    <mergeCell ref="AA606:AA607"/>
    <mergeCell ref="AB606:AB607"/>
    <mergeCell ref="V614:V615"/>
    <mergeCell ref="W614:W615"/>
    <mergeCell ref="Z608:Z609"/>
    <mergeCell ref="AA608:AA609"/>
    <mergeCell ref="AD612:AD613"/>
    <mergeCell ref="AC614:AC615"/>
    <mergeCell ref="Z614:Z615"/>
    <mergeCell ref="AA614:AA615"/>
    <mergeCell ref="AC612:AC613"/>
    <mergeCell ref="AB608:AB609"/>
    <mergeCell ref="C614:C615"/>
    <mergeCell ref="E614:E615"/>
    <mergeCell ref="F614:F615"/>
    <mergeCell ref="P612:P613"/>
    <mergeCell ref="Q612:Q613"/>
    <mergeCell ref="R612:R613"/>
    <mergeCell ref="R614:R615"/>
    <mergeCell ref="AD610:AD611"/>
    <mergeCell ref="U612:U613"/>
    <mergeCell ref="U610:U611"/>
    <mergeCell ref="C616:C617"/>
    <mergeCell ref="X612:X613"/>
    <mergeCell ref="Y612:Y613"/>
    <mergeCell ref="AB612:AB613"/>
    <mergeCell ref="H616:H617"/>
    <mergeCell ref="S616:S617"/>
    <mergeCell ref="T616:T617"/>
    <mergeCell ref="M612:M613"/>
    <mergeCell ref="G614:G615"/>
    <mergeCell ref="I614:I615"/>
    <mergeCell ref="J614:J615"/>
    <mergeCell ref="K614:K615"/>
    <mergeCell ref="AC610:AC611"/>
    <mergeCell ref="Y614:Y615"/>
    <mergeCell ref="S614:S615"/>
    <mergeCell ref="T614:T615"/>
    <mergeCell ref="U614:U615"/>
    <mergeCell ref="C612:C613"/>
    <mergeCell ref="D612:D613"/>
    <mergeCell ref="E612:E613"/>
    <mergeCell ref="F612:F613"/>
    <mergeCell ref="L614:L615"/>
    <mergeCell ref="M614:M615"/>
    <mergeCell ref="G612:G613"/>
    <mergeCell ref="I612:I613"/>
    <mergeCell ref="J612:J613"/>
    <mergeCell ref="K612:K613"/>
    <mergeCell ref="D614:D615"/>
    <mergeCell ref="O616:O617"/>
    <mergeCell ref="P616:P617"/>
    <mergeCell ref="Q616:Q617"/>
    <mergeCell ref="I616:I617"/>
    <mergeCell ref="J616:J617"/>
    <mergeCell ref="N614:N615"/>
    <mergeCell ref="O614:O615"/>
    <mergeCell ref="P614:P615"/>
    <mergeCell ref="Q614:Q615"/>
    <mergeCell ref="N612:N613"/>
    <mergeCell ref="L618:L619"/>
    <mergeCell ref="M618:M619"/>
    <mergeCell ref="N618:N619"/>
    <mergeCell ref="R616:R617"/>
    <mergeCell ref="K616:K617"/>
    <mergeCell ref="L616:L617"/>
    <mergeCell ref="M616:M617"/>
    <mergeCell ref="N616:N617"/>
    <mergeCell ref="L612:L613"/>
    <mergeCell ref="Y616:Y617"/>
    <mergeCell ref="AD618:AD619"/>
    <mergeCell ref="W618:W619"/>
    <mergeCell ref="X618:X619"/>
    <mergeCell ref="Y618:Y619"/>
    <mergeCell ref="Z618:Z619"/>
    <mergeCell ref="AA618:AA619"/>
    <mergeCell ref="AB618:AB619"/>
    <mergeCell ref="AC618:AC619"/>
    <mergeCell ref="U618:U619"/>
    <mergeCell ref="V618:V619"/>
    <mergeCell ref="Z616:Z617"/>
    <mergeCell ref="AA616:AA617"/>
    <mergeCell ref="AB616:AB617"/>
    <mergeCell ref="U616:U617"/>
    <mergeCell ref="V616:V617"/>
    <mergeCell ref="W616:W617"/>
    <mergeCell ref="X616:X617"/>
    <mergeCell ref="AC616:AC617"/>
    <mergeCell ref="AD616:AD617"/>
    <mergeCell ref="C620:C621"/>
    <mergeCell ref="D620:D621"/>
    <mergeCell ref="E620:E621"/>
    <mergeCell ref="F620:F621"/>
    <mergeCell ref="K620:K621"/>
    <mergeCell ref="L620:L621"/>
    <mergeCell ref="M620:M621"/>
    <mergeCell ref="N620:N621"/>
    <mergeCell ref="S618:S619"/>
    <mergeCell ref="T618:T619"/>
    <mergeCell ref="Q620:Q621"/>
    <mergeCell ref="R620:R621"/>
    <mergeCell ref="S620:S621"/>
    <mergeCell ref="T620:T621"/>
    <mergeCell ref="U620:U621"/>
    <mergeCell ref="V620:V621"/>
    <mergeCell ref="C618:C619"/>
    <mergeCell ref="D618:D619"/>
    <mergeCell ref="E618:E619"/>
    <mergeCell ref="F618:F619"/>
    <mergeCell ref="O620:O621"/>
    <mergeCell ref="P620:P621"/>
    <mergeCell ref="H620:H621"/>
    <mergeCell ref="I620:I621"/>
    <mergeCell ref="J620:J621"/>
    <mergeCell ref="Q618:Q619"/>
    <mergeCell ref="R618:R619"/>
    <mergeCell ref="G618:G619"/>
    <mergeCell ref="H618:H619"/>
    <mergeCell ref="I618:I619"/>
    <mergeCell ref="J618:J619"/>
    <mergeCell ref="K618:K619"/>
    <mergeCell ref="O618:O619"/>
    <mergeCell ref="P618:P619"/>
    <mergeCell ref="Q622:Q623"/>
    <mergeCell ref="R622:R623"/>
    <mergeCell ref="S622:S623"/>
    <mergeCell ref="T622:T623"/>
    <mergeCell ref="U622:U623"/>
    <mergeCell ref="V622:V623"/>
    <mergeCell ref="AD620:AD621"/>
    <mergeCell ref="W620:W621"/>
    <mergeCell ref="X620:X621"/>
    <mergeCell ref="Y620:Y621"/>
    <mergeCell ref="Z620:Z621"/>
    <mergeCell ref="AA620:AA621"/>
    <mergeCell ref="AB620:AB621"/>
    <mergeCell ref="AC620:AC621"/>
    <mergeCell ref="O622:O623"/>
    <mergeCell ref="P622:P623"/>
    <mergeCell ref="C622:C623"/>
    <mergeCell ref="D622:D623"/>
    <mergeCell ref="E622:E623"/>
    <mergeCell ref="F622:F623"/>
    <mergeCell ref="I622:I623"/>
    <mergeCell ref="J622:J623"/>
    <mergeCell ref="M624:M625"/>
    <mergeCell ref="N624:N625"/>
    <mergeCell ref="G622:G623"/>
    <mergeCell ref="H622:H623"/>
    <mergeCell ref="Y622:Y623"/>
    <mergeCell ref="Z622:Z623"/>
    <mergeCell ref="K622:K623"/>
    <mergeCell ref="L622:L623"/>
    <mergeCell ref="M622:M623"/>
    <mergeCell ref="N622:N623"/>
    <mergeCell ref="Q624:Q625"/>
    <mergeCell ref="R624:R625"/>
    <mergeCell ref="W622:W623"/>
    <mergeCell ref="X622:X623"/>
    <mergeCell ref="C624:C625"/>
    <mergeCell ref="D624:D625"/>
    <mergeCell ref="E624:E625"/>
    <mergeCell ref="F624:F625"/>
    <mergeCell ref="G624:G625"/>
    <mergeCell ref="H624:H625"/>
    <mergeCell ref="I624:I625"/>
    <mergeCell ref="J624:J625"/>
    <mergeCell ref="G626:G627"/>
    <mergeCell ref="H626:H627"/>
    <mergeCell ref="I626:I627"/>
    <mergeCell ref="J626:J627"/>
    <mergeCell ref="AA622:AA623"/>
    <mergeCell ref="AB622:AB623"/>
    <mergeCell ref="AC622:AC623"/>
    <mergeCell ref="AD622:AD623"/>
    <mergeCell ref="K626:K627"/>
    <mergeCell ref="L626:L627"/>
    <mergeCell ref="K624:K625"/>
    <mergeCell ref="L624:L625"/>
    <mergeCell ref="O624:O625"/>
    <mergeCell ref="P624:P625"/>
    <mergeCell ref="U624:U625"/>
    <mergeCell ref="V624:V625"/>
    <mergeCell ref="W624:W625"/>
    <mergeCell ref="X624:X625"/>
    <mergeCell ref="AD624:AD625"/>
    <mergeCell ref="AA626:AA627"/>
    <mergeCell ref="AB626:AB627"/>
    <mergeCell ref="AB624:AB625"/>
    <mergeCell ref="AA624:AA625"/>
    <mergeCell ref="T624:T625"/>
    <mergeCell ref="AD626:AD627"/>
    <mergeCell ref="AC626:AC627"/>
    <mergeCell ref="Y626:Y627"/>
    <mergeCell ref="Z626:Z627"/>
    <mergeCell ref="U626:U627"/>
    <mergeCell ref="V626:V627"/>
    <mergeCell ref="W626:W627"/>
    <mergeCell ref="AC624:AC625"/>
    <mergeCell ref="Z624:Z625"/>
    <mergeCell ref="D628:D629"/>
    <mergeCell ref="E628:E629"/>
    <mergeCell ref="F628:F629"/>
    <mergeCell ref="G628:G629"/>
    <mergeCell ref="C630:C631"/>
    <mergeCell ref="D630:D631"/>
    <mergeCell ref="E630:E631"/>
    <mergeCell ref="F630:F631"/>
    <mergeCell ref="H628:H629"/>
    <mergeCell ref="I628:I629"/>
    <mergeCell ref="X628:X629"/>
    <mergeCell ref="Y624:Y625"/>
    <mergeCell ref="X626:X627"/>
    <mergeCell ref="O626:O627"/>
    <mergeCell ref="P626:P627"/>
    <mergeCell ref="Q626:Q627"/>
    <mergeCell ref="S624:S625"/>
    <mergeCell ref="V628:V629"/>
    <mergeCell ref="R626:R627"/>
    <mergeCell ref="S626:S627"/>
    <mergeCell ref="T626:T627"/>
    <mergeCell ref="C626:C627"/>
    <mergeCell ref="D626:D627"/>
    <mergeCell ref="E626:E627"/>
    <mergeCell ref="F626:F627"/>
    <mergeCell ref="C628:C629"/>
    <mergeCell ref="M626:M627"/>
    <mergeCell ref="N626:N627"/>
    <mergeCell ref="AD630:AD631"/>
    <mergeCell ref="R628:R629"/>
    <mergeCell ref="S628:S629"/>
    <mergeCell ref="T628:T629"/>
    <mergeCell ref="U628:U629"/>
    <mergeCell ref="Y628:Y629"/>
    <mergeCell ref="Z628:Z629"/>
    <mergeCell ref="AD632:AD633"/>
    <mergeCell ref="Q628:Q629"/>
    <mergeCell ref="AC628:AC629"/>
    <mergeCell ref="AD628:AD629"/>
    <mergeCell ref="T630:T631"/>
    <mergeCell ref="U630:U631"/>
    <mergeCell ref="AA628:AA629"/>
    <mergeCell ref="AB628:AB629"/>
    <mergeCell ref="W628:W629"/>
    <mergeCell ref="AD634:AD635"/>
    <mergeCell ref="I630:I631"/>
    <mergeCell ref="J630:J631"/>
    <mergeCell ref="M630:M631"/>
    <mergeCell ref="N630:N631"/>
    <mergeCell ref="X630:X631"/>
    <mergeCell ref="AA630:AA631"/>
    <mergeCell ref="AB630:AB631"/>
    <mergeCell ref="AB632:AB633"/>
    <mergeCell ref="AC632:AC633"/>
    <mergeCell ref="J628:J629"/>
    <mergeCell ref="K630:K631"/>
    <mergeCell ref="L630:L631"/>
    <mergeCell ref="O628:O629"/>
    <mergeCell ref="AB634:AB635"/>
    <mergeCell ref="AC634:AC635"/>
    <mergeCell ref="M628:M629"/>
    <mergeCell ref="N628:N629"/>
    <mergeCell ref="P628:P629"/>
    <mergeCell ref="K628:K629"/>
    <mergeCell ref="L628:L629"/>
    <mergeCell ref="Z630:Z631"/>
    <mergeCell ref="P630:P631"/>
    <mergeCell ref="Q630:Q631"/>
    <mergeCell ref="R630:R631"/>
    <mergeCell ref="Y630:Y631"/>
    <mergeCell ref="G634:G635"/>
    <mergeCell ref="K632:K633"/>
    <mergeCell ref="G632:G633"/>
    <mergeCell ref="H632:H633"/>
    <mergeCell ref="I632:I633"/>
    <mergeCell ref="V634:V635"/>
    <mergeCell ref="H634:H635"/>
    <mergeCell ref="T632:T633"/>
    <mergeCell ref="U632:U633"/>
    <mergeCell ref="V630:V631"/>
    <mergeCell ref="S630:S631"/>
    <mergeCell ref="AC630:AC631"/>
    <mergeCell ref="W630:W631"/>
    <mergeCell ref="W634:W635"/>
    <mergeCell ref="O630:O631"/>
    <mergeCell ref="J632:J633"/>
    <mergeCell ref="AA634:AA635"/>
    <mergeCell ref="Q634:Q635"/>
    <mergeCell ref="R634:R635"/>
    <mergeCell ref="S634:S635"/>
    <mergeCell ref="L632:L633"/>
    <mergeCell ref="L634:L635"/>
    <mergeCell ref="C632:C633"/>
    <mergeCell ref="D632:D633"/>
    <mergeCell ref="E632:E633"/>
    <mergeCell ref="F632:F633"/>
    <mergeCell ref="G630:G631"/>
    <mergeCell ref="H630:H631"/>
    <mergeCell ref="S636:S637"/>
    <mergeCell ref="P634:P635"/>
    <mergeCell ref="I634:I635"/>
    <mergeCell ref="J634:J635"/>
    <mergeCell ref="K634:K635"/>
    <mergeCell ref="T636:T637"/>
    <mergeCell ref="K636:K637"/>
    <mergeCell ref="L636:L637"/>
    <mergeCell ref="M636:M637"/>
    <mergeCell ref="R636:R637"/>
    <mergeCell ref="D636:D637"/>
    <mergeCell ref="E636:E637"/>
    <mergeCell ref="F636:F637"/>
    <mergeCell ref="U636:U637"/>
    <mergeCell ref="V636:V637"/>
    <mergeCell ref="P632:P633"/>
    <mergeCell ref="Q632:Q633"/>
    <mergeCell ref="R632:R633"/>
    <mergeCell ref="S632:S633"/>
    <mergeCell ref="T634:T635"/>
    <mergeCell ref="Z638:Z639"/>
    <mergeCell ref="AA638:AA639"/>
    <mergeCell ref="Z636:Z637"/>
    <mergeCell ref="AA636:AA637"/>
    <mergeCell ref="G636:G637"/>
    <mergeCell ref="C634:C635"/>
    <mergeCell ref="D634:D635"/>
    <mergeCell ref="E634:E635"/>
    <mergeCell ref="F634:F635"/>
    <mergeCell ref="C636:C637"/>
    <mergeCell ref="X636:X637"/>
    <mergeCell ref="Y636:Y637"/>
    <mergeCell ref="V632:V633"/>
    <mergeCell ref="W632:W633"/>
    <mergeCell ref="X632:X633"/>
    <mergeCell ref="Y632:Y633"/>
    <mergeCell ref="X634:X635"/>
    <mergeCell ref="Y634:Y635"/>
    <mergeCell ref="W636:W637"/>
    <mergeCell ref="O634:O635"/>
    <mergeCell ref="Z632:Z633"/>
    <mergeCell ref="AA632:AA633"/>
    <mergeCell ref="M632:M633"/>
    <mergeCell ref="N632:N633"/>
    <mergeCell ref="O632:O633"/>
    <mergeCell ref="Z634:Z635"/>
    <mergeCell ref="U634:U635"/>
    <mergeCell ref="M634:M635"/>
    <mergeCell ref="N634:N635"/>
    <mergeCell ref="H638:H639"/>
    <mergeCell ref="I638:I639"/>
    <mergeCell ref="J638:J639"/>
    <mergeCell ref="K638:K639"/>
    <mergeCell ref="AB636:AB637"/>
    <mergeCell ref="AC636:AC637"/>
    <mergeCell ref="T638:T639"/>
    <mergeCell ref="U638:U639"/>
    <mergeCell ref="V638:V639"/>
    <mergeCell ref="W638:W639"/>
    <mergeCell ref="M638:M639"/>
    <mergeCell ref="AC640:AC641"/>
    <mergeCell ref="X640:X641"/>
    <mergeCell ref="Y640:Y641"/>
    <mergeCell ref="Z640:Z641"/>
    <mergeCell ref="AA640:AA641"/>
    <mergeCell ref="AB638:AB639"/>
    <mergeCell ref="AC638:AC639"/>
    <mergeCell ref="X638:X639"/>
    <mergeCell ref="Y638:Y639"/>
    <mergeCell ref="H636:H637"/>
    <mergeCell ref="I636:I637"/>
    <mergeCell ref="J636:J637"/>
    <mergeCell ref="N636:N637"/>
    <mergeCell ref="O636:O637"/>
    <mergeCell ref="J640:J641"/>
    <mergeCell ref="K640:K641"/>
    <mergeCell ref="N638:N639"/>
    <mergeCell ref="O638:O639"/>
    <mergeCell ref="L638:L639"/>
    <mergeCell ref="U640:U641"/>
    <mergeCell ref="AD636:AD637"/>
    <mergeCell ref="C638:C639"/>
    <mergeCell ref="D638:D639"/>
    <mergeCell ref="E638:E639"/>
    <mergeCell ref="F638:F639"/>
    <mergeCell ref="G638:G639"/>
    <mergeCell ref="AD638:AD639"/>
    <mergeCell ref="P636:P637"/>
    <mergeCell ref="Q636:Q637"/>
    <mergeCell ref="AB640:AB641"/>
    <mergeCell ref="P638:P639"/>
    <mergeCell ref="Q638:Q639"/>
    <mergeCell ref="R638:R639"/>
    <mergeCell ref="S638:S639"/>
    <mergeCell ref="P642:P643"/>
    <mergeCell ref="S642:S643"/>
    <mergeCell ref="T642:T643"/>
    <mergeCell ref="U642:U643"/>
    <mergeCell ref="T640:T641"/>
    <mergeCell ref="E640:E641"/>
    <mergeCell ref="F640:F641"/>
    <mergeCell ref="AC642:AC643"/>
    <mergeCell ref="AD642:AD643"/>
    <mergeCell ref="W642:W643"/>
    <mergeCell ref="X642:X643"/>
    <mergeCell ref="Y642:Y643"/>
    <mergeCell ref="Z642:Z643"/>
    <mergeCell ref="AA642:AA643"/>
    <mergeCell ref="AB642:AB643"/>
    <mergeCell ref="G640:G641"/>
    <mergeCell ref="H640:H641"/>
    <mergeCell ref="C644:C645"/>
    <mergeCell ref="D644:D645"/>
    <mergeCell ref="E644:E645"/>
    <mergeCell ref="F644:F645"/>
    <mergeCell ref="G644:G645"/>
    <mergeCell ref="H644:H645"/>
    <mergeCell ref="C640:C641"/>
    <mergeCell ref="D640:D641"/>
    <mergeCell ref="C642:C643"/>
    <mergeCell ref="D642:D643"/>
    <mergeCell ref="E642:E643"/>
    <mergeCell ref="F642:F643"/>
    <mergeCell ref="O644:O645"/>
    <mergeCell ref="P644:P645"/>
    <mergeCell ref="K644:K645"/>
    <mergeCell ref="I640:I641"/>
    <mergeCell ref="V640:V641"/>
    <mergeCell ref="W640:W641"/>
    <mergeCell ref="M642:M643"/>
    <mergeCell ref="N642:N643"/>
    <mergeCell ref="L640:L641"/>
    <mergeCell ref="M640:M641"/>
    <mergeCell ref="N640:N641"/>
    <mergeCell ref="P640:P641"/>
    <mergeCell ref="Q640:Q641"/>
    <mergeCell ref="AD640:AD641"/>
    <mergeCell ref="O642:O643"/>
    <mergeCell ref="T644:T645"/>
    <mergeCell ref="U644:U645"/>
    <mergeCell ref="R640:R641"/>
    <mergeCell ref="S640:S641"/>
    <mergeCell ref="O640:O641"/>
    <mergeCell ref="Q642:Q643"/>
    <mergeCell ref="R642:R643"/>
    <mergeCell ref="V642:V643"/>
    <mergeCell ref="M646:M647"/>
    <mergeCell ref="R644:R645"/>
    <mergeCell ref="R646:R647"/>
    <mergeCell ref="S646:S647"/>
    <mergeCell ref="T646:T647"/>
    <mergeCell ref="U646:U647"/>
    <mergeCell ref="S644:S645"/>
    <mergeCell ref="N646:N647"/>
    <mergeCell ref="O646:O647"/>
    <mergeCell ref="AD646:AD647"/>
    <mergeCell ref="AC646:AC647"/>
    <mergeCell ref="I644:I645"/>
    <mergeCell ref="J644:J645"/>
    <mergeCell ref="AD644:AD645"/>
    <mergeCell ref="Q644:Q645"/>
    <mergeCell ref="V644:V645"/>
    <mergeCell ref="L646:L647"/>
    <mergeCell ref="AB644:AB645"/>
    <mergeCell ref="AC644:AC645"/>
    <mergeCell ref="Z644:Z645"/>
    <mergeCell ref="AA644:AA645"/>
    <mergeCell ref="M644:M645"/>
    <mergeCell ref="N644:N645"/>
    <mergeCell ref="W644:W645"/>
    <mergeCell ref="X644:X645"/>
    <mergeCell ref="Y644:Y645"/>
    <mergeCell ref="G642:G643"/>
    <mergeCell ref="H642:H643"/>
    <mergeCell ref="I642:I643"/>
    <mergeCell ref="J642:J643"/>
    <mergeCell ref="K642:K643"/>
    <mergeCell ref="L642:L643"/>
    <mergeCell ref="L644:L645"/>
    <mergeCell ref="P646:P647"/>
    <mergeCell ref="Q646:Q647"/>
    <mergeCell ref="G650:G651"/>
    <mergeCell ref="C652:C653"/>
    <mergeCell ref="D652:D653"/>
    <mergeCell ref="E652:E653"/>
    <mergeCell ref="F652:F653"/>
    <mergeCell ref="G652:G653"/>
    <mergeCell ref="C650:C651"/>
    <mergeCell ref="D650:D651"/>
    <mergeCell ref="AB648:AB649"/>
    <mergeCell ref="AC648:AC649"/>
    <mergeCell ref="H650:H651"/>
    <mergeCell ref="I650:I651"/>
    <mergeCell ref="J650:J651"/>
    <mergeCell ref="K650:K651"/>
    <mergeCell ref="T650:T651"/>
    <mergeCell ref="U650:U651"/>
    <mergeCell ref="AB650:AB651"/>
    <mergeCell ref="AC650:AC651"/>
    <mergeCell ref="G648:G649"/>
    <mergeCell ref="H648:H649"/>
    <mergeCell ref="AD648:AD649"/>
    <mergeCell ref="V646:V647"/>
    <mergeCell ref="W646:W647"/>
    <mergeCell ref="X646:X647"/>
    <mergeCell ref="Y646:Y647"/>
    <mergeCell ref="Z646:Z647"/>
    <mergeCell ref="AA646:AA647"/>
    <mergeCell ref="AB646:AB647"/>
    <mergeCell ref="AD650:AD651"/>
    <mergeCell ref="C646:C647"/>
    <mergeCell ref="D646:D647"/>
    <mergeCell ref="E646:E647"/>
    <mergeCell ref="F646:F647"/>
    <mergeCell ref="G646:G647"/>
    <mergeCell ref="H646:H647"/>
    <mergeCell ref="I646:I647"/>
    <mergeCell ref="J646:J647"/>
    <mergeCell ref="K646:K647"/>
    <mergeCell ref="Q648:Q649"/>
    <mergeCell ref="R648:R649"/>
    <mergeCell ref="S648:S649"/>
    <mergeCell ref="L648:L649"/>
    <mergeCell ref="M648:M649"/>
    <mergeCell ref="N648:N649"/>
    <mergeCell ref="O648:O649"/>
    <mergeCell ref="I648:I649"/>
    <mergeCell ref="J648:J649"/>
    <mergeCell ref="K648:K649"/>
    <mergeCell ref="T648:T649"/>
    <mergeCell ref="U648:U649"/>
    <mergeCell ref="C648:C649"/>
    <mergeCell ref="D648:D649"/>
    <mergeCell ref="E648:E649"/>
    <mergeCell ref="F648:F649"/>
    <mergeCell ref="P648:P649"/>
    <mergeCell ref="V650:V651"/>
    <mergeCell ref="N650:N651"/>
    <mergeCell ref="O650:O651"/>
    <mergeCell ref="E650:E651"/>
    <mergeCell ref="F650:F651"/>
    <mergeCell ref="L650:L651"/>
    <mergeCell ref="M650:M651"/>
    <mergeCell ref="Y648:Y649"/>
    <mergeCell ref="Z650:Z651"/>
    <mergeCell ref="AA650:AA651"/>
    <mergeCell ref="P650:P651"/>
    <mergeCell ref="Q650:Q651"/>
    <mergeCell ref="R650:R651"/>
    <mergeCell ref="S650:S651"/>
    <mergeCell ref="W650:W651"/>
    <mergeCell ref="X650:X651"/>
    <mergeCell ref="Y650:Y651"/>
    <mergeCell ref="Z648:Z649"/>
    <mergeCell ref="AA648:AA649"/>
    <mergeCell ref="T652:T653"/>
    <mergeCell ref="U652:U653"/>
    <mergeCell ref="V652:V653"/>
    <mergeCell ref="Y652:Y653"/>
    <mergeCell ref="W652:W653"/>
    <mergeCell ref="V648:V649"/>
    <mergeCell ref="W648:W649"/>
    <mergeCell ref="X648:X649"/>
    <mergeCell ref="N654:N655"/>
    <mergeCell ref="T654:T655"/>
    <mergeCell ref="U654:U655"/>
    <mergeCell ref="V654:V655"/>
    <mergeCell ref="W654:W655"/>
    <mergeCell ref="P652:P653"/>
    <mergeCell ref="Q652:Q653"/>
    <mergeCell ref="R652:R653"/>
    <mergeCell ref="S652:S653"/>
    <mergeCell ref="H654:H655"/>
    <mergeCell ref="I654:I655"/>
    <mergeCell ref="J654:J655"/>
    <mergeCell ref="K654:K655"/>
    <mergeCell ref="L654:L655"/>
    <mergeCell ref="M654:M655"/>
    <mergeCell ref="O654:O655"/>
    <mergeCell ref="X654:X655"/>
    <mergeCell ref="Y654:Y655"/>
    <mergeCell ref="Z654:Z655"/>
    <mergeCell ref="AC652:AC653"/>
    <mergeCell ref="AB654:AB655"/>
    <mergeCell ref="AC654:AC655"/>
    <mergeCell ref="AA654:AA655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X652:X653"/>
    <mergeCell ref="AD652:AD653"/>
    <mergeCell ref="C654:C655"/>
    <mergeCell ref="D654:D655"/>
    <mergeCell ref="E654:E655"/>
    <mergeCell ref="F654:F655"/>
    <mergeCell ref="G654:G655"/>
    <mergeCell ref="AD654:AD655"/>
    <mergeCell ref="Z652:Z653"/>
    <mergeCell ref="AA652:AA653"/>
    <mergeCell ref="AB652:AB653"/>
    <mergeCell ref="V658:V659"/>
    <mergeCell ref="P654:P655"/>
    <mergeCell ref="Q654:Q655"/>
    <mergeCell ref="R654:R655"/>
    <mergeCell ref="S654:S655"/>
    <mergeCell ref="T656:T657"/>
    <mergeCell ref="U656:U657"/>
    <mergeCell ref="V656:V657"/>
    <mergeCell ref="Q658:Q659"/>
    <mergeCell ref="R658:R659"/>
    <mergeCell ref="I656:I657"/>
    <mergeCell ref="J656:J657"/>
    <mergeCell ref="AB658:AB659"/>
    <mergeCell ref="AC658:AC659"/>
    <mergeCell ref="AD658:AD659"/>
    <mergeCell ref="W658:W659"/>
    <mergeCell ref="X658:X659"/>
    <mergeCell ref="Y658:Y659"/>
    <mergeCell ref="Z658:Z659"/>
    <mergeCell ref="AA658:AA659"/>
    <mergeCell ref="C656:C657"/>
    <mergeCell ref="D656:D657"/>
    <mergeCell ref="E656:E657"/>
    <mergeCell ref="E658:E659"/>
    <mergeCell ref="G656:G657"/>
    <mergeCell ref="H656:H657"/>
    <mergeCell ref="D658:D659"/>
    <mergeCell ref="L660:L661"/>
    <mergeCell ref="M660:M661"/>
    <mergeCell ref="N660:N661"/>
    <mergeCell ref="J658:J659"/>
    <mergeCell ref="L656:L657"/>
    <mergeCell ref="M656:M657"/>
    <mergeCell ref="N656:N657"/>
    <mergeCell ref="F658:F659"/>
    <mergeCell ref="G658:G659"/>
    <mergeCell ref="G660:G661"/>
    <mergeCell ref="H660:H661"/>
    <mergeCell ref="I660:I661"/>
    <mergeCell ref="J660:J661"/>
    <mergeCell ref="O656:O657"/>
    <mergeCell ref="C660:C661"/>
    <mergeCell ref="D660:D661"/>
    <mergeCell ref="E660:E661"/>
    <mergeCell ref="F660:F661"/>
    <mergeCell ref="C658:C659"/>
    <mergeCell ref="AP672:AS673"/>
    <mergeCell ref="AE674:AF674"/>
    <mergeCell ref="AG674:AH674"/>
    <mergeCell ref="AI674:AJ674"/>
    <mergeCell ref="AP674:AQ674"/>
    <mergeCell ref="AK672:AL674"/>
    <mergeCell ref="P656:P657"/>
    <mergeCell ref="Q656:Q657"/>
    <mergeCell ref="T658:T659"/>
    <mergeCell ref="U658:U659"/>
    <mergeCell ref="F656:F657"/>
    <mergeCell ref="K656:K657"/>
    <mergeCell ref="O658:O659"/>
    <mergeCell ref="P658:P659"/>
    <mergeCell ref="H658:H659"/>
    <mergeCell ref="I658:I659"/>
    <mergeCell ref="AD656:AD657"/>
    <mergeCell ref="X660:X661"/>
    <mergeCell ref="Y660:Y661"/>
    <mergeCell ref="Z660:Z661"/>
    <mergeCell ref="AA660:AA661"/>
    <mergeCell ref="R660:R661"/>
    <mergeCell ref="S660:S661"/>
    <mergeCell ref="R656:R657"/>
    <mergeCell ref="S656:S657"/>
    <mergeCell ref="S658:S659"/>
    <mergeCell ref="W656:W657"/>
    <mergeCell ref="AB656:AB657"/>
    <mergeCell ref="AC656:AC657"/>
    <mergeCell ref="X656:X657"/>
    <mergeCell ref="Y656:Y657"/>
    <mergeCell ref="Z656:Z657"/>
    <mergeCell ref="AA656:AA657"/>
    <mergeCell ref="K658:K659"/>
    <mergeCell ref="L658:L659"/>
    <mergeCell ref="M658:M659"/>
    <mergeCell ref="N658:N659"/>
    <mergeCell ref="O660:O661"/>
    <mergeCell ref="P660:P661"/>
    <mergeCell ref="T660:T661"/>
    <mergeCell ref="U660:U661"/>
    <mergeCell ref="V660:V661"/>
    <mergeCell ref="W660:W661"/>
    <mergeCell ref="Q660:Q661"/>
    <mergeCell ref="K660:K661"/>
    <mergeCell ref="AM672:AM674"/>
    <mergeCell ref="AN672:AO674"/>
    <mergeCell ref="AB660:AB661"/>
    <mergeCell ref="AC660:AC661"/>
    <mergeCell ref="AD660:AD661"/>
    <mergeCell ref="AE672:AJ673"/>
  </mergeCells>
  <phoneticPr fontId="73" type="noConversion"/>
  <printOptions verticalCentered="1"/>
  <pageMargins left="0" right="0" top="0.59055118110236227" bottom="0.39370078740157483" header="0" footer="0"/>
  <pageSetup paperSize="9" scale="29" fitToHeight="12" orientation="landscape" r:id="rId1"/>
  <headerFooter alignWithMargins="0"/>
  <rowBreaks count="6" manualBreakCount="6">
    <brk id="56" min="2" max="25" man="1"/>
    <brk id="184" min="2" max="25" man="1"/>
    <brk id="251" min="2" max="25" man="1"/>
    <brk id="454" min="2" max="25" man="1"/>
    <brk id="590" min="2" max="25" man="1"/>
    <brk id="661" min="2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Q91"/>
  <sheetViews>
    <sheetView view="pageBreakPreview" zoomScale="75" zoomScaleNormal="100" zoomScaleSheetLayoutView="75" workbookViewId="0">
      <pane xSplit="8" ySplit="5" topLeftCell="CO6" activePane="bottomRight" state="frozen"/>
      <selection pane="topRight" activeCell="I1" sqref="I1"/>
      <selection pane="bottomLeft" activeCell="A9" sqref="A9"/>
      <selection pane="bottomRight" activeCell="B25" sqref="B25"/>
    </sheetView>
  </sheetViews>
  <sheetFormatPr defaultRowHeight="15.75"/>
  <cols>
    <col min="1" max="1" width="61.85546875" customWidth="1"/>
    <col min="2" max="2" width="7.7109375" style="616" bestFit="1" customWidth="1"/>
    <col min="3" max="3" width="10.28515625" bestFit="1" customWidth="1"/>
    <col min="4" max="4" width="9.28515625" bestFit="1" customWidth="1"/>
    <col min="5" max="5" width="10.140625" bestFit="1" customWidth="1"/>
    <col min="6" max="6" width="14.140625" bestFit="1" customWidth="1"/>
    <col min="7" max="7" width="8.85546875" bestFit="1" customWidth="1"/>
    <col min="8" max="8" width="11.42578125" bestFit="1" customWidth="1"/>
    <col min="9" max="9" width="7.7109375" bestFit="1" customWidth="1"/>
    <col min="10" max="10" width="8.85546875" bestFit="1" customWidth="1"/>
    <col min="11" max="11" width="8" bestFit="1" customWidth="1"/>
    <col min="12" max="13" width="9" bestFit="1" customWidth="1"/>
    <col min="14" max="14" width="8.7109375" bestFit="1" customWidth="1"/>
    <col min="15" max="15" width="9.5703125" bestFit="1" customWidth="1"/>
    <col min="16" max="17" width="8.7109375" bestFit="1" customWidth="1"/>
    <col min="18" max="18" width="10.42578125" bestFit="1" customWidth="1"/>
    <col min="19" max="19" width="11.42578125" bestFit="1" customWidth="1"/>
    <col min="20" max="20" width="8" bestFit="1" customWidth="1"/>
    <col min="21" max="22" width="9" bestFit="1" customWidth="1"/>
    <col min="23" max="23" width="8.7109375" bestFit="1" customWidth="1"/>
    <col min="24" max="24" width="5.7109375" bestFit="1" customWidth="1"/>
    <col min="25" max="25" width="8.7109375" bestFit="1" customWidth="1"/>
    <col min="26" max="26" width="3.140625" bestFit="1" customWidth="1"/>
    <col min="27" max="27" width="5.140625" bestFit="1" customWidth="1"/>
    <col min="28" max="28" width="11.140625" bestFit="1" customWidth="1"/>
    <col min="29" max="29" width="7.85546875" bestFit="1" customWidth="1"/>
    <col min="30" max="31" width="8.85546875" bestFit="1" customWidth="1"/>
    <col min="32" max="32" width="8.5703125" bestFit="1" customWidth="1"/>
    <col min="33" max="33" width="5.7109375" bestFit="1" customWidth="1"/>
    <col min="34" max="34" width="8.5703125" bestFit="1" customWidth="1"/>
    <col min="35" max="35" width="3.140625" bestFit="1" customWidth="1"/>
    <col min="36" max="36" width="5.140625" bestFit="1" customWidth="1"/>
    <col min="37" max="37" width="11.42578125" bestFit="1" customWidth="1"/>
    <col min="38" max="38" width="7.85546875" bestFit="1" customWidth="1"/>
    <col min="39" max="40" width="8.85546875" bestFit="1" customWidth="1"/>
    <col min="41" max="41" width="8.5703125" bestFit="1" customWidth="1"/>
    <col min="42" max="42" width="5.7109375" bestFit="1" customWidth="1"/>
    <col min="43" max="43" width="8.5703125" bestFit="1" customWidth="1"/>
    <col min="44" max="44" width="3.140625" bestFit="1" customWidth="1"/>
    <col min="45" max="45" width="5.140625" bestFit="1" customWidth="1"/>
    <col min="46" max="46" width="11.42578125" bestFit="1" customWidth="1"/>
    <col min="47" max="47" width="7.85546875" bestFit="1" customWidth="1"/>
    <col min="48" max="49" width="8.85546875" bestFit="1" customWidth="1"/>
    <col min="50" max="50" width="8.42578125" bestFit="1" customWidth="1"/>
    <col min="51" max="51" width="5.42578125" bestFit="1" customWidth="1"/>
    <col min="52" max="52" width="8.42578125" bestFit="1" customWidth="1"/>
    <col min="53" max="53" width="3" bestFit="1" customWidth="1"/>
    <col min="54" max="54" width="5" bestFit="1" customWidth="1"/>
    <col min="55" max="55" width="10" bestFit="1" customWidth="1"/>
    <col min="56" max="56" width="7.7109375" bestFit="1" customWidth="1"/>
    <col min="57" max="58" width="8.7109375" bestFit="1" customWidth="1"/>
    <col min="59" max="59" width="8.42578125" bestFit="1" customWidth="1"/>
    <col min="60" max="60" width="5.42578125" bestFit="1" customWidth="1"/>
    <col min="61" max="61" width="8.42578125" bestFit="1" customWidth="1"/>
    <col min="62" max="62" width="3" bestFit="1" customWidth="1"/>
    <col min="63" max="63" width="5.140625" bestFit="1" customWidth="1"/>
    <col min="64" max="64" width="10" bestFit="1" customWidth="1"/>
    <col min="65" max="65" width="7.7109375" bestFit="1" customWidth="1"/>
    <col min="66" max="67" width="8.7109375" bestFit="1" customWidth="1"/>
    <col min="68" max="68" width="8.42578125" bestFit="1" customWidth="1"/>
    <col min="69" max="69" width="5.42578125" bestFit="1" customWidth="1"/>
    <col min="70" max="70" width="8.42578125" bestFit="1" customWidth="1"/>
    <col min="71" max="71" width="3" bestFit="1" customWidth="1"/>
    <col min="72" max="72" width="5" bestFit="1" customWidth="1"/>
    <col min="73" max="73" width="10" bestFit="1" customWidth="1"/>
    <col min="74" max="74" width="7.7109375" bestFit="1" customWidth="1"/>
    <col min="75" max="76" width="8.7109375" bestFit="1" customWidth="1"/>
    <col min="77" max="77" width="8.42578125" bestFit="1" customWidth="1"/>
    <col min="78" max="78" width="5.42578125" bestFit="1" customWidth="1"/>
    <col min="79" max="79" width="8.42578125" bestFit="1" customWidth="1"/>
    <col min="80" max="80" width="3" bestFit="1" customWidth="1"/>
    <col min="81" max="81" width="5.140625" bestFit="1" customWidth="1"/>
    <col min="82" max="82" width="10" bestFit="1" customWidth="1"/>
    <col min="83" max="83" width="7.7109375" bestFit="1" customWidth="1"/>
    <col min="84" max="85" width="8.7109375" bestFit="1" customWidth="1"/>
    <col min="86" max="86" width="8.42578125" bestFit="1" customWidth="1"/>
    <col min="87" max="87" width="5.42578125" bestFit="1" customWidth="1"/>
    <col min="88" max="88" width="8.42578125" bestFit="1" customWidth="1"/>
    <col min="89" max="89" width="3" bestFit="1" customWidth="1"/>
    <col min="90" max="90" width="5.140625" bestFit="1" customWidth="1"/>
    <col min="91" max="91" width="10" bestFit="1" customWidth="1"/>
    <col min="92" max="92" width="7.7109375" bestFit="1" customWidth="1"/>
    <col min="93" max="94" width="8.7109375" bestFit="1" customWidth="1"/>
    <col min="95" max="95" width="8.42578125" bestFit="1" customWidth="1"/>
    <col min="96" max="96" width="5.42578125" bestFit="1" customWidth="1"/>
    <col min="97" max="97" width="8.42578125" bestFit="1" customWidth="1"/>
    <col min="98" max="98" width="3" bestFit="1" customWidth="1"/>
    <col min="99" max="99" width="5" bestFit="1" customWidth="1"/>
    <col min="100" max="100" width="10" bestFit="1" customWidth="1"/>
    <col min="101" max="101" width="7.7109375" bestFit="1" customWidth="1"/>
    <col min="102" max="103" width="8.7109375" bestFit="1" customWidth="1"/>
    <col min="104" max="104" width="8.42578125" bestFit="1" customWidth="1"/>
    <col min="105" max="105" width="5.42578125" bestFit="1" customWidth="1"/>
    <col min="106" max="106" width="8.42578125" bestFit="1" customWidth="1"/>
    <col min="107" max="107" width="3" bestFit="1" customWidth="1"/>
    <col min="108" max="108" width="5" bestFit="1" customWidth="1"/>
    <col min="109" max="109" width="10" bestFit="1" customWidth="1"/>
    <col min="110" max="110" width="7.7109375" bestFit="1" customWidth="1"/>
    <col min="111" max="112" width="8.7109375" bestFit="1" customWidth="1"/>
    <col min="113" max="113" width="8.42578125" bestFit="1" customWidth="1"/>
    <col min="114" max="114" width="5.42578125" bestFit="1" customWidth="1"/>
    <col min="115" max="115" width="8.42578125" bestFit="1" customWidth="1"/>
    <col min="116" max="116" width="3" bestFit="1" customWidth="1"/>
    <col min="117" max="117" width="7.140625" bestFit="1" customWidth="1"/>
    <col min="118" max="118" width="12" bestFit="1" customWidth="1"/>
    <col min="119" max="119" width="10.42578125" style="716" bestFit="1" customWidth="1"/>
    <col min="120" max="121" width="9.140625" style="716"/>
  </cols>
  <sheetData>
    <row r="1" spans="1:121" s="545" customFormat="1">
      <c r="A1" s="546" t="s">
        <v>1135</v>
      </c>
      <c r="B1" s="612"/>
      <c r="C1" s="538"/>
      <c r="D1" s="539"/>
      <c r="E1" s="539"/>
      <c r="F1" s="539"/>
      <c r="G1" s="537"/>
      <c r="H1" s="540"/>
      <c r="I1" s="539"/>
      <c r="J1" s="539"/>
      <c r="K1" s="539"/>
      <c r="L1" s="539"/>
      <c r="M1" s="539"/>
      <c r="N1" s="539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2"/>
      <c r="AH1" s="541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4"/>
      <c r="DN1" s="544"/>
      <c r="DO1" s="710"/>
      <c r="DP1" s="710"/>
      <c r="DQ1" s="710"/>
    </row>
    <row r="2" spans="1:121" s="620" customFormat="1" ht="26.25">
      <c r="A2" s="621"/>
      <c r="B2" s="637"/>
      <c r="C2" s="638"/>
      <c r="D2" s="617" t="s">
        <v>1090</v>
      </c>
      <c r="E2" s="617" t="s">
        <v>1091</v>
      </c>
      <c r="F2" s="617" t="s">
        <v>56</v>
      </c>
      <c r="G2" s="617" t="s">
        <v>1092</v>
      </c>
      <c r="H2" s="639" t="s">
        <v>1093</v>
      </c>
      <c r="I2" s="1183" t="s">
        <v>947</v>
      </c>
      <c r="J2" s="1184"/>
      <c r="K2" s="1184"/>
      <c r="L2" s="1184"/>
      <c r="M2" s="1184"/>
      <c r="N2" s="1184"/>
      <c r="O2" s="1184"/>
      <c r="P2" s="1184"/>
      <c r="Q2" s="1185"/>
      <c r="R2" s="1183" t="s">
        <v>948</v>
      </c>
      <c r="S2" s="1184"/>
      <c r="T2" s="1184"/>
      <c r="U2" s="1184"/>
      <c r="V2" s="1184"/>
      <c r="W2" s="1184"/>
      <c r="X2" s="1184"/>
      <c r="Y2" s="1184"/>
      <c r="Z2" s="1185"/>
      <c r="AA2" s="1183" t="s">
        <v>949</v>
      </c>
      <c r="AB2" s="1184"/>
      <c r="AC2" s="1184"/>
      <c r="AD2" s="1184"/>
      <c r="AE2" s="1184"/>
      <c r="AF2" s="1184"/>
      <c r="AG2" s="1184"/>
      <c r="AH2" s="1184"/>
      <c r="AI2" s="1185"/>
      <c r="AJ2" s="1183" t="s">
        <v>950</v>
      </c>
      <c r="AK2" s="1184"/>
      <c r="AL2" s="1184"/>
      <c r="AM2" s="1184"/>
      <c r="AN2" s="1184"/>
      <c r="AO2" s="1184"/>
      <c r="AP2" s="1184"/>
      <c r="AQ2" s="1184"/>
      <c r="AR2" s="1185"/>
      <c r="AS2" s="1183" t="s">
        <v>951</v>
      </c>
      <c r="AT2" s="1184"/>
      <c r="AU2" s="1184"/>
      <c r="AV2" s="1184"/>
      <c r="AW2" s="1184"/>
      <c r="AX2" s="1184"/>
      <c r="AY2" s="1184"/>
      <c r="AZ2" s="1184"/>
      <c r="BA2" s="1185"/>
      <c r="BB2" s="1183" t="s">
        <v>952</v>
      </c>
      <c r="BC2" s="1184"/>
      <c r="BD2" s="1184"/>
      <c r="BE2" s="1184"/>
      <c r="BF2" s="1184"/>
      <c r="BG2" s="1184"/>
      <c r="BH2" s="1184"/>
      <c r="BI2" s="1184"/>
      <c r="BJ2" s="1185"/>
      <c r="BK2" s="1183" t="s">
        <v>953</v>
      </c>
      <c r="BL2" s="1184"/>
      <c r="BM2" s="1184"/>
      <c r="BN2" s="1184"/>
      <c r="BO2" s="1184"/>
      <c r="BP2" s="1184"/>
      <c r="BQ2" s="1184"/>
      <c r="BR2" s="1184"/>
      <c r="BS2" s="1185"/>
      <c r="BT2" s="1183" t="s">
        <v>954</v>
      </c>
      <c r="BU2" s="1184"/>
      <c r="BV2" s="1184"/>
      <c r="BW2" s="1184"/>
      <c r="BX2" s="1184"/>
      <c r="BY2" s="1184"/>
      <c r="BZ2" s="1184"/>
      <c r="CA2" s="1184"/>
      <c r="CB2" s="1185"/>
      <c r="CC2" s="1183" t="s">
        <v>955</v>
      </c>
      <c r="CD2" s="1184"/>
      <c r="CE2" s="1184"/>
      <c r="CF2" s="1184"/>
      <c r="CG2" s="1184"/>
      <c r="CH2" s="1184"/>
      <c r="CI2" s="1184"/>
      <c r="CJ2" s="1184"/>
      <c r="CK2" s="1185"/>
      <c r="CL2" s="1183" t="s">
        <v>956</v>
      </c>
      <c r="CM2" s="1184"/>
      <c r="CN2" s="1184"/>
      <c r="CO2" s="1184"/>
      <c r="CP2" s="1184"/>
      <c r="CQ2" s="1184"/>
      <c r="CR2" s="1184"/>
      <c r="CS2" s="1184"/>
      <c r="CT2" s="1185"/>
      <c r="CU2" s="1183" t="s">
        <v>957</v>
      </c>
      <c r="CV2" s="1184"/>
      <c r="CW2" s="1184"/>
      <c r="CX2" s="1184"/>
      <c r="CY2" s="1184"/>
      <c r="CZ2" s="1184"/>
      <c r="DA2" s="1184"/>
      <c r="DB2" s="1184"/>
      <c r="DC2" s="1185"/>
      <c r="DD2" s="1183" t="s">
        <v>958</v>
      </c>
      <c r="DE2" s="1184"/>
      <c r="DF2" s="1184"/>
      <c r="DG2" s="1184"/>
      <c r="DH2" s="1184"/>
      <c r="DI2" s="1184"/>
      <c r="DJ2" s="1184"/>
      <c r="DK2" s="1184"/>
      <c r="DL2" s="1185"/>
      <c r="DM2" s="619" t="s">
        <v>1094</v>
      </c>
      <c r="DN2" s="618" t="s">
        <v>1130</v>
      </c>
      <c r="DO2" s="677"/>
      <c r="DP2" s="677"/>
      <c r="DQ2" s="677"/>
    </row>
    <row r="3" spans="1:121" s="702" customFormat="1" ht="34.5">
      <c r="A3" s="697"/>
      <c r="B3" s="697"/>
      <c r="C3" s="698"/>
      <c r="D3" s="697"/>
      <c r="E3" s="697"/>
      <c r="F3" s="697"/>
      <c r="G3" s="697"/>
      <c r="H3" s="699"/>
      <c r="I3" s="636" t="s">
        <v>1095</v>
      </c>
      <c r="J3" s="700" t="s">
        <v>1096</v>
      </c>
      <c r="K3" s="700" t="s">
        <v>1097</v>
      </c>
      <c r="L3" s="700" t="s">
        <v>1098</v>
      </c>
      <c r="M3" s="701" t="s">
        <v>1099</v>
      </c>
      <c r="N3" s="701" t="s">
        <v>1100</v>
      </c>
      <c r="O3" s="701" t="s">
        <v>1095</v>
      </c>
      <c r="P3" s="701" t="s">
        <v>1101</v>
      </c>
      <c r="Q3" s="701"/>
      <c r="R3" s="700" t="s">
        <v>1095</v>
      </c>
      <c r="S3" s="700" t="s">
        <v>1096</v>
      </c>
      <c r="T3" s="700" t="s">
        <v>1097</v>
      </c>
      <c r="U3" s="700" t="s">
        <v>1098</v>
      </c>
      <c r="V3" s="701" t="s">
        <v>1099</v>
      </c>
      <c r="W3" s="701" t="s">
        <v>1100</v>
      </c>
      <c r="X3" s="701" t="s">
        <v>1095</v>
      </c>
      <c r="Y3" s="701" t="s">
        <v>1101</v>
      </c>
      <c r="Z3" s="701"/>
      <c r="AA3" s="700" t="s">
        <v>1095</v>
      </c>
      <c r="AB3" s="700" t="s">
        <v>1096</v>
      </c>
      <c r="AC3" s="700" t="s">
        <v>1097</v>
      </c>
      <c r="AD3" s="700" t="s">
        <v>1098</v>
      </c>
      <c r="AE3" s="701" t="s">
        <v>1099</v>
      </c>
      <c r="AF3" s="701" t="s">
        <v>1100</v>
      </c>
      <c r="AG3" s="701" t="s">
        <v>1095</v>
      </c>
      <c r="AH3" s="701" t="s">
        <v>1101</v>
      </c>
      <c r="AI3" s="701"/>
      <c r="AJ3" s="700" t="s">
        <v>1095</v>
      </c>
      <c r="AK3" s="700" t="s">
        <v>1096</v>
      </c>
      <c r="AL3" s="700" t="s">
        <v>1097</v>
      </c>
      <c r="AM3" s="700" t="s">
        <v>1098</v>
      </c>
      <c r="AN3" s="701" t="s">
        <v>1099</v>
      </c>
      <c r="AO3" s="701" t="s">
        <v>1100</v>
      </c>
      <c r="AP3" s="701" t="s">
        <v>1095</v>
      </c>
      <c r="AQ3" s="701" t="s">
        <v>1101</v>
      </c>
      <c r="AR3" s="701"/>
      <c r="AS3" s="700" t="s">
        <v>1095</v>
      </c>
      <c r="AT3" s="700" t="s">
        <v>1096</v>
      </c>
      <c r="AU3" s="700" t="s">
        <v>1097</v>
      </c>
      <c r="AV3" s="700" t="s">
        <v>1098</v>
      </c>
      <c r="AW3" s="701" t="s">
        <v>1099</v>
      </c>
      <c r="AX3" s="701" t="s">
        <v>1100</v>
      </c>
      <c r="AY3" s="701" t="s">
        <v>1095</v>
      </c>
      <c r="AZ3" s="701" t="s">
        <v>1101</v>
      </c>
      <c r="BA3" s="701"/>
      <c r="BB3" s="700" t="s">
        <v>1095</v>
      </c>
      <c r="BC3" s="700" t="s">
        <v>1096</v>
      </c>
      <c r="BD3" s="700" t="s">
        <v>1097</v>
      </c>
      <c r="BE3" s="700" t="s">
        <v>1098</v>
      </c>
      <c r="BF3" s="701" t="s">
        <v>1099</v>
      </c>
      <c r="BG3" s="701" t="s">
        <v>1100</v>
      </c>
      <c r="BH3" s="701" t="s">
        <v>1095</v>
      </c>
      <c r="BI3" s="701" t="s">
        <v>1101</v>
      </c>
      <c r="BJ3" s="701"/>
      <c r="BK3" s="700" t="s">
        <v>1095</v>
      </c>
      <c r="BL3" s="700" t="s">
        <v>1096</v>
      </c>
      <c r="BM3" s="700" t="s">
        <v>1097</v>
      </c>
      <c r="BN3" s="700" t="s">
        <v>1098</v>
      </c>
      <c r="BO3" s="701" t="s">
        <v>1099</v>
      </c>
      <c r="BP3" s="701" t="s">
        <v>1100</v>
      </c>
      <c r="BQ3" s="701" t="s">
        <v>1095</v>
      </c>
      <c r="BR3" s="701" t="s">
        <v>1101</v>
      </c>
      <c r="BS3" s="701"/>
      <c r="BT3" s="700" t="s">
        <v>1095</v>
      </c>
      <c r="BU3" s="700" t="s">
        <v>1096</v>
      </c>
      <c r="BV3" s="700" t="s">
        <v>1097</v>
      </c>
      <c r="BW3" s="700" t="s">
        <v>1098</v>
      </c>
      <c r="BX3" s="701" t="s">
        <v>1099</v>
      </c>
      <c r="BY3" s="701" t="s">
        <v>1100</v>
      </c>
      <c r="BZ3" s="701" t="s">
        <v>1095</v>
      </c>
      <c r="CA3" s="701" t="s">
        <v>1101</v>
      </c>
      <c r="CB3" s="701"/>
      <c r="CC3" s="700" t="s">
        <v>1095</v>
      </c>
      <c r="CD3" s="700" t="s">
        <v>1096</v>
      </c>
      <c r="CE3" s="700" t="s">
        <v>1097</v>
      </c>
      <c r="CF3" s="700" t="s">
        <v>1098</v>
      </c>
      <c r="CG3" s="701" t="s">
        <v>1099</v>
      </c>
      <c r="CH3" s="701" t="s">
        <v>1100</v>
      </c>
      <c r="CI3" s="701" t="s">
        <v>1095</v>
      </c>
      <c r="CJ3" s="701" t="s">
        <v>1101</v>
      </c>
      <c r="CK3" s="701"/>
      <c r="CL3" s="700" t="s">
        <v>1095</v>
      </c>
      <c r="CM3" s="700" t="s">
        <v>1096</v>
      </c>
      <c r="CN3" s="700" t="s">
        <v>1097</v>
      </c>
      <c r="CO3" s="700" t="s">
        <v>1098</v>
      </c>
      <c r="CP3" s="701" t="s">
        <v>1099</v>
      </c>
      <c r="CQ3" s="701" t="s">
        <v>1100</v>
      </c>
      <c r="CR3" s="701" t="s">
        <v>1095</v>
      </c>
      <c r="CS3" s="701" t="s">
        <v>1101</v>
      </c>
      <c r="CT3" s="701"/>
      <c r="CU3" s="700" t="s">
        <v>1095</v>
      </c>
      <c r="CV3" s="700" t="s">
        <v>1096</v>
      </c>
      <c r="CW3" s="700" t="s">
        <v>1097</v>
      </c>
      <c r="CX3" s="700" t="s">
        <v>1096</v>
      </c>
      <c r="CY3" s="701" t="s">
        <v>1099</v>
      </c>
      <c r="CZ3" s="701" t="s">
        <v>1100</v>
      </c>
      <c r="DA3" s="701" t="s">
        <v>1095</v>
      </c>
      <c r="DB3" s="701" t="s">
        <v>1101</v>
      </c>
      <c r="DC3" s="701"/>
      <c r="DD3" s="700" t="s">
        <v>1095</v>
      </c>
      <c r="DE3" s="700" t="s">
        <v>1096</v>
      </c>
      <c r="DF3" s="700" t="s">
        <v>1097</v>
      </c>
      <c r="DG3" s="700" t="s">
        <v>1098</v>
      </c>
      <c r="DH3" s="701" t="s">
        <v>1099</v>
      </c>
      <c r="DI3" s="701" t="s">
        <v>1100</v>
      </c>
      <c r="DJ3" s="701" t="s">
        <v>1095</v>
      </c>
      <c r="DK3" s="701" t="s">
        <v>1101</v>
      </c>
      <c r="DL3" s="701"/>
      <c r="DM3" s="697"/>
      <c r="DN3" s="697"/>
      <c r="DO3" s="677"/>
      <c r="DP3" s="677"/>
      <c r="DQ3" s="677"/>
    </row>
    <row r="4" spans="1:121" s="627" customFormat="1">
      <c r="A4" s="640" t="s">
        <v>1102</v>
      </c>
      <c r="B4" s="621"/>
      <c r="C4" s="641"/>
      <c r="D4" s="622"/>
      <c r="E4" s="622"/>
      <c r="F4" s="622"/>
      <c r="G4" s="625"/>
      <c r="H4" s="642"/>
      <c r="I4" s="557"/>
      <c r="J4" s="622"/>
      <c r="K4" s="622"/>
      <c r="L4" s="622"/>
      <c r="M4" s="622"/>
      <c r="N4" s="622"/>
      <c r="O4" s="622"/>
      <c r="P4" s="622"/>
      <c r="Q4" s="622">
        <v>2</v>
      </c>
      <c r="R4" s="622"/>
      <c r="S4" s="622"/>
      <c r="T4" s="622"/>
      <c r="U4" s="622"/>
      <c r="V4" s="622"/>
      <c r="W4" s="622"/>
      <c r="X4" s="622"/>
      <c r="Y4" s="622"/>
      <c r="Z4" s="623">
        <v>0</v>
      </c>
      <c r="AA4" s="622"/>
      <c r="AB4" s="622"/>
      <c r="AC4" s="622"/>
      <c r="AD4" s="622"/>
      <c r="AE4" s="623"/>
      <c r="AF4" s="623"/>
      <c r="AG4" s="622"/>
      <c r="AH4" s="622"/>
      <c r="AI4" s="622">
        <v>1</v>
      </c>
      <c r="AJ4" s="622"/>
      <c r="AK4" s="622"/>
      <c r="AL4" s="622"/>
      <c r="AM4" s="622"/>
      <c r="AN4" s="622"/>
      <c r="AO4" s="622"/>
      <c r="AP4" s="622"/>
      <c r="AQ4" s="622"/>
      <c r="AR4" s="622">
        <v>1</v>
      </c>
      <c r="AS4" s="622"/>
      <c r="AT4" s="622"/>
      <c r="AU4" s="622"/>
      <c r="AV4" s="622"/>
      <c r="AW4" s="622"/>
      <c r="AX4" s="622"/>
      <c r="AY4" s="622"/>
      <c r="AZ4" s="622"/>
      <c r="BA4" s="622">
        <v>2</v>
      </c>
      <c r="BB4" s="622"/>
      <c r="BC4" s="622"/>
      <c r="BD4" s="622"/>
      <c r="BE4" s="622"/>
      <c r="BF4" s="622"/>
      <c r="BG4" s="622"/>
      <c r="BH4" s="622"/>
      <c r="BI4" s="622"/>
      <c r="BJ4" s="622">
        <v>2</v>
      </c>
      <c r="BK4" s="622"/>
      <c r="BL4" s="622"/>
      <c r="BM4" s="622"/>
      <c r="BN4" s="622"/>
      <c r="BO4" s="622"/>
      <c r="BP4" s="622"/>
      <c r="BQ4" s="622"/>
      <c r="BR4" s="622"/>
      <c r="BS4" s="622">
        <v>0</v>
      </c>
      <c r="BT4" s="622"/>
      <c r="BU4" s="622"/>
      <c r="BV4" s="622"/>
      <c r="BW4" s="622"/>
      <c r="BX4" s="622"/>
      <c r="BY4" s="622"/>
      <c r="BZ4" s="622"/>
      <c r="CA4" s="622"/>
      <c r="CB4" s="622">
        <v>1</v>
      </c>
      <c r="CC4" s="622"/>
      <c r="CD4" s="622"/>
      <c r="CE4" s="622"/>
      <c r="CF4" s="622"/>
      <c r="CG4" s="622"/>
      <c r="CH4" s="622"/>
      <c r="CI4" s="622"/>
      <c r="CJ4" s="622"/>
      <c r="CK4" s="622">
        <v>0</v>
      </c>
      <c r="CL4" s="622"/>
      <c r="CM4" s="622"/>
      <c r="CN4" s="622"/>
      <c r="CO4" s="622"/>
      <c r="CP4" s="622"/>
      <c r="CQ4" s="622"/>
      <c r="CR4" s="622"/>
      <c r="CS4" s="622"/>
      <c r="CT4" s="622">
        <v>1</v>
      </c>
      <c r="CU4" s="622"/>
      <c r="CV4" s="622"/>
      <c r="CW4" s="622"/>
      <c r="CX4" s="622"/>
      <c r="CY4" s="622"/>
      <c r="CZ4" s="622"/>
      <c r="DA4" s="622"/>
      <c r="DB4" s="622"/>
      <c r="DC4" s="622">
        <v>0</v>
      </c>
      <c r="DD4" s="622"/>
      <c r="DE4" s="622"/>
      <c r="DF4" s="622"/>
      <c r="DG4" s="622"/>
      <c r="DH4" s="622"/>
      <c r="DI4" s="622"/>
      <c r="DJ4" s="622"/>
      <c r="DK4" s="622"/>
      <c r="DL4" s="622">
        <v>1</v>
      </c>
      <c r="DM4" s="625"/>
      <c r="DN4" s="626">
        <f>SUM(O4:DL4)</f>
        <v>11</v>
      </c>
      <c r="DO4" s="711"/>
      <c r="DP4" s="711"/>
      <c r="DQ4" s="711"/>
    </row>
    <row r="5" spans="1:121" s="627" customFormat="1">
      <c r="A5" s="643" t="s">
        <v>16</v>
      </c>
      <c r="B5" s="644"/>
      <c r="C5" s="645"/>
      <c r="D5" s="646"/>
      <c r="E5" s="646"/>
      <c r="F5" s="646"/>
      <c r="G5" s="647"/>
      <c r="H5" s="648"/>
      <c r="I5" s="564"/>
      <c r="J5" s="646"/>
      <c r="K5" s="646"/>
      <c r="L5" s="646"/>
      <c r="M5" s="646"/>
      <c r="N5" s="646"/>
      <c r="O5" s="622"/>
      <c r="P5" s="622"/>
      <c r="Q5" s="622"/>
      <c r="R5" s="646"/>
      <c r="S5" s="646"/>
      <c r="T5" s="646"/>
      <c r="U5" s="646"/>
      <c r="V5" s="622"/>
      <c r="W5" s="622"/>
      <c r="X5" s="622"/>
      <c r="Y5" s="622"/>
      <c r="Z5" s="623"/>
      <c r="AA5" s="646"/>
      <c r="AB5" s="646"/>
      <c r="AC5" s="646"/>
      <c r="AD5" s="646"/>
      <c r="AE5" s="623"/>
      <c r="AF5" s="623"/>
      <c r="AG5" s="622"/>
      <c r="AH5" s="622"/>
      <c r="AI5" s="628"/>
      <c r="AJ5" s="646"/>
      <c r="AK5" s="646"/>
      <c r="AL5" s="646"/>
      <c r="AM5" s="646"/>
      <c r="AN5" s="628"/>
      <c r="AO5" s="628"/>
      <c r="AP5" s="622"/>
      <c r="AQ5" s="622"/>
      <c r="AR5" s="628"/>
      <c r="AS5" s="646"/>
      <c r="AT5" s="646"/>
      <c r="AU5" s="646"/>
      <c r="AV5" s="646"/>
      <c r="AW5" s="628"/>
      <c r="AX5" s="628"/>
      <c r="AY5" s="622"/>
      <c r="AZ5" s="622"/>
      <c r="BA5" s="628"/>
      <c r="BB5" s="646"/>
      <c r="BC5" s="646"/>
      <c r="BD5" s="646"/>
      <c r="BE5" s="646"/>
      <c r="BF5" s="628"/>
      <c r="BG5" s="628"/>
      <c r="BH5" s="622"/>
      <c r="BI5" s="622"/>
      <c r="BJ5" s="628"/>
      <c r="BK5" s="646"/>
      <c r="BL5" s="646"/>
      <c r="BM5" s="646"/>
      <c r="BN5" s="646"/>
      <c r="BO5" s="628"/>
      <c r="BP5" s="628"/>
      <c r="BQ5" s="622"/>
      <c r="BR5" s="622"/>
      <c r="BS5" s="628"/>
      <c r="BT5" s="646"/>
      <c r="BU5" s="646"/>
      <c r="BV5" s="646"/>
      <c r="BW5" s="646"/>
      <c r="BX5" s="628"/>
      <c r="BY5" s="628"/>
      <c r="BZ5" s="622"/>
      <c r="CA5" s="622"/>
      <c r="CB5" s="628"/>
      <c r="CC5" s="646"/>
      <c r="CD5" s="646"/>
      <c r="CE5" s="646"/>
      <c r="CF5" s="646"/>
      <c r="CG5" s="628"/>
      <c r="CH5" s="628"/>
      <c r="CI5" s="622"/>
      <c r="CJ5" s="622"/>
      <c r="CK5" s="628"/>
      <c r="CL5" s="646"/>
      <c r="CM5" s="646"/>
      <c r="CN5" s="646"/>
      <c r="CO5" s="646"/>
      <c r="CP5" s="628"/>
      <c r="CQ5" s="628"/>
      <c r="CR5" s="622"/>
      <c r="CS5" s="622"/>
      <c r="CT5" s="628"/>
      <c r="CU5" s="646"/>
      <c r="CV5" s="646"/>
      <c r="CW5" s="646"/>
      <c r="CX5" s="646"/>
      <c r="CY5" s="628"/>
      <c r="CZ5" s="628"/>
      <c r="DA5" s="622"/>
      <c r="DB5" s="622"/>
      <c r="DC5" s="628"/>
      <c r="DD5" s="646"/>
      <c r="DE5" s="646"/>
      <c r="DF5" s="646"/>
      <c r="DG5" s="646"/>
      <c r="DH5" s="628"/>
      <c r="DI5" s="628"/>
      <c r="DJ5" s="622"/>
      <c r="DK5" s="622"/>
      <c r="DL5" s="628"/>
      <c r="DM5" s="625"/>
      <c r="DN5" s="626"/>
      <c r="DO5" s="711"/>
      <c r="DP5" s="711"/>
      <c r="DQ5" s="711"/>
    </row>
    <row r="6" spans="1:121" s="627" customFormat="1">
      <c r="A6" s="649" t="s">
        <v>1132</v>
      </c>
      <c r="B6" s="618">
        <f>2*11*24</f>
        <v>528</v>
      </c>
      <c r="C6" s="650">
        <v>0.35</v>
      </c>
      <c r="D6" s="651">
        <v>2</v>
      </c>
      <c r="E6" s="651">
        <f>D6*24</f>
        <v>48</v>
      </c>
      <c r="F6" s="651"/>
      <c r="G6" s="553"/>
      <c r="H6" s="652">
        <v>12</v>
      </c>
      <c r="I6" s="572">
        <v>6133</v>
      </c>
      <c r="J6" s="653">
        <f>I6/138.6</f>
        <v>44.249639249639252</v>
      </c>
      <c r="K6" s="654">
        <v>33</v>
      </c>
      <c r="L6" s="653">
        <f>J6</f>
        <v>44.249639249639252</v>
      </c>
      <c r="M6" s="651">
        <f>D6</f>
        <v>2</v>
      </c>
      <c r="N6" s="655">
        <f>M6*24*Q4</f>
        <v>96</v>
      </c>
      <c r="O6" s="629">
        <f>L6</f>
        <v>44.249639249639252</v>
      </c>
      <c r="P6" s="630">
        <f>N6*O6</f>
        <v>4247.9653679653684</v>
      </c>
      <c r="Q6" s="630"/>
      <c r="R6" s="651">
        <f>I6</f>
        <v>6133</v>
      </c>
      <c r="S6" s="654">
        <f>R6/138.6</f>
        <v>44.249639249639252</v>
      </c>
      <c r="T6" s="654">
        <v>33</v>
      </c>
      <c r="U6" s="653">
        <f>S6*C6</f>
        <v>15.487373737373737</v>
      </c>
      <c r="V6" s="651">
        <f>M6</f>
        <v>2</v>
      </c>
      <c r="W6" s="655">
        <f>V6*8*Z4</f>
        <v>0</v>
      </c>
      <c r="X6" s="629">
        <f>U6</f>
        <v>15.487373737373737</v>
      </c>
      <c r="Y6" s="630">
        <f>W6*X6</f>
        <v>0</v>
      </c>
      <c r="Z6" s="631"/>
      <c r="AA6" s="651">
        <f t="shared" ref="AA6:AA18" si="0">R6</f>
        <v>6133</v>
      </c>
      <c r="AB6" s="653">
        <f>AA6/132</f>
        <v>46.462121212121211</v>
      </c>
      <c r="AC6" s="654">
        <v>33</v>
      </c>
      <c r="AD6" s="653">
        <f>AB6</f>
        <v>46.462121212121211</v>
      </c>
      <c r="AE6" s="651">
        <f>V6</f>
        <v>2</v>
      </c>
      <c r="AF6" s="655">
        <f>AE6*24*AI4</f>
        <v>48</v>
      </c>
      <c r="AG6" s="629">
        <f>AD6</f>
        <v>46.462121212121211</v>
      </c>
      <c r="AH6" s="630">
        <f>AF6*AG6</f>
        <v>2230.181818181818</v>
      </c>
      <c r="AI6" s="632"/>
      <c r="AJ6" s="651">
        <f t="shared" ref="AJ6:AJ18" si="1">AA6</f>
        <v>6133</v>
      </c>
      <c r="AK6" s="654">
        <f>AJ6/138.6</f>
        <v>44.249639249639252</v>
      </c>
      <c r="AL6" s="654">
        <v>33</v>
      </c>
      <c r="AM6" s="653">
        <f>AK6</f>
        <v>44.249639249639252</v>
      </c>
      <c r="AN6" s="651">
        <f>AE6</f>
        <v>2</v>
      </c>
      <c r="AO6" s="655">
        <f>AN6*24*AR4</f>
        <v>48</v>
      </c>
      <c r="AP6" s="629">
        <f>AM6</f>
        <v>44.249639249639252</v>
      </c>
      <c r="AQ6" s="630">
        <f>AO6*AP6</f>
        <v>2123.9826839826842</v>
      </c>
      <c r="AR6" s="632"/>
      <c r="AS6" s="651">
        <f t="shared" ref="AS6:AS18" si="2">I6</f>
        <v>6133</v>
      </c>
      <c r="AT6" s="654">
        <f>AS6/125.4</f>
        <v>48.907496012759168</v>
      </c>
      <c r="AU6" s="654">
        <v>33</v>
      </c>
      <c r="AV6" s="653">
        <f>AT6</f>
        <v>48.907496012759168</v>
      </c>
      <c r="AW6" s="651">
        <f>AN6</f>
        <v>2</v>
      </c>
      <c r="AX6" s="655">
        <f>AW6*24*BA4</f>
        <v>96</v>
      </c>
      <c r="AY6" s="629">
        <f>AV6</f>
        <v>48.907496012759168</v>
      </c>
      <c r="AZ6" s="630">
        <f>AX6*AY6</f>
        <v>4695.1196172248801</v>
      </c>
      <c r="BA6" s="632"/>
      <c r="BB6" s="651">
        <f t="shared" ref="BB6:BB18" si="3">AS6</f>
        <v>6133</v>
      </c>
      <c r="BC6" s="653">
        <f>BB6/125.4</f>
        <v>48.907496012759168</v>
      </c>
      <c r="BD6" s="654">
        <v>33</v>
      </c>
      <c r="BE6" s="653">
        <f>BC6</f>
        <v>48.907496012759168</v>
      </c>
      <c r="BF6" s="651">
        <f>AW6</f>
        <v>2</v>
      </c>
      <c r="BG6" s="655">
        <f>BF6*24*BJ4</f>
        <v>96</v>
      </c>
      <c r="BH6" s="629">
        <f>BE6</f>
        <v>48.907496012759168</v>
      </c>
      <c r="BI6" s="630">
        <f>BG6*BH6</f>
        <v>4695.1196172248801</v>
      </c>
      <c r="BJ6" s="632"/>
      <c r="BK6" s="651">
        <f>BB6</f>
        <v>6133</v>
      </c>
      <c r="BL6" s="654">
        <f>BK6/151.8</f>
        <v>40.401844532279313</v>
      </c>
      <c r="BM6" s="654">
        <v>33</v>
      </c>
      <c r="BN6" s="653">
        <f>BL6</f>
        <v>40.401844532279313</v>
      </c>
      <c r="BO6" s="651">
        <f>BF6</f>
        <v>2</v>
      </c>
      <c r="BP6" s="655">
        <f>BO6*24*BS4</f>
        <v>0</v>
      </c>
      <c r="BQ6" s="629">
        <f>BN6</f>
        <v>40.401844532279313</v>
      </c>
      <c r="BR6" s="630">
        <f>BP6*BQ6</f>
        <v>0</v>
      </c>
      <c r="BS6" s="632"/>
      <c r="BT6" s="651">
        <f t="shared" ref="BT6:BT14" si="4">BK6</f>
        <v>6133</v>
      </c>
      <c r="BU6" s="654">
        <f>BT6/132</f>
        <v>46.462121212121211</v>
      </c>
      <c r="BV6" s="654">
        <v>33</v>
      </c>
      <c r="BW6" s="653">
        <f>BU6</f>
        <v>46.462121212121211</v>
      </c>
      <c r="BX6" s="651">
        <f>BO6</f>
        <v>2</v>
      </c>
      <c r="BY6" s="655">
        <f>BX6*24*CB4</f>
        <v>48</v>
      </c>
      <c r="BZ6" s="629">
        <f>BW6</f>
        <v>46.462121212121211</v>
      </c>
      <c r="CA6" s="630">
        <f>BY6*BZ6</f>
        <v>2230.181818181818</v>
      </c>
      <c r="CB6" s="632"/>
      <c r="CC6" s="651">
        <f>BT6</f>
        <v>6133</v>
      </c>
      <c r="CD6" s="654">
        <f>CC6/145.2</f>
        <v>42.23829201101929</v>
      </c>
      <c r="CE6" s="654">
        <v>33</v>
      </c>
      <c r="CF6" s="653">
        <f>CD6</f>
        <v>42.23829201101929</v>
      </c>
      <c r="CG6" s="651">
        <f>BX6</f>
        <v>2</v>
      </c>
      <c r="CH6" s="655">
        <f>CG6*24*CK4</f>
        <v>0</v>
      </c>
      <c r="CI6" s="629">
        <f>CF6</f>
        <v>42.23829201101929</v>
      </c>
      <c r="CJ6" s="630">
        <f>CH6*CI6</f>
        <v>0</v>
      </c>
      <c r="CK6" s="632"/>
      <c r="CL6" s="651">
        <v>6322</v>
      </c>
      <c r="CM6" s="654">
        <f>CL6/151.8</f>
        <v>41.64690382081686</v>
      </c>
      <c r="CN6" s="654">
        <v>33</v>
      </c>
      <c r="CO6" s="653">
        <f>CM6</f>
        <v>41.64690382081686</v>
      </c>
      <c r="CP6" s="651">
        <f>CG6</f>
        <v>2</v>
      </c>
      <c r="CQ6" s="655">
        <f>CP6*24*CT4</f>
        <v>48</v>
      </c>
      <c r="CR6" s="629">
        <f>CO6</f>
        <v>41.64690382081686</v>
      </c>
      <c r="CS6" s="630">
        <f>CQ6*CR6</f>
        <v>1999.0513833992093</v>
      </c>
      <c r="CT6" s="632"/>
      <c r="CU6" s="651">
        <f t="shared" ref="CU6:CU18" si="5">CL6</f>
        <v>6322</v>
      </c>
      <c r="CV6" s="654">
        <f>CU6/132</f>
        <v>47.893939393939391</v>
      </c>
      <c r="CW6" s="654">
        <v>33</v>
      </c>
      <c r="CX6" s="653">
        <f>CV6</f>
        <v>47.893939393939391</v>
      </c>
      <c r="CY6" s="651">
        <f>CP6</f>
        <v>2</v>
      </c>
      <c r="CZ6" s="655">
        <f>CY6*24*DC4</f>
        <v>0</v>
      </c>
      <c r="DA6" s="629">
        <f>CX6</f>
        <v>47.893939393939391</v>
      </c>
      <c r="DB6" s="630">
        <f>CZ6*DA6</f>
        <v>0</v>
      </c>
      <c r="DC6" s="632"/>
      <c r="DD6" s="651">
        <f t="shared" ref="DD6:DD18" si="6">CU6</f>
        <v>6322</v>
      </c>
      <c r="DE6" s="654">
        <f>DD6/151.8</f>
        <v>41.64690382081686</v>
      </c>
      <c r="DF6" s="654">
        <v>33</v>
      </c>
      <c r="DG6" s="653">
        <f>DE6</f>
        <v>41.64690382081686</v>
      </c>
      <c r="DH6" s="651">
        <f>CY6</f>
        <v>2</v>
      </c>
      <c r="DI6" s="655">
        <f>DH6*24*DL4</f>
        <v>48</v>
      </c>
      <c r="DJ6" s="629">
        <f>DG6</f>
        <v>41.64690382081686</v>
      </c>
      <c r="DK6" s="630">
        <f>DI6*DJ6</f>
        <v>1999.0513833992093</v>
      </c>
      <c r="DL6" s="632"/>
      <c r="DM6" s="633">
        <f>N6+W6+AF6+AO6+AX6+BG6+BP6+BY6+CH6+CQ6+CZ6+DI6</f>
        <v>528</v>
      </c>
      <c r="DN6" s="633">
        <f>P6+Y6+AH6+AQ6+AZ6+BI6+BR6+CA6+CJ6+CS6+DB6+DK6</f>
        <v>24220.653689559862</v>
      </c>
      <c r="DO6" s="712"/>
      <c r="DP6" s="711"/>
      <c r="DQ6" s="711"/>
    </row>
    <row r="7" spans="1:121" s="627" customFormat="1">
      <c r="A7" s="649" t="s">
        <v>1132</v>
      </c>
      <c r="B7" s="618">
        <f>2*10*24</f>
        <v>480</v>
      </c>
      <c r="C7" s="650">
        <v>0.5</v>
      </c>
      <c r="D7" s="651">
        <f>2</f>
        <v>2</v>
      </c>
      <c r="E7" s="651">
        <f>D7*24</f>
        <v>48</v>
      </c>
      <c r="F7" s="651"/>
      <c r="G7" s="553"/>
      <c r="H7" s="652">
        <v>13</v>
      </c>
      <c r="I7" s="572">
        <v>6567</v>
      </c>
      <c r="J7" s="653">
        <f>I7/161.7</f>
        <v>40.612244897959187</v>
      </c>
      <c r="K7" s="654">
        <v>38.5</v>
      </c>
      <c r="L7" s="653">
        <f>J7</f>
        <v>40.612244897959187</v>
      </c>
      <c r="M7" s="651">
        <f t="shared" ref="M7:M18" si="7">D7</f>
        <v>2</v>
      </c>
      <c r="N7" s="655">
        <f>M7*24*Q4</f>
        <v>96</v>
      </c>
      <c r="O7" s="629">
        <f>L7</f>
        <v>40.612244897959187</v>
      </c>
      <c r="P7" s="630">
        <f>N7*O7</f>
        <v>3898.7755102040819</v>
      </c>
      <c r="Q7" s="630"/>
      <c r="R7" s="651">
        <f t="shared" ref="R7:R18" si="8">I7</f>
        <v>6567</v>
      </c>
      <c r="S7" s="654">
        <f>R7/161.7</f>
        <v>40.612244897959187</v>
      </c>
      <c r="T7" s="654">
        <v>38.5</v>
      </c>
      <c r="U7" s="653">
        <f>S7*C7</f>
        <v>20.306122448979593</v>
      </c>
      <c r="V7" s="651">
        <f t="shared" ref="V7:V18" si="9">M7</f>
        <v>2</v>
      </c>
      <c r="W7" s="655">
        <f>V7*8*Z4</f>
        <v>0</v>
      </c>
      <c r="X7" s="629">
        <f>U7</f>
        <v>20.306122448979593</v>
      </c>
      <c r="Y7" s="630">
        <f>W7*X7</f>
        <v>0</v>
      </c>
      <c r="Z7" s="631"/>
      <c r="AA7" s="651">
        <f t="shared" si="0"/>
        <v>6567</v>
      </c>
      <c r="AB7" s="653">
        <f>AA7/154</f>
        <v>42.642857142857146</v>
      </c>
      <c r="AC7" s="654">
        <v>38.5</v>
      </c>
      <c r="AD7" s="653">
        <f>AB7</f>
        <v>42.642857142857146</v>
      </c>
      <c r="AE7" s="651">
        <f t="shared" ref="AE7:AE18" si="10">V7</f>
        <v>2</v>
      </c>
      <c r="AF7" s="655">
        <f>AE7*24*AI4</f>
        <v>48</v>
      </c>
      <c r="AG7" s="629">
        <f>AD7</f>
        <v>42.642857142857146</v>
      </c>
      <c r="AH7" s="630">
        <f>AF7*AG7</f>
        <v>2046.8571428571431</v>
      </c>
      <c r="AI7" s="632"/>
      <c r="AJ7" s="651">
        <f t="shared" si="1"/>
        <v>6567</v>
      </c>
      <c r="AK7" s="654">
        <f>AJ7/161.7</f>
        <v>40.612244897959187</v>
      </c>
      <c r="AL7" s="654">
        <v>38.5</v>
      </c>
      <c r="AM7" s="653">
        <f>AK7</f>
        <v>40.612244897959187</v>
      </c>
      <c r="AN7" s="651">
        <f t="shared" ref="AN7:AN18" si="11">AE7</f>
        <v>2</v>
      </c>
      <c r="AO7" s="655">
        <f>AN7*24*AR4</f>
        <v>48</v>
      </c>
      <c r="AP7" s="629">
        <f>AM7</f>
        <v>40.612244897959187</v>
      </c>
      <c r="AQ7" s="630">
        <f>AO7*AP7</f>
        <v>1949.387755102041</v>
      </c>
      <c r="AR7" s="632"/>
      <c r="AS7" s="651">
        <f t="shared" si="2"/>
        <v>6567</v>
      </c>
      <c r="AT7" s="654">
        <f>AS7/146.3</f>
        <v>44.887218045112782</v>
      </c>
      <c r="AU7" s="654">
        <v>38.5</v>
      </c>
      <c r="AV7" s="653">
        <f>AT7</f>
        <v>44.887218045112782</v>
      </c>
      <c r="AW7" s="651">
        <f t="shared" ref="AW7:AW18" si="12">AN7</f>
        <v>2</v>
      </c>
      <c r="AX7" s="655">
        <f>AW7*24*BA4</f>
        <v>96</v>
      </c>
      <c r="AY7" s="629">
        <f>AV7</f>
        <v>44.887218045112782</v>
      </c>
      <c r="AZ7" s="630">
        <f>AX7*AY7</f>
        <v>4309.1729323308273</v>
      </c>
      <c r="BA7" s="632"/>
      <c r="BB7" s="651">
        <f t="shared" si="3"/>
        <v>6567</v>
      </c>
      <c r="BC7" s="653">
        <f>BB7/146.3</f>
        <v>44.887218045112782</v>
      </c>
      <c r="BD7" s="654">
        <v>38.5</v>
      </c>
      <c r="BE7" s="653">
        <f>BC7</f>
        <v>44.887218045112782</v>
      </c>
      <c r="BF7" s="651">
        <f t="shared" ref="BF7:BF18" si="13">AW7</f>
        <v>2</v>
      </c>
      <c r="BG7" s="655">
        <f>BF7*24*BJ4</f>
        <v>96</v>
      </c>
      <c r="BH7" s="629">
        <f>BE7</f>
        <v>44.887218045112782</v>
      </c>
      <c r="BI7" s="630">
        <f>BG7*BH7</f>
        <v>4309.1729323308273</v>
      </c>
      <c r="BJ7" s="632"/>
      <c r="BK7" s="651">
        <f t="shared" ref="BK7:BK18" si="14">BB7</f>
        <v>6567</v>
      </c>
      <c r="BL7" s="654">
        <f>BK7/177.1</f>
        <v>37.080745341614907</v>
      </c>
      <c r="BM7" s="654">
        <v>38.5</v>
      </c>
      <c r="BN7" s="653">
        <f>BL7</f>
        <v>37.080745341614907</v>
      </c>
      <c r="BO7" s="651">
        <f t="shared" ref="BO7:BO18" si="15">BF7</f>
        <v>2</v>
      </c>
      <c r="BP7" s="655">
        <f>BO7*24*BS4</f>
        <v>0</v>
      </c>
      <c r="BQ7" s="629">
        <f>BN7</f>
        <v>37.080745341614907</v>
      </c>
      <c r="BR7" s="630">
        <f>BP7*BQ7</f>
        <v>0</v>
      </c>
      <c r="BS7" s="632"/>
      <c r="BT7" s="651">
        <f t="shared" si="4"/>
        <v>6567</v>
      </c>
      <c r="BU7" s="654">
        <f>BT7/154</f>
        <v>42.642857142857146</v>
      </c>
      <c r="BV7" s="654">
        <v>38.5</v>
      </c>
      <c r="BW7" s="653">
        <f>BU7</f>
        <v>42.642857142857146</v>
      </c>
      <c r="BX7" s="651">
        <f t="shared" ref="BX7:BX18" si="16">BO7</f>
        <v>2</v>
      </c>
      <c r="BY7" s="655">
        <f>BX7*24*CB4</f>
        <v>48</v>
      </c>
      <c r="BZ7" s="629">
        <f>BW7</f>
        <v>42.642857142857146</v>
      </c>
      <c r="CA7" s="630">
        <f>BY7*BZ7</f>
        <v>2046.8571428571431</v>
      </c>
      <c r="CB7" s="632"/>
      <c r="CC7" s="651">
        <f t="shared" ref="CC7:CC18" si="17">BT7</f>
        <v>6567</v>
      </c>
      <c r="CD7" s="654">
        <f>CC7/169.4</f>
        <v>38.766233766233768</v>
      </c>
      <c r="CE7" s="654">
        <v>38.5</v>
      </c>
      <c r="CF7" s="653">
        <f>CD7</f>
        <v>38.766233766233768</v>
      </c>
      <c r="CG7" s="651">
        <f t="shared" ref="CG7:CG18" si="18">BX7</f>
        <v>2</v>
      </c>
      <c r="CH7" s="655">
        <f>CG7*24*CK4</f>
        <v>0</v>
      </c>
      <c r="CI7" s="629">
        <f>CF7</f>
        <v>38.766233766233768</v>
      </c>
      <c r="CJ7" s="630">
        <f>CH7*CI7</f>
        <v>0</v>
      </c>
      <c r="CK7" s="632"/>
      <c r="CL7" s="651">
        <v>6769</v>
      </c>
      <c r="CM7" s="654">
        <f>CL7/177.1</f>
        <v>38.221343873517789</v>
      </c>
      <c r="CN7" s="654">
        <v>38.5</v>
      </c>
      <c r="CO7" s="653">
        <f>CM7</f>
        <v>38.221343873517789</v>
      </c>
      <c r="CP7" s="651">
        <f t="shared" ref="CP7:CP18" si="19">CG7</f>
        <v>2</v>
      </c>
      <c r="CQ7" s="655">
        <f>CP7*24*CT4</f>
        <v>48</v>
      </c>
      <c r="CR7" s="629">
        <f>CO7</f>
        <v>38.221343873517789</v>
      </c>
      <c r="CS7" s="630">
        <f>CQ7*CR7</f>
        <v>1834.624505928854</v>
      </c>
      <c r="CT7" s="632"/>
      <c r="CU7" s="651">
        <f t="shared" si="5"/>
        <v>6769</v>
      </c>
      <c r="CV7" s="654">
        <f>CU7/154</f>
        <v>43.954545454545453</v>
      </c>
      <c r="CW7" s="654">
        <v>38.5</v>
      </c>
      <c r="CX7" s="653">
        <f>CV7</f>
        <v>43.954545454545453</v>
      </c>
      <c r="CY7" s="651">
        <f t="shared" ref="CY7:CY18" si="20">CP7</f>
        <v>2</v>
      </c>
      <c r="CZ7" s="655">
        <f>CY7*24*DC4</f>
        <v>0</v>
      </c>
      <c r="DA7" s="629">
        <f>CX7</f>
        <v>43.954545454545453</v>
      </c>
      <c r="DB7" s="630">
        <f>CZ7*DA7</f>
        <v>0</v>
      </c>
      <c r="DC7" s="632"/>
      <c r="DD7" s="651">
        <f t="shared" si="6"/>
        <v>6769</v>
      </c>
      <c r="DE7" s="654">
        <f>DD7/177.1</f>
        <v>38.221343873517789</v>
      </c>
      <c r="DF7" s="654">
        <v>38.5</v>
      </c>
      <c r="DG7" s="653">
        <f>DE7</f>
        <v>38.221343873517789</v>
      </c>
      <c r="DH7" s="651">
        <f t="shared" ref="DH7:DH18" si="21">CY7</f>
        <v>2</v>
      </c>
      <c r="DI7" s="655">
        <f>DH7*24*DL4</f>
        <v>48</v>
      </c>
      <c r="DJ7" s="629">
        <f>DG7</f>
        <v>38.221343873517789</v>
      </c>
      <c r="DK7" s="630">
        <f>DI7*DJ7</f>
        <v>1834.624505928854</v>
      </c>
      <c r="DL7" s="632"/>
      <c r="DM7" s="633">
        <f>N7+W7+AF7+AO7+AX7+BG7+BP7+BY7+CH7+CQ7+CZ7+DI7</f>
        <v>528</v>
      </c>
      <c r="DN7" s="633">
        <f t="shared" ref="DN7:DN18" si="22">P7+Y7+AH7+AQ7+AZ7+BI7+BR7+CA7+CJ7+CS7+DB7+DK7</f>
        <v>22229.472427539775</v>
      </c>
      <c r="DO7" s="712"/>
      <c r="DP7" s="711"/>
      <c r="DQ7" s="711"/>
    </row>
    <row r="8" spans="1:121" s="627" customFormat="1">
      <c r="A8" s="643" t="s">
        <v>1103</v>
      </c>
      <c r="B8" s="644"/>
      <c r="C8" s="645"/>
      <c r="D8" s="646"/>
      <c r="E8" s="646"/>
      <c r="F8" s="646"/>
      <c r="G8" s="647"/>
      <c r="H8" s="648"/>
      <c r="I8" s="572">
        <f>F8</f>
        <v>0</v>
      </c>
      <c r="J8" s="656"/>
      <c r="K8" s="646"/>
      <c r="L8" s="653"/>
      <c r="M8" s="651">
        <f t="shared" si="7"/>
        <v>0</v>
      </c>
      <c r="N8" s="657"/>
      <c r="O8" s="629"/>
      <c r="P8" s="630"/>
      <c r="Q8" s="630"/>
      <c r="R8" s="651">
        <f t="shared" si="8"/>
        <v>0</v>
      </c>
      <c r="S8" s="646"/>
      <c r="T8" s="646"/>
      <c r="U8" s="653"/>
      <c r="V8" s="651">
        <f t="shared" si="9"/>
        <v>0</v>
      </c>
      <c r="W8" s="657"/>
      <c r="X8" s="629"/>
      <c r="Y8" s="630"/>
      <c r="Z8" s="631"/>
      <c r="AA8" s="651">
        <f t="shared" si="0"/>
        <v>0</v>
      </c>
      <c r="AB8" s="656"/>
      <c r="AC8" s="646"/>
      <c r="AD8" s="653"/>
      <c r="AE8" s="651">
        <f t="shared" si="10"/>
        <v>0</v>
      </c>
      <c r="AF8" s="657"/>
      <c r="AG8" s="629"/>
      <c r="AH8" s="630"/>
      <c r="AI8" s="632"/>
      <c r="AJ8" s="651">
        <f t="shared" si="1"/>
        <v>0</v>
      </c>
      <c r="AK8" s="646"/>
      <c r="AL8" s="646"/>
      <c r="AM8" s="653"/>
      <c r="AN8" s="651">
        <f t="shared" si="11"/>
        <v>0</v>
      </c>
      <c r="AO8" s="657"/>
      <c r="AP8" s="629"/>
      <c r="AQ8" s="630"/>
      <c r="AR8" s="632"/>
      <c r="AS8" s="651">
        <f t="shared" si="2"/>
        <v>0</v>
      </c>
      <c r="AT8" s="646"/>
      <c r="AU8" s="646"/>
      <c r="AV8" s="653"/>
      <c r="AW8" s="651">
        <f t="shared" si="12"/>
        <v>0</v>
      </c>
      <c r="AX8" s="657"/>
      <c r="AY8" s="629"/>
      <c r="AZ8" s="630"/>
      <c r="BA8" s="632"/>
      <c r="BB8" s="651">
        <f t="shared" si="3"/>
        <v>0</v>
      </c>
      <c r="BC8" s="656"/>
      <c r="BD8" s="646"/>
      <c r="BE8" s="653"/>
      <c r="BF8" s="651">
        <f t="shared" si="13"/>
        <v>0</v>
      </c>
      <c r="BG8" s="657"/>
      <c r="BH8" s="629"/>
      <c r="BI8" s="630"/>
      <c r="BJ8" s="632"/>
      <c r="BK8" s="651">
        <f t="shared" si="14"/>
        <v>0</v>
      </c>
      <c r="BL8" s="646"/>
      <c r="BM8" s="646"/>
      <c r="BN8" s="653"/>
      <c r="BO8" s="651">
        <f t="shared" si="15"/>
        <v>0</v>
      </c>
      <c r="BP8" s="657"/>
      <c r="BQ8" s="629"/>
      <c r="BR8" s="630"/>
      <c r="BS8" s="632"/>
      <c r="BT8" s="651">
        <f t="shared" si="4"/>
        <v>0</v>
      </c>
      <c r="BU8" s="646"/>
      <c r="BV8" s="646"/>
      <c r="BW8" s="653"/>
      <c r="BX8" s="651">
        <f t="shared" si="16"/>
        <v>0</v>
      </c>
      <c r="BY8" s="657"/>
      <c r="BZ8" s="629"/>
      <c r="CA8" s="630"/>
      <c r="CB8" s="632"/>
      <c r="CC8" s="651">
        <f t="shared" si="17"/>
        <v>0</v>
      </c>
      <c r="CD8" s="646"/>
      <c r="CE8" s="646"/>
      <c r="CF8" s="653"/>
      <c r="CG8" s="651">
        <f t="shared" si="18"/>
        <v>0</v>
      </c>
      <c r="CH8" s="657"/>
      <c r="CI8" s="629"/>
      <c r="CJ8" s="630"/>
      <c r="CK8" s="632"/>
      <c r="CL8" s="651">
        <f t="shared" ref="CL8:CL16" si="23">CC8</f>
        <v>0</v>
      </c>
      <c r="CM8" s="646"/>
      <c r="CN8" s="646"/>
      <c r="CO8" s="653"/>
      <c r="CP8" s="651">
        <f t="shared" si="19"/>
        <v>0</v>
      </c>
      <c r="CQ8" s="657"/>
      <c r="CR8" s="629"/>
      <c r="CS8" s="630"/>
      <c r="CT8" s="632"/>
      <c r="CU8" s="651">
        <f t="shared" si="5"/>
        <v>0</v>
      </c>
      <c r="CV8" s="646"/>
      <c r="CW8" s="646"/>
      <c r="CX8" s="653"/>
      <c r="CY8" s="651">
        <f t="shared" si="20"/>
        <v>0</v>
      </c>
      <c r="CZ8" s="657"/>
      <c r="DA8" s="629"/>
      <c r="DB8" s="630"/>
      <c r="DC8" s="632"/>
      <c r="DD8" s="651">
        <f t="shared" si="6"/>
        <v>0</v>
      </c>
      <c r="DE8" s="646"/>
      <c r="DF8" s="646"/>
      <c r="DG8" s="653"/>
      <c r="DH8" s="651">
        <f t="shared" si="21"/>
        <v>0</v>
      </c>
      <c r="DI8" s="657"/>
      <c r="DJ8" s="629"/>
      <c r="DK8" s="630"/>
      <c r="DL8" s="632"/>
      <c r="DM8" s="633"/>
      <c r="DN8" s="633">
        <f t="shared" si="22"/>
        <v>0</v>
      </c>
      <c r="DO8" s="712"/>
      <c r="DP8" s="711"/>
      <c r="DQ8" s="711"/>
    </row>
    <row r="9" spans="1:121" s="627" customFormat="1">
      <c r="A9" s="649" t="s">
        <v>1142</v>
      </c>
      <c r="B9" s="618">
        <f>7*11*24</f>
        <v>1848</v>
      </c>
      <c r="C9" s="650">
        <v>0.35</v>
      </c>
      <c r="D9" s="651">
        <v>7</v>
      </c>
      <c r="E9" s="651">
        <f>D9*24</f>
        <v>168</v>
      </c>
      <c r="F9" s="651"/>
      <c r="G9" s="553"/>
      <c r="H9" s="652">
        <v>9</v>
      </c>
      <c r="I9" s="572">
        <v>5005</v>
      </c>
      <c r="J9" s="653">
        <f>I9/161.7</f>
        <v>30.952380952380956</v>
      </c>
      <c r="K9" s="654">
        <v>38.5</v>
      </c>
      <c r="L9" s="653">
        <f>J9</f>
        <v>30.952380952380956</v>
      </c>
      <c r="M9" s="651">
        <f t="shared" si="7"/>
        <v>7</v>
      </c>
      <c r="N9" s="655">
        <f>M9*24*Q4</f>
        <v>336</v>
      </c>
      <c r="O9" s="629">
        <f>L9</f>
        <v>30.952380952380956</v>
      </c>
      <c r="P9" s="630">
        <f>N9*O9</f>
        <v>10400.000000000002</v>
      </c>
      <c r="Q9" s="630"/>
      <c r="R9" s="651">
        <f t="shared" si="8"/>
        <v>5005</v>
      </c>
      <c r="S9" s="654">
        <f>R9/161.7</f>
        <v>30.952380952380956</v>
      </c>
      <c r="T9" s="654">
        <v>38.5</v>
      </c>
      <c r="U9" s="653">
        <f>S9*C9</f>
        <v>10.833333333333334</v>
      </c>
      <c r="V9" s="651">
        <f t="shared" si="9"/>
        <v>7</v>
      </c>
      <c r="W9" s="655">
        <f>V9*8*Z4</f>
        <v>0</v>
      </c>
      <c r="X9" s="629">
        <f>U9</f>
        <v>10.833333333333334</v>
      </c>
      <c r="Y9" s="630">
        <f>W9*X9</f>
        <v>0</v>
      </c>
      <c r="Z9" s="631"/>
      <c r="AA9" s="651">
        <f t="shared" si="0"/>
        <v>5005</v>
      </c>
      <c r="AB9" s="653">
        <f>AA9/154</f>
        <v>32.5</v>
      </c>
      <c r="AC9" s="654">
        <v>38.5</v>
      </c>
      <c r="AD9" s="653">
        <f>AB9</f>
        <v>32.5</v>
      </c>
      <c r="AE9" s="651">
        <f t="shared" si="10"/>
        <v>7</v>
      </c>
      <c r="AF9" s="655">
        <f>AE9*24*AI4</f>
        <v>168</v>
      </c>
      <c r="AG9" s="629">
        <f>AD9</f>
        <v>32.5</v>
      </c>
      <c r="AH9" s="630">
        <f>AF9*AG9</f>
        <v>5460</v>
      </c>
      <c r="AI9" s="632"/>
      <c r="AJ9" s="651">
        <f t="shared" si="1"/>
        <v>5005</v>
      </c>
      <c r="AK9" s="654">
        <f>AJ9/161.7</f>
        <v>30.952380952380956</v>
      </c>
      <c r="AL9" s="654">
        <v>38.5</v>
      </c>
      <c r="AM9" s="653">
        <f>AK9</f>
        <v>30.952380952380956</v>
      </c>
      <c r="AN9" s="651">
        <f t="shared" si="11"/>
        <v>7</v>
      </c>
      <c r="AO9" s="655">
        <f>AN9*24*AR4</f>
        <v>168</v>
      </c>
      <c r="AP9" s="629">
        <f>AM9</f>
        <v>30.952380952380956</v>
      </c>
      <c r="AQ9" s="630">
        <f>AO9*AP9</f>
        <v>5200.0000000000009</v>
      </c>
      <c r="AR9" s="632"/>
      <c r="AS9" s="651">
        <f t="shared" si="2"/>
        <v>5005</v>
      </c>
      <c r="AT9" s="654">
        <f>AS9/146.3</f>
        <v>34.210526315789473</v>
      </c>
      <c r="AU9" s="654">
        <v>38.5</v>
      </c>
      <c r="AV9" s="653">
        <f>AT9</f>
        <v>34.210526315789473</v>
      </c>
      <c r="AW9" s="651">
        <f t="shared" si="12"/>
        <v>7</v>
      </c>
      <c r="AX9" s="655">
        <f>AW9*24*BA4</f>
        <v>336</v>
      </c>
      <c r="AY9" s="629">
        <f>AV9</f>
        <v>34.210526315789473</v>
      </c>
      <c r="AZ9" s="630">
        <f>AX9*AY9</f>
        <v>11494.736842105263</v>
      </c>
      <c r="BA9" s="632"/>
      <c r="BB9" s="651">
        <f t="shared" si="3"/>
        <v>5005</v>
      </c>
      <c r="BC9" s="653">
        <f>BB9/146.3</f>
        <v>34.210526315789473</v>
      </c>
      <c r="BD9" s="654">
        <v>38.5</v>
      </c>
      <c r="BE9" s="653">
        <f>BC9</f>
        <v>34.210526315789473</v>
      </c>
      <c r="BF9" s="651">
        <f t="shared" si="13"/>
        <v>7</v>
      </c>
      <c r="BG9" s="655">
        <f>BF9*24*BJ4</f>
        <v>336</v>
      </c>
      <c r="BH9" s="629">
        <f>BE9</f>
        <v>34.210526315789473</v>
      </c>
      <c r="BI9" s="630">
        <f>BG9*BH9</f>
        <v>11494.736842105263</v>
      </c>
      <c r="BJ9" s="632"/>
      <c r="BK9" s="651">
        <f t="shared" si="14"/>
        <v>5005</v>
      </c>
      <c r="BL9" s="654">
        <f>BK9/177.1</f>
        <v>28.260869565217391</v>
      </c>
      <c r="BM9" s="654">
        <v>38.5</v>
      </c>
      <c r="BN9" s="653">
        <f>BL9</f>
        <v>28.260869565217391</v>
      </c>
      <c r="BO9" s="651">
        <f t="shared" si="15"/>
        <v>7</v>
      </c>
      <c r="BP9" s="655">
        <f>BO9*24*BS4</f>
        <v>0</v>
      </c>
      <c r="BQ9" s="629">
        <f>BN9</f>
        <v>28.260869565217391</v>
      </c>
      <c r="BR9" s="630">
        <f>BP9*BQ9</f>
        <v>0</v>
      </c>
      <c r="BS9" s="632"/>
      <c r="BT9" s="651">
        <f t="shared" si="4"/>
        <v>5005</v>
      </c>
      <c r="BU9" s="654">
        <f>BT9/154</f>
        <v>32.5</v>
      </c>
      <c r="BV9" s="654">
        <v>38.5</v>
      </c>
      <c r="BW9" s="653">
        <f>BU9</f>
        <v>32.5</v>
      </c>
      <c r="BX9" s="651">
        <f t="shared" si="16"/>
        <v>7</v>
      </c>
      <c r="BY9" s="655">
        <f>BX9*24*CB4</f>
        <v>168</v>
      </c>
      <c r="BZ9" s="629">
        <f>BW9</f>
        <v>32.5</v>
      </c>
      <c r="CA9" s="630">
        <f>BY9*BZ9</f>
        <v>5460</v>
      </c>
      <c r="CB9" s="632"/>
      <c r="CC9" s="651">
        <f t="shared" si="17"/>
        <v>5005</v>
      </c>
      <c r="CD9" s="654">
        <f>CC9/169.4</f>
        <v>29.545454545454543</v>
      </c>
      <c r="CE9" s="654">
        <v>38.5</v>
      </c>
      <c r="CF9" s="653">
        <f>CD9</f>
        <v>29.545454545454543</v>
      </c>
      <c r="CG9" s="651">
        <f t="shared" si="18"/>
        <v>7</v>
      </c>
      <c r="CH9" s="655">
        <f>CG9*24*CK4</f>
        <v>0</v>
      </c>
      <c r="CI9" s="629">
        <f>CF9</f>
        <v>29.545454545454543</v>
      </c>
      <c r="CJ9" s="630">
        <f>CH9*CI9</f>
        <v>0</v>
      </c>
      <c r="CK9" s="632"/>
      <c r="CL9" s="651">
        <v>5159</v>
      </c>
      <c r="CM9" s="654">
        <f>CL9/177.1</f>
        <v>29.130434782608695</v>
      </c>
      <c r="CN9" s="654">
        <v>38.5</v>
      </c>
      <c r="CO9" s="653">
        <f>CM9</f>
        <v>29.130434782608695</v>
      </c>
      <c r="CP9" s="651">
        <f t="shared" si="19"/>
        <v>7</v>
      </c>
      <c r="CQ9" s="655">
        <f>CP9*24*CT4</f>
        <v>168</v>
      </c>
      <c r="CR9" s="629">
        <f>CO9</f>
        <v>29.130434782608695</v>
      </c>
      <c r="CS9" s="630">
        <f>CQ9*CR9</f>
        <v>4893.913043478261</v>
      </c>
      <c r="CT9" s="632"/>
      <c r="CU9" s="651">
        <f t="shared" si="5"/>
        <v>5159</v>
      </c>
      <c r="CV9" s="654">
        <f>CU9/154</f>
        <v>33.5</v>
      </c>
      <c r="CW9" s="654">
        <v>38.5</v>
      </c>
      <c r="CX9" s="653">
        <f>CV9</f>
        <v>33.5</v>
      </c>
      <c r="CY9" s="651">
        <f t="shared" si="20"/>
        <v>7</v>
      </c>
      <c r="CZ9" s="655">
        <f>CY9*24*DC4</f>
        <v>0</v>
      </c>
      <c r="DA9" s="629">
        <f>CX9</f>
        <v>33.5</v>
      </c>
      <c r="DB9" s="630">
        <f>CZ9*DA9</f>
        <v>0</v>
      </c>
      <c r="DC9" s="632"/>
      <c r="DD9" s="651">
        <f t="shared" si="6"/>
        <v>5159</v>
      </c>
      <c r="DE9" s="654">
        <f>DD9/177.1</f>
        <v>29.130434782608695</v>
      </c>
      <c r="DF9" s="654">
        <v>38.5</v>
      </c>
      <c r="DG9" s="653">
        <f>DE9</f>
        <v>29.130434782608695</v>
      </c>
      <c r="DH9" s="651">
        <f t="shared" si="21"/>
        <v>7</v>
      </c>
      <c r="DI9" s="655">
        <f>DH9*24*DL4</f>
        <v>168</v>
      </c>
      <c r="DJ9" s="629">
        <f>DG9</f>
        <v>29.130434782608695</v>
      </c>
      <c r="DK9" s="630">
        <f>DI9*DJ9</f>
        <v>4893.913043478261</v>
      </c>
      <c r="DL9" s="632"/>
      <c r="DM9" s="633">
        <f>N9+W9+AF9+AO9+AX9+BG9+BP9+BY9+CH9+CQ9+CZ9+DI9</f>
        <v>1848</v>
      </c>
      <c r="DN9" s="633">
        <f t="shared" si="22"/>
        <v>59297.299771167061</v>
      </c>
      <c r="DO9" s="712"/>
      <c r="DP9" s="711"/>
      <c r="DQ9" s="711"/>
    </row>
    <row r="10" spans="1:121" s="627" customFormat="1">
      <c r="A10" s="649" t="s">
        <v>1143</v>
      </c>
      <c r="B10" s="618">
        <f>5*11*24</f>
        <v>1320</v>
      </c>
      <c r="C10" s="650">
        <v>0.5</v>
      </c>
      <c r="D10" s="651">
        <v>5</v>
      </c>
      <c r="E10" s="651">
        <f>D10*24</f>
        <v>120</v>
      </c>
      <c r="F10" s="651"/>
      <c r="G10" s="553"/>
      <c r="H10" s="652">
        <v>10</v>
      </c>
      <c r="I10" s="572">
        <v>5265</v>
      </c>
      <c r="J10" s="653">
        <f>I10/161.7</f>
        <v>32.560296846011134</v>
      </c>
      <c r="K10" s="654">
        <v>38.5</v>
      </c>
      <c r="L10" s="653">
        <f>J10</f>
        <v>32.560296846011134</v>
      </c>
      <c r="M10" s="651">
        <f t="shared" si="7"/>
        <v>5</v>
      </c>
      <c r="N10" s="655">
        <f>M10*24*Q4</f>
        <v>240</v>
      </c>
      <c r="O10" s="629">
        <f>L10</f>
        <v>32.560296846011134</v>
      </c>
      <c r="P10" s="630">
        <f>N10*O10</f>
        <v>7814.4712430426725</v>
      </c>
      <c r="Q10" s="630"/>
      <c r="R10" s="651">
        <f t="shared" si="8"/>
        <v>5265</v>
      </c>
      <c r="S10" s="654">
        <f>R10/161.7</f>
        <v>32.560296846011134</v>
      </c>
      <c r="T10" s="654">
        <v>38.5</v>
      </c>
      <c r="U10" s="653">
        <f>S10*C10</f>
        <v>16.280148423005567</v>
      </c>
      <c r="V10" s="651">
        <f t="shared" si="9"/>
        <v>5</v>
      </c>
      <c r="W10" s="655">
        <f>V10*8*Z4</f>
        <v>0</v>
      </c>
      <c r="X10" s="629">
        <f>U10</f>
        <v>16.280148423005567</v>
      </c>
      <c r="Y10" s="630">
        <f>W10*X10</f>
        <v>0</v>
      </c>
      <c r="Z10" s="631"/>
      <c r="AA10" s="651">
        <f t="shared" si="0"/>
        <v>5265</v>
      </c>
      <c r="AB10" s="653">
        <f>AA10/154</f>
        <v>34.188311688311686</v>
      </c>
      <c r="AC10" s="654">
        <v>38.5</v>
      </c>
      <c r="AD10" s="653">
        <f>AB10</f>
        <v>34.188311688311686</v>
      </c>
      <c r="AE10" s="651">
        <f t="shared" si="10"/>
        <v>5</v>
      </c>
      <c r="AF10" s="655">
        <f>AE10*24*AI4</f>
        <v>120</v>
      </c>
      <c r="AG10" s="629">
        <f>AD10</f>
        <v>34.188311688311686</v>
      </c>
      <c r="AH10" s="630">
        <f>AF10*AG10</f>
        <v>4102.5974025974019</v>
      </c>
      <c r="AI10" s="632"/>
      <c r="AJ10" s="651">
        <f t="shared" si="1"/>
        <v>5265</v>
      </c>
      <c r="AK10" s="654">
        <f>AJ10/161.7</f>
        <v>32.560296846011134</v>
      </c>
      <c r="AL10" s="654">
        <v>38.5</v>
      </c>
      <c r="AM10" s="653">
        <f>AK10</f>
        <v>32.560296846011134</v>
      </c>
      <c r="AN10" s="651">
        <f t="shared" si="11"/>
        <v>5</v>
      </c>
      <c r="AO10" s="655">
        <f>AN10*24*AR4</f>
        <v>120</v>
      </c>
      <c r="AP10" s="629">
        <f>AM10</f>
        <v>32.560296846011134</v>
      </c>
      <c r="AQ10" s="630">
        <f>AO10*AP10</f>
        <v>3907.2356215213363</v>
      </c>
      <c r="AR10" s="632"/>
      <c r="AS10" s="651">
        <f t="shared" si="2"/>
        <v>5265</v>
      </c>
      <c r="AT10" s="654">
        <f>AS10/146.3</f>
        <v>35.987696514012299</v>
      </c>
      <c r="AU10" s="654">
        <v>38.5</v>
      </c>
      <c r="AV10" s="653">
        <f>AT10</f>
        <v>35.987696514012299</v>
      </c>
      <c r="AW10" s="651">
        <f t="shared" si="12"/>
        <v>5</v>
      </c>
      <c r="AX10" s="655">
        <f>AW10*24*BA4</f>
        <v>240</v>
      </c>
      <c r="AY10" s="629">
        <f>AV10</f>
        <v>35.987696514012299</v>
      </c>
      <c r="AZ10" s="630">
        <f>AX10*AY10</f>
        <v>8637.0471633629513</v>
      </c>
      <c r="BA10" s="632"/>
      <c r="BB10" s="651">
        <f t="shared" si="3"/>
        <v>5265</v>
      </c>
      <c r="BC10" s="653">
        <f>BB10/146.3</f>
        <v>35.987696514012299</v>
      </c>
      <c r="BD10" s="654">
        <v>38.5</v>
      </c>
      <c r="BE10" s="653">
        <f>BC10</f>
        <v>35.987696514012299</v>
      </c>
      <c r="BF10" s="651">
        <f t="shared" si="13"/>
        <v>5</v>
      </c>
      <c r="BG10" s="655">
        <f>BF10*24*BJ4</f>
        <v>240</v>
      </c>
      <c r="BH10" s="629">
        <f>BE10</f>
        <v>35.987696514012299</v>
      </c>
      <c r="BI10" s="630">
        <f>BG10*BH10</f>
        <v>8637.0471633629513</v>
      </c>
      <c r="BJ10" s="632"/>
      <c r="BK10" s="651">
        <f t="shared" si="14"/>
        <v>5265</v>
      </c>
      <c r="BL10" s="654">
        <f>BK10/177.1</f>
        <v>29.728966685488427</v>
      </c>
      <c r="BM10" s="654">
        <v>38.5</v>
      </c>
      <c r="BN10" s="653">
        <f>BL10</f>
        <v>29.728966685488427</v>
      </c>
      <c r="BO10" s="651">
        <f t="shared" si="15"/>
        <v>5</v>
      </c>
      <c r="BP10" s="655">
        <f>BO10*24*BS4</f>
        <v>0</v>
      </c>
      <c r="BQ10" s="629">
        <f>BN10</f>
        <v>29.728966685488427</v>
      </c>
      <c r="BR10" s="630">
        <f>BP10*BQ10</f>
        <v>0</v>
      </c>
      <c r="BS10" s="632"/>
      <c r="BT10" s="651">
        <f t="shared" si="4"/>
        <v>5265</v>
      </c>
      <c r="BU10" s="654">
        <f>BT10/154</f>
        <v>34.188311688311686</v>
      </c>
      <c r="BV10" s="654">
        <v>38.5</v>
      </c>
      <c r="BW10" s="653">
        <f>BU10</f>
        <v>34.188311688311686</v>
      </c>
      <c r="BX10" s="651">
        <f t="shared" si="16"/>
        <v>5</v>
      </c>
      <c r="BY10" s="655">
        <f>BX10*24*CB4</f>
        <v>120</v>
      </c>
      <c r="BZ10" s="629">
        <f>BW10</f>
        <v>34.188311688311686</v>
      </c>
      <c r="CA10" s="630">
        <f>BY10*BZ10</f>
        <v>4102.5974025974019</v>
      </c>
      <c r="CB10" s="632"/>
      <c r="CC10" s="651">
        <f t="shared" si="17"/>
        <v>5265</v>
      </c>
      <c r="CD10" s="654">
        <f>CC10/169.4</f>
        <v>31.080283353010625</v>
      </c>
      <c r="CE10" s="654">
        <v>38.5</v>
      </c>
      <c r="CF10" s="653">
        <f>CD10</f>
        <v>31.080283353010625</v>
      </c>
      <c r="CG10" s="651">
        <f t="shared" si="18"/>
        <v>5</v>
      </c>
      <c r="CH10" s="655">
        <f>CG10*24*CK4</f>
        <v>0</v>
      </c>
      <c r="CI10" s="629">
        <f>CF10</f>
        <v>31.080283353010625</v>
      </c>
      <c r="CJ10" s="630">
        <f>CH10*CI10</f>
        <v>0</v>
      </c>
      <c r="CK10" s="632"/>
      <c r="CL10" s="651">
        <v>5427</v>
      </c>
      <c r="CM10" s="654">
        <f>CL10/177.1</f>
        <v>30.643704121964994</v>
      </c>
      <c r="CN10" s="654">
        <v>38.5</v>
      </c>
      <c r="CO10" s="653">
        <f>CM10</f>
        <v>30.643704121964994</v>
      </c>
      <c r="CP10" s="651">
        <f t="shared" si="19"/>
        <v>5</v>
      </c>
      <c r="CQ10" s="655">
        <f>CP10*24*CT4</f>
        <v>120</v>
      </c>
      <c r="CR10" s="629">
        <f>CO10</f>
        <v>30.643704121964994</v>
      </c>
      <c r="CS10" s="630">
        <f>CQ10*CR10</f>
        <v>3677.2444946357991</v>
      </c>
      <c r="CT10" s="632"/>
      <c r="CU10" s="651">
        <f t="shared" si="5"/>
        <v>5427</v>
      </c>
      <c r="CV10" s="654">
        <f>CU10/154</f>
        <v>35.240259740259738</v>
      </c>
      <c r="CW10" s="654">
        <v>38.5</v>
      </c>
      <c r="CX10" s="653">
        <f>CV10</f>
        <v>35.240259740259738</v>
      </c>
      <c r="CY10" s="651">
        <f t="shared" si="20"/>
        <v>5</v>
      </c>
      <c r="CZ10" s="655">
        <f>CY10*24*DC4</f>
        <v>0</v>
      </c>
      <c r="DA10" s="629">
        <f>CX10</f>
        <v>35.240259740259738</v>
      </c>
      <c r="DB10" s="630">
        <f>CZ10*DA10</f>
        <v>0</v>
      </c>
      <c r="DC10" s="632"/>
      <c r="DD10" s="651">
        <f t="shared" si="6"/>
        <v>5427</v>
      </c>
      <c r="DE10" s="654">
        <f>DD10/177.1</f>
        <v>30.643704121964994</v>
      </c>
      <c r="DF10" s="654">
        <v>38.5</v>
      </c>
      <c r="DG10" s="653">
        <f>DE10</f>
        <v>30.643704121964994</v>
      </c>
      <c r="DH10" s="651">
        <f t="shared" si="21"/>
        <v>5</v>
      </c>
      <c r="DI10" s="655">
        <f>DH10*24*DL4</f>
        <v>120</v>
      </c>
      <c r="DJ10" s="629">
        <f>DG10</f>
        <v>30.643704121964994</v>
      </c>
      <c r="DK10" s="630">
        <f>DI10*DJ10</f>
        <v>3677.2444946357991</v>
      </c>
      <c r="DL10" s="632"/>
      <c r="DM10" s="633">
        <f>N10+W10+AF10+AO10+AX10+BG10+BP10+BY10+CH10+CQ10+CZ10+DI10</f>
        <v>1320</v>
      </c>
      <c r="DN10" s="633">
        <f t="shared" si="22"/>
        <v>44555.484985756317</v>
      </c>
      <c r="DO10" s="712"/>
      <c r="DP10" s="711"/>
      <c r="DQ10" s="711"/>
    </row>
    <row r="11" spans="1:121" s="627" customFormat="1">
      <c r="A11" s="643" t="s">
        <v>1104</v>
      </c>
      <c r="B11" s="644"/>
      <c r="C11" s="645"/>
      <c r="D11" s="646"/>
      <c r="E11" s="646"/>
      <c r="F11" s="646"/>
      <c r="G11" s="647"/>
      <c r="H11" s="648"/>
      <c r="I11" s="572">
        <f>F11</f>
        <v>0</v>
      </c>
      <c r="J11" s="656"/>
      <c r="K11" s="646"/>
      <c r="L11" s="653"/>
      <c r="M11" s="651">
        <f t="shared" si="7"/>
        <v>0</v>
      </c>
      <c r="N11" s="657"/>
      <c r="O11" s="629"/>
      <c r="P11" s="630"/>
      <c r="Q11" s="630"/>
      <c r="R11" s="651">
        <f t="shared" si="8"/>
        <v>0</v>
      </c>
      <c r="S11" s="646"/>
      <c r="T11" s="646"/>
      <c r="U11" s="653"/>
      <c r="V11" s="651">
        <f t="shared" si="9"/>
        <v>0</v>
      </c>
      <c r="W11" s="657"/>
      <c r="X11" s="629"/>
      <c r="Y11" s="630"/>
      <c r="Z11" s="631"/>
      <c r="AA11" s="651">
        <f t="shared" si="0"/>
        <v>0</v>
      </c>
      <c r="AB11" s="656"/>
      <c r="AC11" s="646"/>
      <c r="AD11" s="653"/>
      <c r="AE11" s="651">
        <f t="shared" si="10"/>
        <v>0</v>
      </c>
      <c r="AF11" s="657"/>
      <c r="AG11" s="629"/>
      <c r="AH11" s="630"/>
      <c r="AI11" s="632"/>
      <c r="AJ11" s="651">
        <f t="shared" si="1"/>
        <v>0</v>
      </c>
      <c r="AK11" s="646"/>
      <c r="AL11" s="646"/>
      <c r="AM11" s="653"/>
      <c r="AN11" s="651">
        <f t="shared" si="11"/>
        <v>0</v>
      </c>
      <c r="AO11" s="657"/>
      <c r="AP11" s="629"/>
      <c r="AQ11" s="630"/>
      <c r="AR11" s="632"/>
      <c r="AS11" s="651">
        <f t="shared" si="2"/>
        <v>0</v>
      </c>
      <c r="AT11" s="646"/>
      <c r="AU11" s="646"/>
      <c r="AV11" s="653"/>
      <c r="AW11" s="651">
        <f t="shared" si="12"/>
        <v>0</v>
      </c>
      <c r="AX11" s="657"/>
      <c r="AY11" s="629"/>
      <c r="AZ11" s="630"/>
      <c r="BA11" s="632"/>
      <c r="BB11" s="651">
        <f t="shared" si="3"/>
        <v>0</v>
      </c>
      <c r="BC11" s="656"/>
      <c r="BD11" s="646"/>
      <c r="BE11" s="653"/>
      <c r="BF11" s="651">
        <f t="shared" si="13"/>
        <v>0</v>
      </c>
      <c r="BG11" s="657"/>
      <c r="BH11" s="629"/>
      <c r="BI11" s="630"/>
      <c r="BJ11" s="632"/>
      <c r="BK11" s="651">
        <f t="shared" si="14"/>
        <v>0</v>
      </c>
      <c r="BL11" s="646"/>
      <c r="BM11" s="646"/>
      <c r="BN11" s="653"/>
      <c r="BO11" s="651">
        <f t="shared" si="15"/>
        <v>0</v>
      </c>
      <c r="BP11" s="657"/>
      <c r="BQ11" s="629"/>
      <c r="BR11" s="630"/>
      <c r="BS11" s="632"/>
      <c r="BT11" s="651">
        <f t="shared" si="4"/>
        <v>0</v>
      </c>
      <c r="BU11" s="646"/>
      <c r="BV11" s="646"/>
      <c r="BW11" s="653"/>
      <c r="BX11" s="651">
        <f t="shared" si="16"/>
        <v>0</v>
      </c>
      <c r="BY11" s="657"/>
      <c r="BZ11" s="629"/>
      <c r="CA11" s="630"/>
      <c r="CB11" s="632"/>
      <c r="CC11" s="651">
        <f t="shared" si="17"/>
        <v>0</v>
      </c>
      <c r="CD11" s="646"/>
      <c r="CE11" s="646"/>
      <c r="CF11" s="653"/>
      <c r="CG11" s="651">
        <f t="shared" si="18"/>
        <v>0</v>
      </c>
      <c r="CH11" s="657"/>
      <c r="CI11" s="629"/>
      <c r="CJ11" s="630"/>
      <c r="CK11" s="632"/>
      <c r="CL11" s="651">
        <f t="shared" si="23"/>
        <v>0</v>
      </c>
      <c r="CM11" s="646"/>
      <c r="CN11" s="646"/>
      <c r="CO11" s="653"/>
      <c r="CP11" s="651">
        <f t="shared" si="19"/>
        <v>0</v>
      </c>
      <c r="CQ11" s="657"/>
      <c r="CR11" s="629"/>
      <c r="CS11" s="630"/>
      <c r="CT11" s="632"/>
      <c r="CU11" s="651">
        <f t="shared" si="5"/>
        <v>0</v>
      </c>
      <c r="CV11" s="646"/>
      <c r="CW11" s="646"/>
      <c r="CX11" s="653"/>
      <c r="CY11" s="651">
        <f t="shared" si="20"/>
        <v>0</v>
      </c>
      <c r="CZ11" s="657"/>
      <c r="DA11" s="629"/>
      <c r="DB11" s="630"/>
      <c r="DC11" s="632"/>
      <c r="DD11" s="651">
        <f t="shared" si="6"/>
        <v>0</v>
      </c>
      <c r="DE11" s="646"/>
      <c r="DF11" s="646"/>
      <c r="DG11" s="653"/>
      <c r="DH11" s="651">
        <f t="shared" si="21"/>
        <v>0</v>
      </c>
      <c r="DI11" s="657"/>
      <c r="DJ11" s="629"/>
      <c r="DK11" s="630"/>
      <c r="DL11" s="632"/>
      <c r="DM11" s="633"/>
      <c r="DN11" s="633">
        <f t="shared" si="22"/>
        <v>0</v>
      </c>
      <c r="DO11" s="712"/>
      <c r="DP11" s="711"/>
      <c r="DQ11" s="711"/>
    </row>
    <row r="12" spans="1:121" s="627" customFormat="1">
      <c r="A12" s="649" t="s">
        <v>1142</v>
      </c>
      <c r="B12" s="618">
        <f>7*11*24</f>
        <v>1848</v>
      </c>
      <c r="C12" s="650">
        <v>0.35</v>
      </c>
      <c r="D12" s="651">
        <v>7</v>
      </c>
      <c r="E12" s="651">
        <f>D12*24</f>
        <v>168</v>
      </c>
      <c r="F12" s="651"/>
      <c r="G12" s="553"/>
      <c r="H12" s="652">
        <v>3</v>
      </c>
      <c r="I12" s="572">
        <v>3414</v>
      </c>
      <c r="J12" s="653">
        <f>I12/168</f>
        <v>20.321428571428573</v>
      </c>
      <c r="K12" s="654">
        <v>40</v>
      </c>
      <c r="L12" s="653">
        <f>J12</f>
        <v>20.321428571428573</v>
      </c>
      <c r="M12" s="651">
        <f t="shared" si="7"/>
        <v>7</v>
      </c>
      <c r="N12" s="655">
        <f>M12*24*Q4</f>
        <v>336</v>
      </c>
      <c r="O12" s="629">
        <f>L12</f>
        <v>20.321428571428573</v>
      </c>
      <c r="P12" s="630">
        <f>N12*O12</f>
        <v>6828.0000000000009</v>
      </c>
      <c r="Q12" s="630"/>
      <c r="R12" s="651">
        <f t="shared" si="8"/>
        <v>3414</v>
      </c>
      <c r="S12" s="654">
        <f>R12/168</f>
        <v>20.321428571428573</v>
      </c>
      <c r="T12" s="654">
        <v>40</v>
      </c>
      <c r="U12" s="653">
        <f>S12*C12</f>
        <v>7.1124999999999998</v>
      </c>
      <c r="V12" s="651">
        <f t="shared" si="9"/>
        <v>7</v>
      </c>
      <c r="W12" s="655">
        <f>V12*8*Z4</f>
        <v>0</v>
      </c>
      <c r="X12" s="629">
        <f>U12</f>
        <v>7.1124999999999998</v>
      </c>
      <c r="Y12" s="630">
        <f>W12*X12</f>
        <v>0</v>
      </c>
      <c r="Z12" s="631"/>
      <c r="AA12" s="651">
        <f t="shared" si="0"/>
        <v>3414</v>
      </c>
      <c r="AB12" s="653">
        <f>AA12/159</f>
        <v>21.471698113207548</v>
      </c>
      <c r="AC12" s="654">
        <v>40</v>
      </c>
      <c r="AD12" s="653">
        <f>AB12</f>
        <v>21.471698113207548</v>
      </c>
      <c r="AE12" s="651">
        <f t="shared" si="10"/>
        <v>7</v>
      </c>
      <c r="AF12" s="655">
        <f>AE12*24*AI4</f>
        <v>168</v>
      </c>
      <c r="AG12" s="629">
        <f>AD12</f>
        <v>21.471698113207548</v>
      </c>
      <c r="AH12" s="630">
        <f>AF12*AG12</f>
        <v>3607.2452830188681</v>
      </c>
      <c r="AI12" s="632"/>
      <c r="AJ12" s="651">
        <f t="shared" si="1"/>
        <v>3414</v>
      </c>
      <c r="AK12" s="654">
        <f>AJ12/167</f>
        <v>20.443113772455089</v>
      </c>
      <c r="AL12" s="654">
        <v>40</v>
      </c>
      <c r="AM12" s="653">
        <f>AK12</f>
        <v>20.443113772455089</v>
      </c>
      <c r="AN12" s="651">
        <f t="shared" si="11"/>
        <v>7</v>
      </c>
      <c r="AO12" s="655">
        <f>AN12*24*AR4</f>
        <v>168</v>
      </c>
      <c r="AP12" s="629">
        <f>AM12</f>
        <v>20.443113772455089</v>
      </c>
      <c r="AQ12" s="630">
        <f>AO12*AP12</f>
        <v>3434.443113772455</v>
      </c>
      <c r="AR12" s="632"/>
      <c r="AS12" s="651">
        <f t="shared" si="2"/>
        <v>3414</v>
      </c>
      <c r="AT12" s="654">
        <f>AS12/151</f>
        <v>22.609271523178808</v>
      </c>
      <c r="AU12" s="654">
        <v>40</v>
      </c>
      <c r="AV12" s="653">
        <f>AT12</f>
        <v>22.609271523178808</v>
      </c>
      <c r="AW12" s="651">
        <f t="shared" si="12"/>
        <v>7</v>
      </c>
      <c r="AX12" s="655">
        <f>AW12*24*BA4</f>
        <v>336</v>
      </c>
      <c r="AY12" s="629">
        <f>AV12</f>
        <v>22.609271523178808</v>
      </c>
      <c r="AZ12" s="630">
        <f>AX12*AY12</f>
        <v>7596.71523178808</v>
      </c>
      <c r="BA12" s="632"/>
      <c r="BB12" s="651">
        <f t="shared" si="3"/>
        <v>3414</v>
      </c>
      <c r="BC12" s="653">
        <f>BB12/151</f>
        <v>22.609271523178808</v>
      </c>
      <c r="BD12" s="654">
        <v>40</v>
      </c>
      <c r="BE12" s="653">
        <f>BC12</f>
        <v>22.609271523178808</v>
      </c>
      <c r="BF12" s="651">
        <f t="shared" si="13"/>
        <v>7</v>
      </c>
      <c r="BG12" s="655">
        <f>BF12*24*BJ4</f>
        <v>336</v>
      </c>
      <c r="BH12" s="629">
        <f>BE12</f>
        <v>22.609271523178808</v>
      </c>
      <c r="BI12" s="630">
        <f>BG12*BH12</f>
        <v>7596.71523178808</v>
      </c>
      <c r="BJ12" s="632"/>
      <c r="BK12" s="651">
        <f t="shared" si="14"/>
        <v>3414</v>
      </c>
      <c r="BL12" s="654">
        <f>BK12/184</f>
        <v>18.554347826086957</v>
      </c>
      <c r="BM12" s="654">
        <v>40</v>
      </c>
      <c r="BN12" s="653">
        <f>BL12</f>
        <v>18.554347826086957</v>
      </c>
      <c r="BO12" s="651">
        <f t="shared" si="15"/>
        <v>7</v>
      </c>
      <c r="BP12" s="655">
        <f>BO12*24*BS4</f>
        <v>0</v>
      </c>
      <c r="BQ12" s="629">
        <f>BN12</f>
        <v>18.554347826086957</v>
      </c>
      <c r="BR12" s="630">
        <f>BP12*BQ12</f>
        <v>0</v>
      </c>
      <c r="BS12" s="632"/>
      <c r="BT12" s="651">
        <f t="shared" si="4"/>
        <v>3414</v>
      </c>
      <c r="BU12" s="654">
        <f>BT12/160</f>
        <v>21.337499999999999</v>
      </c>
      <c r="BV12" s="654">
        <v>40</v>
      </c>
      <c r="BW12" s="653">
        <f>BU12</f>
        <v>21.337499999999999</v>
      </c>
      <c r="BX12" s="651">
        <f t="shared" si="16"/>
        <v>7</v>
      </c>
      <c r="BY12" s="655">
        <f>BX12*24*CB4</f>
        <v>168</v>
      </c>
      <c r="BZ12" s="629">
        <f>BW12</f>
        <v>21.337499999999999</v>
      </c>
      <c r="CA12" s="630">
        <f>BY12*BZ12</f>
        <v>3584.7</v>
      </c>
      <c r="CB12" s="632"/>
      <c r="CC12" s="651">
        <f t="shared" si="17"/>
        <v>3414</v>
      </c>
      <c r="CD12" s="654">
        <f>CC12/176</f>
        <v>19.397727272727273</v>
      </c>
      <c r="CE12" s="654">
        <v>40</v>
      </c>
      <c r="CF12" s="653">
        <f>CD12</f>
        <v>19.397727272727273</v>
      </c>
      <c r="CG12" s="651">
        <f t="shared" si="18"/>
        <v>7</v>
      </c>
      <c r="CH12" s="655">
        <f>CG12*24*CK4</f>
        <v>0</v>
      </c>
      <c r="CI12" s="629">
        <f>CF12</f>
        <v>19.397727272727273</v>
      </c>
      <c r="CJ12" s="630">
        <f>CH12*CI12</f>
        <v>0</v>
      </c>
      <c r="CK12" s="632"/>
      <c r="CL12" s="651">
        <v>3519</v>
      </c>
      <c r="CM12" s="654">
        <f>CL12/184</f>
        <v>19.125</v>
      </c>
      <c r="CN12" s="654">
        <v>40</v>
      </c>
      <c r="CO12" s="653">
        <f>CM12</f>
        <v>19.125</v>
      </c>
      <c r="CP12" s="651">
        <f t="shared" si="19"/>
        <v>7</v>
      </c>
      <c r="CQ12" s="655">
        <f>CP12*24*CT4</f>
        <v>168</v>
      </c>
      <c r="CR12" s="629">
        <f>CO12</f>
        <v>19.125</v>
      </c>
      <c r="CS12" s="630">
        <f>CQ12*CR12</f>
        <v>3213</v>
      </c>
      <c r="CT12" s="632"/>
      <c r="CU12" s="651">
        <f t="shared" si="5"/>
        <v>3519</v>
      </c>
      <c r="CV12" s="654">
        <f>CU12/160</f>
        <v>21.993749999999999</v>
      </c>
      <c r="CW12" s="654">
        <v>40</v>
      </c>
      <c r="CX12" s="653">
        <f>CV12</f>
        <v>21.993749999999999</v>
      </c>
      <c r="CY12" s="651">
        <f t="shared" si="20"/>
        <v>7</v>
      </c>
      <c r="CZ12" s="655">
        <f>CY12*24*DC4</f>
        <v>0</v>
      </c>
      <c r="DA12" s="629">
        <f>CX12</f>
        <v>21.993749999999999</v>
      </c>
      <c r="DB12" s="630">
        <f>CZ12*DA12</f>
        <v>0</v>
      </c>
      <c r="DC12" s="632"/>
      <c r="DD12" s="651">
        <f t="shared" si="6"/>
        <v>3519</v>
      </c>
      <c r="DE12" s="654">
        <f>DD12/183</f>
        <v>19.229508196721312</v>
      </c>
      <c r="DF12" s="654">
        <v>40</v>
      </c>
      <c r="DG12" s="653">
        <f>DE12</f>
        <v>19.229508196721312</v>
      </c>
      <c r="DH12" s="651">
        <f t="shared" si="21"/>
        <v>7</v>
      </c>
      <c r="DI12" s="655">
        <f>DH12*24*DL4</f>
        <v>168</v>
      </c>
      <c r="DJ12" s="629">
        <f>DG12</f>
        <v>19.229508196721312</v>
      </c>
      <c r="DK12" s="630">
        <f>DI12*DJ12</f>
        <v>3230.5573770491806</v>
      </c>
      <c r="DL12" s="632"/>
      <c r="DM12" s="633">
        <f>N12+W12+AF12+AO12+AX12+BG12+BP12+BY12+CH12+CQ12+CZ12+DI12</f>
        <v>1848</v>
      </c>
      <c r="DN12" s="633">
        <f t="shared" si="22"/>
        <v>39091.376237416662</v>
      </c>
      <c r="DO12" s="712"/>
      <c r="DP12" s="711"/>
      <c r="DQ12" s="711"/>
    </row>
    <row r="13" spans="1:121" s="627" customFormat="1">
      <c r="A13" s="649" t="s">
        <v>1144</v>
      </c>
      <c r="B13" s="618">
        <f>2*11*24</f>
        <v>528</v>
      </c>
      <c r="C13" s="650">
        <v>0.5</v>
      </c>
      <c r="D13" s="651">
        <v>2</v>
      </c>
      <c r="E13" s="651">
        <f>D13*24</f>
        <v>48</v>
      </c>
      <c r="F13" s="651"/>
      <c r="G13" s="553"/>
      <c r="H13" s="652">
        <v>3</v>
      </c>
      <c r="I13" s="572">
        <v>3414</v>
      </c>
      <c r="J13" s="653">
        <f>I13/168</f>
        <v>20.321428571428573</v>
      </c>
      <c r="K13" s="654">
        <v>40</v>
      </c>
      <c r="L13" s="653">
        <f>J13</f>
        <v>20.321428571428573</v>
      </c>
      <c r="M13" s="651">
        <f t="shared" si="7"/>
        <v>2</v>
      </c>
      <c r="N13" s="655">
        <f>M13*24*Q4</f>
        <v>96</v>
      </c>
      <c r="O13" s="629">
        <f>L13</f>
        <v>20.321428571428573</v>
      </c>
      <c r="P13" s="630">
        <f>N13*O13</f>
        <v>1950.8571428571431</v>
      </c>
      <c r="Q13" s="630"/>
      <c r="R13" s="651">
        <f t="shared" si="8"/>
        <v>3414</v>
      </c>
      <c r="S13" s="654">
        <f>R13/168</f>
        <v>20.321428571428573</v>
      </c>
      <c r="T13" s="654">
        <v>40</v>
      </c>
      <c r="U13" s="653">
        <f>S13*C13</f>
        <v>10.160714285714286</v>
      </c>
      <c r="V13" s="651">
        <f t="shared" si="9"/>
        <v>2</v>
      </c>
      <c r="W13" s="655">
        <f>V13*8*Z4</f>
        <v>0</v>
      </c>
      <c r="X13" s="629">
        <f>U13</f>
        <v>10.160714285714286</v>
      </c>
      <c r="Y13" s="630">
        <f>W13*X13</f>
        <v>0</v>
      </c>
      <c r="Z13" s="631"/>
      <c r="AA13" s="651">
        <f t="shared" si="0"/>
        <v>3414</v>
      </c>
      <c r="AB13" s="653">
        <f>AA13/159</f>
        <v>21.471698113207548</v>
      </c>
      <c r="AC13" s="654">
        <v>40</v>
      </c>
      <c r="AD13" s="653">
        <f>AB13</f>
        <v>21.471698113207548</v>
      </c>
      <c r="AE13" s="651">
        <f t="shared" si="10"/>
        <v>2</v>
      </c>
      <c r="AF13" s="655">
        <f>AE13*24*AI4</f>
        <v>48</v>
      </c>
      <c r="AG13" s="629">
        <f>AD13</f>
        <v>21.471698113207548</v>
      </c>
      <c r="AH13" s="630">
        <f>AF13*AG13</f>
        <v>1030.6415094339623</v>
      </c>
      <c r="AI13" s="632"/>
      <c r="AJ13" s="651">
        <f t="shared" si="1"/>
        <v>3414</v>
      </c>
      <c r="AK13" s="654">
        <f>AJ13/167</f>
        <v>20.443113772455089</v>
      </c>
      <c r="AL13" s="654">
        <v>40</v>
      </c>
      <c r="AM13" s="653">
        <f>AK13</f>
        <v>20.443113772455089</v>
      </c>
      <c r="AN13" s="651">
        <f t="shared" si="11"/>
        <v>2</v>
      </c>
      <c r="AO13" s="655">
        <f>AN13*24*AR4</f>
        <v>48</v>
      </c>
      <c r="AP13" s="629">
        <f>AM13</f>
        <v>20.443113772455089</v>
      </c>
      <c r="AQ13" s="630">
        <f>AO13*AP13</f>
        <v>981.2694610778442</v>
      </c>
      <c r="AR13" s="632"/>
      <c r="AS13" s="651">
        <f t="shared" si="2"/>
        <v>3414</v>
      </c>
      <c r="AT13" s="654">
        <f>AS13/151</f>
        <v>22.609271523178808</v>
      </c>
      <c r="AU13" s="654">
        <v>40</v>
      </c>
      <c r="AV13" s="653">
        <f>AT13</f>
        <v>22.609271523178808</v>
      </c>
      <c r="AW13" s="651">
        <f t="shared" si="12"/>
        <v>2</v>
      </c>
      <c r="AX13" s="655">
        <f>AW13*24*BA4</f>
        <v>96</v>
      </c>
      <c r="AY13" s="629">
        <f>AV13</f>
        <v>22.609271523178808</v>
      </c>
      <c r="AZ13" s="630">
        <f>AX13*AY13</f>
        <v>2170.4900662251657</v>
      </c>
      <c r="BA13" s="632"/>
      <c r="BB13" s="651">
        <f t="shared" si="3"/>
        <v>3414</v>
      </c>
      <c r="BC13" s="653">
        <f>BB13/167</f>
        <v>20.443113772455089</v>
      </c>
      <c r="BD13" s="654">
        <v>40</v>
      </c>
      <c r="BE13" s="653">
        <f>BC13</f>
        <v>20.443113772455089</v>
      </c>
      <c r="BF13" s="651">
        <f t="shared" si="13"/>
        <v>2</v>
      </c>
      <c r="BG13" s="655">
        <f>BF13*24*BJ4</f>
        <v>96</v>
      </c>
      <c r="BH13" s="629">
        <f>BE13</f>
        <v>20.443113772455089</v>
      </c>
      <c r="BI13" s="630">
        <f>BG13*BH13</f>
        <v>1962.5389221556884</v>
      </c>
      <c r="BJ13" s="632"/>
      <c r="BK13" s="651">
        <f t="shared" si="14"/>
        <v>3414</v>
      </c>
      <c r="BL13" s="654">
        <f>BK13/184</f>
        <v>18.554347826086957</v>
      </c>
      <c r="BM13" s="654">
        <v>40</v>
      </c>
      <c r="BN13" s="653">
        <f>BL13</f>
        <v>18.554347826086957</v>
      </c>
      <c r="BO13" s="651">
        <f t="shared" si="15"/>
        <v>2</v>
      </c>
      <c r="BP13" s="655">
        <f>BO13*24*BS4</f>
        <v>0</v>
      </c>
      <c r="BQ13" s="629">
        <f>BN13</f>
        <v>18.554347826086957</v>
      </c>
      <c r="BR13" s="630">
        <f>BP13*BQ13</f>
        <v>0</v>
      </c>
      <c r="BS13" s="632"/>
      <c r="BT13" s="651">
        <f t="shared" si="4"/>
        <v>3414</v>
      </c>
      <c r="BU13" s="654">
        <f>BT13/160</f>
        <v>21.337499999999999</v>
      </c>
      <c r="BV13" s="654">
        <v>40</v>
      </c>
      <c r="BW13" s="653">
        <f>BU13</f>
        <v>21.337499999999999</v>
      </c>
      <c r="BX13" s="651">
        <f t="shared" si="16"/>
        <v>2</v>
      </c>
      <c r="BY13" s="655">
        <f>BX13*24*CB4</f>
        <v>48</v>
      </c>
      <c r="BZ13" s="629">
        <f>BW13</f>
        <v>21.337499999999999</v>
      </c>
      <c r="CA13" s="630">
        <f>BY13*BZ13</f>
        <v>1024.1999999999998</v>
      </c>
      <c r="CB13" s="632"/>
      <c r="CC13" s="651">
        <f t="shared" si="17"/>
        <v>3414</v>
      </c>
      <c r="CD13" s="654">
        <f>CC13/176</f>
        <v>19.397727272727273</v>
      </c>
      <c r="CE13" s="654">
        <v>40</v>
      </c>
      <c r="CF13" s="653">
        <f>CD13</f>
        <v>19.397727272727273</v>
      </c>
      <c r="CG13" s="651">
        <f t="shared" si="18"/>
        <v>2</v>
      </c>
      <c r="CH13" s="655">
        <f>CG13*24*CK4</f>
        <v>0</v>
      </c>
      <c r="CI13" s="629">
        <f>CF13</f>
        <v>19.397727272727273</v>
      </c>
      <c r="CJ13" s="630">
        <f>CH13*CI13</f>
        <v>0</v>
      </c>
      <c r="CK13" s="632"/>
      <c r="CL13" s="651">
        <v>3519</v>
      </c>
      <c r="CM13" s="654">
        <f>CL13/184</f>
        <v>19.125</v>
      </c>
      <c r="CN13" s="654">
        <v>40</v>
      </c>
      <c r="CO13" s="653">
        <f>CM13</f>
        <v>19.125</v>
      </c>
      <c r="CP13" s="651">
        <f t="shared" si="19"/>
        <v>2</v>
      </c>
      <c r="CQ13" s="655">
        <f>CP13*24*CT4</f>
        <v>48</v>
      </c>
      <c r="CR13" s="629">
        <f>CO13</f>
        <v>19.125</v>
      </c>
      <c r="CS13" s="630">
        <f>CQ13*CR13</f>
        <v>918</v>
      </c>
      <c r="CT13" s="632"/>
      <c r="CU13" s="651">
        <f t="shared" si="5"/>
        <v>3519</v>
      </c>
      <c r="CV13" s="654">
        <f>CU13/160</f>
        <v>21.993749999999999</v>
      </c>
      <c r="CW13" s="654">
        <v>40</v>
      </c>
      <c r="CX13" s="653">
        <f>CV13</f>
        <v>21.993749999999999</v>
      </c>
      <c r="CY13" s="651">
        <f t="shared" si="20"/>
        <v>2</v>
      </c>
      <c r="CZ13" s="655">
        <f>CY13*24*DC4</f>
        <v>0</v>
      </c>
      <c r="DA13" s="629">
        <f>CX13</f>
        <v>21.993749999999999</v>
      </c>
      <c r="DB13" s="630">
        <f>CZ13*DA13</f>
        <v>0</v>
      </c>
      <c r="DC13" s="632"/>
      <c r="DD13" s="651">
        <f t="shared" si="6"/>
        <v>3519</v>
      </c>
      <c r="DE13" s="654">
        <f>DD13/183</f>
        <v>19.229508196721312</v>
      </c>
      <c r="DF13" s="654">
        <v>40</v>
      </c>
      <c r="DG13" s="653">
        <f>DE13</f>
        <v>19.229508196721312</v>
      </c>
      <c r="DH13" s="651">
        <f t="shared" si="21"/>
        <v>2</v>
      </c>
      <c r="DI13" s="655">
        <f>DH13*24*DL4</f>
        <v>48</v>
      </c>
      <c r="DJ13" s="629">
        <f>DG13</f>
        <v>19.229508196721312</v>
      </c>
      <c r="DK13" s="630">
        <f>DI13*DJ13</f>
        <v>923.01639344262298</v>
      </c>
      <c r="DL13" s="632"/>
      <c r="DM13" s="633">
        <f>N13+W13+AF13+AO13+AX13+BG13+BP13+BY13+CH13+CQ13+CZ13+DI13</f>
        <v>528</v>
      </c>
      <c r="DN13" s="633">
        <f t="shared" si="22"/>
        <v>10961.013495192426</v>
      </c>
      <c r="DO13" s="712"/>
      <c r="DP13" s="711"/>
      <c r="DQ13" s="711"/>
    </row>
    <row r="14" spans="1:121" s="627" customFormat="1">
      <c r="A14" s="643" t="s">
        <v>1105</v>
      </c>
      <c r="B14" s="644"/>
      <c r="C14" s="645"/>
      <c r="D14" s="651"/>
      <c r="E14" s="646"/>
      <c r="F14" s="646"/>
      <c r="G14" s="647"/>
      <c r="H14" s="648"/>
      <c r="I14" s="572">
        <f>F14</f>
        <v>0</v>
      </c>
      <c r="J14" s="656"/>
      <c r="K14" s="646"/>
      <c r="L14" s="653"/>
      <c r="M14" s="651">
        <f t="shared" si="7"/>
        <v>0</v>
      </c>
      <c r="N14" s="657"/>
      <c r="O14" s="629"/>
      <c r="P14" s="630"/>
      <c r="Q14" s="630"/>
      <c r="R14" s="651">
        <f t="shared" si="8"/>
        <v>0</v>
      </c>
      <c r="S14" s="646"/>
      <c r="T14" s="646"/>
      <c r="U14" s="653"/>
      <c r="V14" s="651">
        <f t="shared" si="9"/>
        <v>0</v>
      </c>
      <c r="W14" s="657"/>
      <c r="X14" s="629"/>
      <c r="Y14" s="630"/>
      <c r="Z14" s="631"/>
      <c r="AA14" s="651">
        <f t="shared" si="0"/>
        <v>0</v>
      </c>
      <c r="AB14" s="656"/>
      <c r="AC14" s="646"/>
      <c r="AD14" s="653"/>
      <c r="AE14" s="651">
        <f t="shared" si="10"/>
        <v>0</v>
      </c>
      <c r="AF14" s="657"/>
      <c r="AG14" s="629"/>
      <c r="AH14" s="630"/>
      <c r="AI14" s="632"/>
      <c r="AJ14" s="651">
        <f t="shared" si="1"/>
        <v>0</v>
      </c>
      <c r="AK14" s="646"/>
      <c r="AL14" s="646"/>
      <c r="AM14" s="653"/>
      <c r="AN14" s="651">
        <f t="shared" si="11"/>
        <v>0</v>
      </c>
      <c r="AO14" s="657"/>
      <c r="AP14" s="629"/>
      <c r="AQ14" s="630"/>
      <c r="AR14" s="632"/>
      <c r="AS14" s="651">
        <f t="shared" si="2"/>
        <v>0</v>
      </c>
      <c r="AT14" s="646"/>
      <c r="AU14" s="646"/>
      <c r="AV14" s="653"/>
      <c r="AW14" s="651">
        <f t="shared" si="12"/>
        <v>0</v>
      </c>
      <c r="AX14" s="657"/>
      <c r="AY14" s="629"/>
      <c r="AZ14" s="630"/>
      <c r="BA14" s="632"/>
      <c r="BB14" s="651">
        <f t="shared" si="3"/>
        <v>0</v>
      </c>
      <c r="BC14" s="656"/>
      <c r="BD14" s="646"/>
      <c r="BE14" s="653"/>
      <c r="BF14" s="651">
        <f t="shared" si="13"/>
        <v>0</v>
      </c>
      <c r="BG14" s="657"/>
      <c r="BH14" s="629"/>
      <c r="BI14" s="630"/>
      <c r="BJ14" s="632"/>
      <c r="BK14" s="651">
        <f t="shared" si="14"/>
        <v>0</v>
      </c>
      <c r="BL14" s="646"/>
      <c r="BM14" s="646"/>
      <c r="BN14" s="653"/>
      <c r="BO14" s="651">
        <f t="shared" si="15"/>
        <v>0</v>
      </c>
      <c r="BP14" s="657"/>
      <c r="BQ14" s="629"/>
      <c r="BR14" s="630"/>
      <c r="BS14" s="632"/>
      <c r="BT14" s="651">
        <f t="shared" si="4"/>
        <v>0</v>
      </c>
      <c r="BU14" s="646"/>
      <c r="BV14" s="646"/>
      <c r="BW14" s="653"/>
      <c r="BX14" s="651">
        <f t="shared" si="16"/>
        <v>0</v>
      </c>
      <c r="BY14" s="657"/>
      <c r="BZ14" s="629"/>
      <c r="CA14" s="630"/>
      <c r="CB14" s="632"/>
      <c r="CC14" s="651">
        <f t="shared" si="17"/>
        <v>0</v>
      </c>
      <c r="CD14" s="646"/>
      <c r="CE14" s="646"/>
      <c r="CF14" s="653"/>
      <c r="CG14" s="651">
        <f t="shared" si="18"/>
        <v>0</v>
      </c>
      <c r="CH14" s="657"/>
      <c r="CI14" s="629"/>
      <c r="CJ14" s="630"/>
      <c r="CK14" s="632"/>
      <c r="CL14" s="651">
        <f t="shared" si="23"/>
        <v>0</v>
      </c>
      <c r="CM14" s="646"/>
      <c r="CN14" s="646"/>
      <c r="CO14" s="653"/>
      <c r="CP14" s="651">
        <f t="shared" si="19"/>
        <v>0</v>
      </c>
      <c r="CQ14" s="657"/>
      <c r="CR14" s="629"/>
      <c r="CS14" s="630"/>
      <c r="CT14" s="632"/>
      <c r="CU14" s="651">
        <f t="shared" si="5"/>
        <v>0</v>
      </c>
      <c r="CV14" s="646"/>
      <c r="CW14" s="646"/>
      <c r="CX14" s="653"/>
      <c r="CY14" s="651">
        <f t="shared" si="20"/>
        <v>0</v>
      </c>
      <c r="CZ14" s="657"/>
      <c r="DA14" s="629"/>
      <c r="DB14" s="630"/>
      <c r="DC14" s="632"/>
      <c r="DD14" s="651">
        <f t="shared" si="6"/>
        <v>0</v>
      </c>
      <c r="DE14" s="646"/>
      <c r="DF14" s="646"/>
      <c r="DG14" s="653"/>
      <c r="DH14" s="651">
        <f t="shared" si="21"/>
        <v>0</v>
      </c>
      <c r="DI14" s="657"/>
      <c r="DJ14" s="629"/>
      <c r="DK14" s="630"/>
      <c r="DL14" s="632"/>
      <c r="DM14" s="633"/>
      <c r="DN14" s="633">
        <f t="shared" si="22"/>
        <v>0</v>
      </c>
      <c r="DO14" s="712"/>
      <c r="DP14" s="711"/>
      <c r="DQ14" s="711"/>
    </row>
    <row r="15" spans="1:121" s="627" customFormat="1">
      <c r="A15" s="649" t="s">
        <v>1144</v>
      </c>
      <c r="B15" s="618">
        <f>2*11*24</f>
        <v>528</v>
      </c>
      <c r="C15" s="650">
        <v>0.35</v>
      </c>
      <c r="D15" s="646">
        <v>2</v>
      </c>
      <c r="E15" s="651">
        <f>D15*24</f>
        <v>48</v>
      </c>
      <c r="F15" s="651"/>
      <c r="G15" s="553"/>
      <c r="H15" s="652">
        <v>3</v>
      </c>
      <c r="I15" s="572">
        <v>3414</v>
      </c>
      <c r="J15" s="653">
        <f>I15/168</f>
        <v>20.321428571428573</v>
      </c>
      <c r="K15" s="654">
        <v>40</v>
      </c>
      <c r="L15" s="653">
        <f>J15</f>
        <v>20.321428571428573</v>
      </c>
      <c r="M15" s="651">
        <f t="shared" si="7"/>
        <v>2</v>
      </c>
      <c r="N15" s="655">
        <f>M15*24*Q4</f>
        <v>96</v>
      </c>
      <c r="O15" s="629">
        <f>L15</f>
        <v>20.321428571428573</v>
      </c>
      <c r="P15" s="630">
        <f>N15*O15</f>
        <v>1950.8571428571431</v>
      </c>
      <c r="Q15" s="630"/>
      <c r="R15" s="651">
        <f t="shared" si="8"/>
        <v>3414</v>
      </c>
      <c r="S15" s="654">
        <f>R15/168</f>
        <v>20.321428571428573</v>
      </c>
      <c r="T15" s="654">
        <v>40</v>
      </c>
      <c r="U15" s="653">
        <f>S15*C15</f>
        <v>7.1124999999999998</v>
      </c>
      <c r="V15" s="651">
        <f t="shared" si="9"/>
        <v>2</v>
      </c>
      <c r="W15" s="655">
        <f>V15*24*Z4</f>
        <v>0</v>
      </c>
      <c r="X15" s="629">
        <f>U15</f>
        <v>7.1124999999999998</v>
      </c>
      <c r="Y15" s="630">
        <f>W15*X15</f>
        <v>0</v>
      </c>
      <c r="Z15" s="631"/>
      <c r="AA15" s="651">
        <f t="shared" si="0"/>
        <v>3414</v>
      </c>
      <c r="AB15" s="653">
        <f>AA15/159</f>
        <v>21.471698113207548</v>
      </c>
      <c r="AC15" s="654">
        <v>40</v>
      </c>
      <c r="AD15" s="653">
        <f>AB15</f>
        <v>21.471698113207548</v>
      </c>
      <c r="AE15" s="651">
        <f t="shared" si="10"/>
        <v>2</v>
      </c>
      <c r="AF15" s="655">
        <f>AE15*24*AI4</f>
        <v>48</v>
      </c>
      <c r="AG15" s="629">
        <f>AD15</f>
        <v>21.471698113207548</v>
      </c>
      <c r="AH15" s="630">
        <f>AF15*AG15</f>
        <v>1030.6415094339623</v>
      </c>
      <c r="AI15" s="632"/>
      <c r="AJ15" s="651">
        <f t="shared" si="1"/>
        <v>3414</v>
      </c>
      <c r="AK15" s="654">
        <f>AJ15/167</f>
        <v>20.443113772455089</v>
      </c>
      <c r="AL15" s="654">
        <v>40</v>
      </c>
      <c r="AM15" s="653">
        <f>AK15</f>
        <v>20.443113772455089</v>
      </c>
      <c r="AN15" s="651">
        <f t="shared" si="11"/>
        <v>2</v>
      </c>
      <c r="AO15" s="655">
        <f>AN15*24*AR4</f>
        <v>48</v>
      </c>
      <c r="AP15" s="629">
        <f>AM15</f>
        <v>20.443113772455089</v>
      </c>
      <c r="AQ15" s="630">
        <f>AO15*AP15</f>
        <v>981.2694610778442</v>
      </c>
      <c r="AR15" s="632"/>
      <c r="AS15" s="651">
        <f t="shared" si="2"/>
        <v>3414</v>
      </c>
      <c r="AT15" s="654">
        <f>AS15/151</f>
        <v>22.609271523178808</v>
      </c>
      <c r="AU15" s="654">
        <v>40</v>
      </c>
      <c r="AV15" s="653">
        <f>AT15</f>
        <v>22.609271523178808</v>
      </c>
      <c r="AW15" s="651">
        <f t="shared" si="12"/>
        <v>2</v>
      </c>
      <c r="AX15" s="655">
        <f>AW15*24*BA4</f>
        <v>96</v>
      </c>
      <c r="AY15" s="629">
        <f>AV15</f>
        <v>22.609271523178808</v>
      </c>
      <c r="AZ15" s="630"/>
      <c r="BA15" s="632"/>
      <c r="BB15" s="651">
        <f t="shared" si="3"/>
        <v>3414</v>
      </c>
      <c r="BC15" s="653">
        <f>BB15/167</f>
        <v>20.443113772455089</v>
      </c>
      <c r="BD15" s="654">
        <v>40</v>
      </c>
      <c r="BE15" s="653">
        <f>BC15</f>
        <v>20.443113772455089</v>
      </c>
      <c r="BF15" s="651">
        <f t="shared" si="13"/>
        <v>2</v>
      </c>
      <c r="BG15" s="655">
        <f>BF15*24*BJ4</f>
        <v>96</v>
      </c>
      <c r="BH15" s="629">
        <f>BE15</f>
        <v>20.443113772455089</v>
      </c>
      <c r="BI15" s="630"/>
      <c r="BJ15" s="632"/>
      <c r="BK15" s="651">
        <f t="shared" si="14"/>
        <v>3414</v>
      </c>
      <c r="BL15" s="654">
        <f>BK15/184</f>
        <v>18.554347826086957</v>
      </c>
      <c r="BM15" s="654">
        <v>40</v>
      </c>
      <c r="BN15" s="653">
        <f>BL15</f>
        <v>18.554347826086957</v>
      </c>
      <c r="BO15" s="651">
        <f t="shared" si="15"/>
        <v>2</v>
      </c>
      <c r="BP15" s="655">
        <f>BO15*24*BS4</f>
        <v>0</v>
      </c>
      <c r="BQ15" s="629">
        <f>BN15</f>
        <v>18.554347826086957</v>
      </c>
      <c r="BR15" s="630">
        <f>BP15*BQ15</f>
        <v>0</v>
      </c>
      <c r="BS15" s="632"/>
      <c r="BT15" s="651">
        <v>3723</v>
      </c>
      <c r="BU15" s="654">
        <f>BT15/160</f>
        <v>23.268750000000001</v>
      </c>
      <c r="BV15" s="654">
        <v>40</v>
      </c>
      <c r="BW15" s="653">
        <f>BU15</f>
        <v>23.268750000000001</v>
      </c>
      <c r="BX15" s="651">
        <f t="shared" si="16"/>
        <v>2</v>
      </c>
      <c r="BY15" s="655">
        <f>BX15*24*CB4</f>
        <v>48</v>
      </c>
      <c r="BZ15" s="629">
        <f>BW15</f>
        <v>23.268750000000001</v>
      </c>
      <c r="CA15" s="630"/>
      <c r="CB15" s="632"/>
      <c r="CC15" s="651">
        <f t="shared" si="17"/>
        <v>3723</v>
      </c>
      <c r="CD15" s="654">
        <f>CC15/176</f>
        <v>21.15340909090909</v>
      </c>
      <c r="CE15" s="654">
        <v>40</v>
      </c>
      <c r="CF15" s="653">
        <f>CD15</f>
        <v>21.15340909090909</v>
      </c>
      <c r="CG15" s="651">
        <f t="shared" si="18"/>
        <v>2</v>
      </c>
      <c r="CH15" s="655">
        <f>CG15*24*CK4</f>
        <v>0</v>
      </c>
      <c r="CI15" s="629">
        <f>CF15</f>
        <v>21.15340909090909</v>
      </c>
      <c r="CJ15" s="630">
        <f>CH15*CI15</f>
        <v>0</v>
      </c>
      <c r="CK15" s="632"/>
      <c r="CL15" s="651">
        <v>3519</v>
      </c>
      <c r="CM15" s="654">
        <f>CL15/184</f>
        <v>19.125</v>
      </c>
      <c r="CN15" s="654">
        <v>40</v>
      </c>
      <c r="CO15" s="653">
        <f>CM15</f>
        <v>19.125</v>
      </c>
      <c r="CP15" s="651">
        <f t="shared" si="19"/>
        <v>2</v>
      </c>
      <c r="CQ15" s="655">
        <f>CP15*24*CT4</f>
        <v>48</v>
      </c>
      <c r="CR15" s="629">
        <f>CO15</f>
        <v>19.125</v>
      </c>
      <c r="CS15" s="630">
        <f>CQ15*CR15</f>
        <v>918</v>
      </c>
      <c r="CT15" s="632"/>
      <c r="CU15" s="651">
        <f t="shared" si="5"/>
        <v>3519</v>
      </c>
      <c r="CV15" s="654">
        <f>CU15/160</f>
        <v>21.993749999999999</v>
      </c>
      <c r="CW15" s="654">
        <v>40</v>
      </c>
      <c r="CX15" s="653">
        <f>CV15</f>
        <v>21.993749999999999</v>
      </c>
      <c r="CY15" s="651">
        <f t="shared" si="20"/>
        <v>2</v>
      </c>
      <c r="CZ15" s="655">
        <f>CY15*24*DC4</f>
        <v>0</v>
      </c>
      <c r="DA15" s="629">
        <f>CX15</f>
        <v>21.993749999999999</v>
      </c>
      <c r="DB15" s="630">
        <f>CZ15*DA15</f>
        <v>0</v>
      </c>
      <c r="DC15" s="632"/>
      <c r="DD15" s="651">
        <f t="shared" si="6"/>
        <v>3519</v>
      </c>
      <c r="DE15" s="654">
        <f>DD15/183</f>
        <v>19.229508196721312</v>
      </c>
      <c r="DF15" s="654">
        <v>40</v>
      </c>
      <c r="DG15" s="653">
        <f>DE15</f>
        <v>19.229508196721312</v>
      </c>
      <c r="DH15" s="651">
        <f t="shared" si="21"/>
        <v>2</v>
      </c>
      <c r="DI15" s="655">
        <f>DH15*24*DL4</f>
        <v>48</v>
      </c>
      <c r="DJ15" s="629">
        <f>DG15</f>
        <v>19.229508196721312</v>
      </c>
      <c r="DK15" s="630">
        <f>DI15*DJ15</f>
        <v>923.01639344262298</v>
      </c>
      <c r="DL15" s="632"/>
      <c r="DM15" s="633">
        <f>N15+W15+AF15+AO15+AX15+BG15+BP15+BY15+CH15+CQ15+CZ15+DI15</f>
        <v>528</v>
      </c>
      <c r="DN15" s="633">
        <f t="shared" si="22"/>
        <v>5803.7845068115721</v>
      </c>
      <c r="DO15" s="712"/>
      <c r="DP15" s="711"/>
      <c r="DQ15" s="711"/>
    </row>
    <row r="16" spans="1:121" s="627" customFormat="1">
      <c r="A16" s="643" t="s">
        <v>1106</v>
      </c>
      <c r="B16" s="644"/>
      <c r="C16" s="645"/>
      <c r="D16" s="651"/>
      <c r="E16" s="646"/>
      <c r="F16" s="646"/>
      <c r="G16" s="647"/>
      <c r="H16" s="648"/>
      <c r="I16" s="572">
        <f>F16</f>
        <v>0</v>
      </c>
      <c r="J16" s="656"/>
      <c r="K16" s="646"/>
      <c r="L16" s="653"/>
      <c r="M16" s="651">
        <f t="shared" si="7"/>
        <v>0</v>
      </c>
      <c r="N16" s="657"/>
      <c r="O16" s="629"/>
      <c r="P16" s="630"/>
      <c r="Q16" s="630"/>
      <c r="R16" s="651">
        <f t="shared" si="8"/>
        <v>0</v>
      </c>
      <c r="S16" s="646"/>
      <c r="T16" s="646"/>
      <c r="U16" s="653"/>
      <c r="V16" s="651">
        <f t="shared" si="9"/>
        <v>0</v>
      </c>
      <c r="W16" s="657"/>
      <c r="X16" s="629"/>
      <c r="Y16" s="630"/>
      <c r="Z16" s="631"/>
      <c r="AA16" s="651">
        <f t="shared" si="0"/>
        <v>0</v>
      </c>
      <c r="AB16" s="656"/>
      <c r="AC16" s="646"/>
      <c r="AD16" s="653"/>
      <c r="AE16" s="651">
        <f t="shared" si="10"/>
        <v>0</v>
      </c>
      <c r="AF16" s="657"/>
      <c r="AG16" s="629"/>
      <c r="AH16" s="630"/>
      <c r="AI16" s="632"/>
      <c r="AJ16" s="651">
        <f t="shared" si="1"/>
        <v>0</v>
      </c>
      <c r="AK16" s="646"/>
      <c r="AL16" s="646"/>
      <c r="AM16" s="653"/>
      <c r="AN16" s="651">
        <f t="shared" si="11"/>
        <v>0</v>
      </c>
      <c r="AO16" s="657"/>
      <c r="AP16" s="629"/>
      <c r="AQ16" s="630"/>
      <c r="AR16" s="632"/>
      <c r="AS16" s="651">
        <f t="shared" si="2"/>
        <v>0</v>
      </c>
      <c r="AT16" s="646"/>
      <c r="AU16" s="646"/>
      <c r="AV16" s="653"/>
      <c r="AW16" s="651">
        <f t="shared" si="12"/>
        <v>0</v>
      </c>
      <c r="AX16" s="657"/>
      <c r="AY16" s="629"/>
      <c r="AZ16" s="630"/>
      <c r="BA16" s="632"/>
      <c r="BB16" s="651">
        <f t="shared" si="3"/>
        <v>0</v>
      </c>
      <c r="BC16" s="656"/>
      <c r="BD16" s="646"/>
      <c r="BE16" s="653"/>
      <c r="BF16" s="651">
        <f t="shared" si="13"/>
        <v>0</v>
      </c>
      <c r="BG16" s="657"/>
      <c r="BH16" s="629"/>
      <c r="BI16" s="630"/>
      <c r="BJ16" s="632"/>
      <c r="BK16" s="651">
        <f t="shared" si="14"/>
        <v>0</v>
      </c>
      <c r="BL16" s="646"/>
      <c r="BM16" s="646"/>
      <c r="BN16" s="653"/>
      <c r="BO16" s="651">
        <f t="shared" si="15"/>
        <v>0</v>
      </c>
      <c r="BP16" s="657"/>
      <c r="BQ16" s="629"/>
      <c r="BR16" s="630"/>
      <c r="BS16" s="632"/>
      <c r="BT16" s="651">
        <f>BK16</f>
        <v>0</v>
      </c>
      <c r="BU16" s="646"/>
      <c r="BV16" s="646"/>
      <c r="BW16" s="653"/>
      <c r="BX16" s="651">
        <f t="shared" si="16"/>
        <v>0</v>
      </c>
      <c r="BY16" s="657"/>
      <c r="BZ16" s="629"/>
      <c r="CA16" s="630"/>
      <c r="CB16" s="632"/>
      <c r="CC16" s="651">
        <f t="shared" si="17"/>
        <v>0</v>
      </c>
      <c r="CD16" s="646"/>
      <c r="CE16" s="646"/>
      <c r="CF16" s="653"/>
      <c r="CG16" s="651">
        <f t="shared" si="18"/>
        <v>0</v>
      </c>
      <c r="CH16" s="657"/>
      <c r="CI16" s="629"/>
      <c r="CJ16" s="630"/>
      <c r="CK16" s="632"/>
      <c r="CL16" s="651">
        <f t="shared" si="23"/>
        <v>0</v>
      </c>
      <c r="CM16" s="646"/>
      <c r="CN16" s="646"/>
      <c r="CO16" s="653"/>
      <c r="CP16" s="651">
        <f t="shared" si="19"/>
        <v>0</v>
      </c>
      <c r="CQ16" s="657"/>
      <c r="CR16" s="629"/>
      <c r="CS16" s="630"/>
      <c r="CT16" s="632"/>
      <c r="CU16" s="651">
        <f t="shared" si="5"/>
        <v>0</v>
      </c>
      <c r="CV16" s="646"/>
      <c r="CW16" s="646"/>
      <c r="CX16" s="653"/>
      <c r="CY16" s="651">
        <f t="shared" si="20"/>
        <v>0</v>
      </c>
      <c r="CZ16" s="657"/>
      <c r="DA16" s="629"/>
      <c r="DB16" s="630"/>
      <c r="DC16" s="632"/>
      <c r="DD16" s="651">
        <f t="shared" si="6"/>
        <v>0</v>
      </c>
      <c r="DE16" s="646"/>
      <c r="DF16" s="646"/>
      <c r="DG16" s="653"/>
      <c r="DH16" s="651">
        <f t="shared" si="21"/>
        <v>0</v>
      </c>
      <c r="DI16" s="657"/>
      <c r="DJ16" s="629"/>
      <c r="DK16" s="630"/>
      <c r="DL16" s="632"/>
      <c r="DM16" s="633"/>
      <c r="DN16" s="633">
        <f t="shared" si="22"/>
        <v>0</v>
      </c>
      <c r="DO16" s="712"/>
      <c r="DP16" s="711"/>
      <c r="DQ16" s="711"/>
    </row>
    <row r="17" spans="1:121" s="627" customFormat="1">
      <c r="A17" s="649" t="s">
        <v>1145</v>
      </c>
      <c r="B17" s="618">
        <f>1*11*24</f>
        <v>264</v>
      </c>
      <c r="C17" s="650">
        <v>0.35</v>
      </c>
      <c r="D17" s="646">
        <v>1</v>
      </c>
      <c r="E17" s="651">
        <f>D17*24</f>
        <v>24</v>
      </c>
      <c r="F17" s="651"/>
      <c r="G17" s="553"/>
      <c r="H17" s="652">
        <v>1</v>
      </c>
      <c r="I17" s="572">
        <v>2893</v>
      </c>
      <c r="J17" s="653">
        <f>I17/168</f>
        <v>17.220238095238095</v>
      </c>
      <c r="K17" s="654">
        <v>40</v>
      </c>
      <c r="L17" s="653">
        <f>J17</f>
        <v>17.220238095238095</v>
      </c>
      <c r="M17" s="651">
        <f t="shared" si="7"/>
        <v>1</v>
      </c>
      <c r="N17" s="655">
        <f>M17*24*Q4</f>
        <v>48</v>
      </c>
      <c r="O17" s="629">
        <f>L17</f>
        <v>17.220238095238095</v>
      </c>
      <c r="P17" s="630">
        <f>N17*O17</f>
        <v>826.57142857142856</v>
      </c>
      <c r="Q17" s="630"/>
      <c r="R17" s="651">
        <f t="shared" si="8"/>
        <v>2893</v>
      </c>
      <c r="S17" s="654">
        <f>R17/168</f>
        <v>17.220238095238095</v>
      </c>
      <c r="T17" s="654">
        <v>40</v>
      </c>
      <c r="U17" s="653">
        <f>S17*C17</f>
        <v>6.0270833333333327</v>
      </c>
      <c r="V17" s="651">
        <f t="shared" si="9"/>
        <v>1</v>
      </c>
      <c r="W17" s="655">
        <f>V17*8*Z2</f>
        <v>0</v>
      </c>
      <c r="X17" s="629">
        <f>U17</f>
        <v>6.0270833333333327</v>
      </c>
      <c r="Y17" s="630">
        <f>W17*X17</f>
        <v>0</v>
      </c>
      <c r="Z17" s="631"/>
      <c r="AA17" s="651">
        <f t="shared" si="0"/>
        <v>2893</v>
      </c>
      <c r="AB17" s="653">
        <f>AA17/159</f>
        <v>18.19496855345912</v>
      </c>
      <c r="AC17" s="654">
        <v>40</v>
      </c>
      <c r="AD17" s="653">
        <f>AB17</f>
        <v>18.19496855345912</v>
      </c>
      <c r="AE17" s="651">
        <f t="shared" si="10"/>
        <v>1</v>
      </c>
      <c r="AF17" s="655">
        <f>AE17*24*AI4</f>
        <v>24</v>
      </c>
      <c r="AG17" s="629">
        <f>AD17</f>
        <v>18.19496855345912</v>
      </c>
      <c r="AH17" s="630">
        <f>AF17*AG17</f>
        <v>436.67924528301887</v>
      </c>
      <c r="AI17" s="632"/>
      <c r="AJ17" s="651">
        <f t="shared" si="1"/>
        <v>2893</v>
      </c>
      <c r="AK17" s="654">
        <f>AJ17/167</f>
        <v>17.323353293413174</v>
      </c>
      <c r="AL17" s="654">
        <v>40</v>
      </c>
      <c r="AM17" s="653">
        <f>AK17</f>
        <v>17.323353293413174</v>
      </c>
      <c r="AN17" s="651">
        <f t="shared" si="11"/>
        <v>1</v>
      </c>
      <c r="AO17" s="655">
        <f>AN17*24*AR4</f>
        <v>24</v>
      </c>
      <c r="AP17" s="629">
        <f>AM17</f>
        <v>17.323353293413174</v>
      </c>
      <c r="AQ17" s="630">
        <f>AO17*AP17</f>
        <v>415.76047904191614</v>
      </c>
      <c r="AR17" s="632"/>
      <c r="AS17" s="651">
        <f t="shared" si="2"/>
        <v>2893</v>
      </c>
      <c r="AT17" s="654">
        <f>AS17/151</f>
        <v>19.158940397350992</v>
      </c>
      <c r="AU17" s="654">
        <v>40</v>
      </c>
      <c r="AV17" s="653">
        <f>AT17</f>
        <v>19.158940397350992</v>
      </c>
      <c r="AW17" s="651">
        <f t="shared" si="12"/>
        <v>1</v>
      </c>
      <c r="AX17" s="655">
        <f>AW17*24*BA4</f>
        <v>48</v>
      </c>
      <c r="AY17" s="629">
        <f>AV17</f>
        <v>19.158940397350992</v>
      </c>
      <c r="AZ17" s="630">
        <f>AX17*AY17</f>
        <v>919.62913907284769</v>
      </c>
      <c r="BA17" s="632"/>
      <c r="BB17" s="651">
        <f t="shared" si="3"/>
        <v>2893</v>
      </c>
      <c r="BC17" s="653">
        <f>BB17/167</f>
        <v>17.323353293413174</v>
      </c>
      <c r="BD17" s="654">
        <v>40</v>
      </c>
      <c r="BE17" s="653">
        <f>BC17</f>
        <v>17.323353293413174</v>
      </c>
      <c r="BF17" s="651">
        <f t="shared" si="13"/>
        <v>1</v>
      </c>
      <c r="BG17" s="655">
        <f>BF17*24*BJ4</f>
        <v>48</v>
      </c>
      <c r="BH17" s="629">
        <f>BE17</f>
        <v>17.323353293413174</v>
      </c>
      <c r="BI17" s="630">
        <f>BG17*BH17</f>
        <v>831.52095808383228</v>
      </c>
      <c r="BJ17" s="632"/>
      <c r="BK17" s="651">
        <f t="shared" si="14"/>
        <v>2893</v>
      </c>
      <c r="BL17" s="654">
        <f>BK17/184</f>
        <v>15.722826086956522</v>
      </c>
      <c r="BM17" s="654">
        <v>40</v>
      </c>
      <c r="BN17" s="653">
        <f>BL17</f>
        <v>15.722826086956522</v>
      </c>
      <c r="BO17" s="651">
        <f t="shared" si="15"/>
        <v>1</v>
      </c>
      <c r="BP17" s="655">
        <f>BO17*24*BS2</f>
        <v>0</v>
      </c>
      <c r="BQ17" s="629">
        <f>BN17</f>
        <v>15.722826086956522</v>
      </c>
      <c r="BR17" s="630">
        <f>BP17*BQ17</f>
        <v>0</v>
      </c>
      <c r="BS17" s="632"/>
      <c r="BT17" s="651">
        <f>BK17</f>
        <v>2893</v>
      </c>
      <c r="BU17" s="654">
        <f>BT17/160</f>
        <v>18.081250000000001</v>
      </c>
      <c r="BV17" s="654">
        <v>40</v>
      </c>
      <c r="BW17" s="653">
        <f>BU17</f>
        <v>18.081250000000001</v>
      </c>
      <c r="BX17" s="651">
        <f t="shared" si="16"/>
        <v>1</v>
      </c>
      <c r="BY17" s="655">
        <f>BX17*24*CB4</f>
        <v>24</v>
      </c>
      <c r="BZ17" s="629">
        <f>BW17</f>
        <v>18.081250000000001</v>
      </c>
      <c r="CA17" s="630">
        <f>BY17*BZ17</f>
        <v>433.95000000000005</v>
      </c>
      <c r="CB17" s="632"/>
      <c r="CC17" s="651">
        <f t="shared" si="17"/>
        <v>2893</v>
      </c>
      <c r="CD17" s="654">
        <f>CC17/176</f>
        <v>16.4375</v>
      </c>
      <c r="CE17" s="654">
        <v>40</v>
      </c>
      <c r="CF17" s="653">
        <f>CD17</f>
        <v>16.4375</v>
      </c>
      <c r="CG17" s="651">
        <f t="shared" si="18"/>
        <v>1</v>
      </c>
      <c r="CH17" s="655">
        <f>CG17*24*CK2</f>
        <v>0</v>
      </c>
      <c r="CI17" s="629">
        <f>CF17</f>
        <v>16.4375</v>
      </c>
      <c r="CJ17" s="630">
        <f>CH17*CI17</f>
        <v>0</v>
      </c>
      <c r="CK17" s="632"/>
      <c r="CL17" s="651">
        <v>2982</v>
      </c>
      <c r="CM17" s="654">
        <f>CL17/184</f>
        <v>16.206521739130434</v>
      </c>
      <c r="CN17" s="654">
        <v>40</v>
      </c>
      <c r="CO17" s="653">
        <f>CM17</f>
        <v>16.206521739130434</v>
      </c>
      <c r="CP17" s="651">
        <f t="shared" si="19"/>
        <v>1</v>
      </c>
      <c r="CQ17" s="655">
        <f>CP17*24*CT4</f>
        <v>24</v>
      </c>
      <c r="CR17" s="629">
        <f>CO17</f>
        <v>16.206521739130434</v>
      </c>
      <c r="CS17" s="630">
        <f>CQ17*CR17</f>
        <v>388.95652173913038</v>
      </c>
      <c r="CT17" s="632"/>
      <c r="CU17" s="651">
        <f t="shared" si="5"/>
        <v>2982</v>
      </c>
      <c r="CV17" s="654">
        <f>CU17/160</f>
        <v>18.637499999999999</v>
      </c>
      <c r="CW17" s="654">
        <v>40</v>
      </c>
      <c r="CX17" s="653">
        <f>CV17</f>
        <v>18.637499999999999</v>
      </c>
      <c r="CY17" s="651">
        <f t="shared" si="20"/>
        <v>1</v>
      </c>
      <c r="CZ17" s="655">
        <f>CY17*24*DC2</f>
        <v>0</v>
      </c>
      <c r="DA17" s="629">
        <f>CX17</f>
        <v>18.637499999999999</v>
      </c>
      <c r="DB17" s="630">
        <f>CZ17*DA17</f>
        <v>0</v>
      </c>
      <c r="DC17" s="632"/>
      <c r="DD17" s="651">
        <f t="shared" si="6"/>
        <v>2982</v>
      </c>
      <c r="DE17" s="654">
        <f>DD17/183</f>
        <v>16.295081967213115</v>
      </c>
      <c r="DF17" s="654">
        <v>40</v>
      </c>
      <c r="DG17" s="653">
        <f>DE17</f>
        <v>16.295081967213115</v>
      </c>
      <c r="DH17" s="651">
        <f t="shared" si="21"/>
        <v>1</v>
      </c>
      <c r="DI17" s="655">
        <f>DH17*24*DL4</f>
        <v>24</v>
      </c>
      <c r="DJ17" s="629">
        <f>DG17</f>
        <v>16.295081967213115</v>
      </c>
      <c r="DK17" s="630">
        <f>DI17*DJ17</f>
        <v>391.08196721311475</v>
      </c>
      <c r="DL17" s="632"/>
      <c r="DM17" s="633">
        <f>N17+W17+AF17+AO17+AX17+BG17+BP17+BY17+CH17+CQ17+CZ17+DI17</f>
        <v>264</v>
      </c>
      <c r="DN17" s="633">
        <f t="shared" si="22"/>
        <v>4644.1497390052882</v>
      </c>
      <c r="DO17" s="712"/>
      <c r="DP17" s="711"/>
      <c r="DQ17" s="711"/>
    </row>
    <row r="18" spans="1:121" s="627" customFormat="1">
      <c r="A18" s="649" t="s">
        <v>1145</v>
      </c>
      <c r="B18" s="618">
        <f>1*11*24</f>
        <v>264</v>
      </c>
      <c r="C18" s="650">
        <v>0.35</v>
      </c>
      <c r="D18" s="646">
        <v>1</v>
      </c>
      <c r="E18" s="651">
        <f>D18*24</f>
        <v>24</v>
      </c>
      <c r="F18" s="651"/>
      <c r="G18" s="553"/>
      <c r="H18" s="652">
        <v>1</v>
      </c>
      <c r="I18" s="572">
        <v>2893</v>
      </c>
      <c r="J18" s="653">
        <f>I18/168</f>
        <v>17.220238095238095</v>
      </c>
      <c r="K18" s="654">
        <v>40</v>
      </c>
      <c r="L18" s="653">
        <f>J18</f>
        <v>17.220238095238095</v>
      </c>
      <c r="M18" s="651">
        <f t="shared" si="7"/>
        <v>1</v>
      </c>
      <c r="N18" s="655">
        <f>M18*24*Q4</f>
        <v>48</v>
      </c>
      <c r="O18" s="629">
        <f>L18</f>
        <v>17.220238095238095</v>
      </c>
      <c r="P18" s="630">
        <f>N18*O18</f>
        <v>826.57142857142856</v>
      </c>
      <c r="Q18" s="630"/>
      <c r="R18" s="651">
        <f t="shared" si="8"/>
        <v>2893</v>
      </c>
      <c r="S18" s="654">
        <f>R18/168</f>
        <v>17.220238095238095</v>
      </c>
      <c r="T18" s="654">
        <v>40</v>
      </c>
      <c r="U18" s="653">
        <f>S18*C18</f>
        <v>6.0270833333333327</v>
      </c>
      <c r="V18" s="651">
        <f t="shared" si="9"/>
        <v>1</v>
      </c>
      <c r="W18" s="655">
        <f>V18*8*Z3</f>
        <v>0</v>
      </c>
      <c r="X18" s="629">
        <f>U18</f>
        <v>6.0270833333333327</v>
      </c>
      <c r="Y18" s="630">
        <f>W18*X18</f>
        <v>0</v>
      </c>
      <c r="Z18" s="631"/>
      <c r="AA18" s="651">
        <f t="shared" si="0"/>
        <v>2893</v>
      </c>
      <c r="AB18" s="653">
        <f>AA18/159</f>
        <v>18.19496855345912</v>
      </c>
      <c r="AC18" s="654">
        <v>40</v>
      </c>
      <c r="AD18" s="653">
        <f>AB18</f>
        <v>18.19496855345912</v>
      </c>
      <c r="AE18" s="651">
        <f t="shared" si="10"/>
        <v>1</v>
      </c>
      <c r="AF18" s="655">
        <f>AE18*24*AI4</f>
        <v>24</v>
      </c>
      <c r="AG18" s="629">
        <f>AD18</f>
        <v>18.19496855345912</v>
      </c>
      <c r="AH18" s="630">
        <f>AF18*AG18</f>
        <v>436.67924528301887</v>
      </c>
      <c r="AI18" s="632"/>
      <c r="AJ18" s="651">
        <f t="shared" si="1"/>
        <v>2893</v>
      </c>
      <c r="AK18" s="654">
        <f>AJ18/167</f>
        <v>17.323353293413174</v>
      </c>
      <c r="AL18" s="654">
        <v>40</v>
      </c>
      <c r="AM18" s="653">
        <f>AK18</f>
        <v>17.323353293413174</v>
      </c>
      <c r="AN18" s="651">
        <f t="shared" si="11"/>
        <v>1</v>
      </c>
      <c r="AO18" s="655">
        <f>AN18*24*AR4</f>
        <v>24</v>
      </c>
      <c r="AP18" s="629">
        <f>AM18</f>
        <v>17.323353293413174</v>
      </c>
      <c r="AQ18" s="630">
        <f>AO18*AP18</f>
        <v>415.76047904191614</v>
      </c>
      <c r="AR18" s="632"/>
      <c r="AS18" s="651">
        <f t="shared" si="2"/>
        <v>2893</v>
      </c>
      <c r="AT18" s="654">
        <f>AS18/151</f>
        <v>19.158940397350992</v>
      </c>
      <c r="AU18" s="654">
        <v>40</v>
      </c>
      <c r="AV18" s="653">
        <f>AT18</f>
        <v>19.158940397350992</v>
      </c>
      <c r="AW18" s="651">
        <f t="shared" si="12"/>
        <v>1</v>
      </c>
      <c r="AX18" s="655">
        <f>AW18*24*BA4</f>
        <v>48</v>
      </c>
      <c r="AY18" s="629">
        <f>AV18</f>
        <v>19.158940397350992</v>
      </c>
      <c r="AZ18" s="630">
        <f>AX18*AY18</f>
        <v>919.62913907284769</v>
      </c>
      <c r="BA18" s="632"/>
      <c r="BB18" s="651">
        <f t="shared" si="3"/>
        <v>2893</v>
      </c>
      <c r="BC18" s="653">
        <f>BB18/167</f>
        <v>17.323353293413174</v>
      </c>
      <c r="BD18" s="654">
        <v>40</v>
      </c>
      <c r="BE18" s="653">
        <f>BC18</f>
        <v>17.323353293413174</v>
      </c>
      <c r="BF18" s="651">
        <f t="shared" si="13"/>
        <v>1</v>
      </c>
      <c r="BG18" s="655">
        <f>BF18*24*BJ4</f>
        <v>48</v>
      </c>
      <c r="BH18" s="629">
        <f>BE18</f>
        <v>17.323353293413174</v>
      </c>
      <c r="BI18" s="630">
        <f>BG18*BH18</f>
        <v>831.52095808383228</v>
      </c>
      <c r="BJ18" s="632"/>
      <c r="BK18" s="651">
        <f t="shared" si="14"/>
        <v>2893</v>
      </c>
      <c r="BL18" s="654">
        <f>BK18/184</f>
        <v>15.722826086956522</v>
      </c>
      <c r="BM18" s="654">
        <v>40</v>
      </c>
      <c r="BN18" s="653">
        <f>BL18</f>
        <v>15.722826086956522</v>
      </c>
      <c r="BO18" s="651">
        <f t="shared" si="15"/>
        <v>1</v>
      </c>
      <c r="BP18" s="655">
        <f>BO18*24*BS3</f>
        <v>0</v>
      </c>
      <c r="BQ18" s="629">
        <f>BN18</f>
        <v>15.722826086956522</v>
      </c>
      <c r="BR18" s="630">
        <f>BP18*BQ18</f>
        <v>0</v>
      </c>
      <c r="BS18" s="632"/>
      <c r="BT18" s="651">
        <f>BK18</f>
        <v>2893</v>
      </c>
      <c r="BU18" s="654">
        <f>BT18/160</f>
        <v>18.081250000000001</v>
      </c>
      <c r="BV18" s="654">
        <v>40</v>
      </c>
      <c r="BW18" s="653">
        <f>BU18</f>
        <v>18.081250000000001</v>
      </c>
      <c r="BX18" s="651">
        <f t="shared" si="16"/>
        <v>1</v>
      </c>
      <c r="BY18" s="655">
        <f>BX18*24*CB4</f>
        <v>24</v>
      </c>
      <c r="BZ18" s="629">
        <f>BW18</f>
        <v>18.081250000000001</v>
      </c>
      <c r="CA18" s="630">
        <f>BY18*BZ18</f>
        <v>433.95000000000005</v>
      </c>
      <c r="CB18" s="632"/>
      <c r="CC18" s="651">
        <f t="shared" si="17"/>
        <v>2893</v>
      </c>
      <c r="CD18" s="654">
        <f>CC18/176</f>
        <v>16.4375</v>
      </c>
      <c r="CE18" s="654">
        <v>40</v>
      </c>
      <c r="CF18" s="653">
        <f>CD18</f>
        <v>16.4375</v>
      </c>
      <c r="CG18" s="651">
        <f t="shared" si="18"/>
        <v>1</v>
      </c>
      <c r="CH18" s="655">
        <f>CG18*24*CK3</f>
        <v>0</v>
      </c>
      <c r="CI18" s="629">
        <f>CF18</f>
        <v>16.4375</v>
      </c>
      <c r="CJ18" s="630">
        <f>CH18*CI18</f>
        <v>0</v>
      </c>
      <c r="CK18" s="632"/>
      <c r="CL18" s="651">
        <v>2982</v>
      </c>
      <c r="CM18" s="654">
        <f>CL18/184</f>
        <v>16.206521739130434</v>
      </c>
      <c r="CN18" s="654">
        <v>40</v>
      </c>
      <c r="CO18" s="653">
        <f>CM18</f>
        <v>16.206521739130434</v>
      </c>
      <c r="CP18" s="651">
        <f t="shared" si="19"/>
        <v>1</v>
      </c>
      <c r="CQ18" s="655">
        <f>CP18*24*CT4</f>
        <v>24</v>
      </c>
      <c r="CR18" s="629">
        <f>CO18</f>
        <v>16.206521739130434</v>
      </c>
      <c r="CS18" s="630">
        <f>CQ18*CR18</f>
        <v>388.95652173913038</v>
      </c>
      <c r="CT18" s="632"/>
      <c r="CU18" s="651">
        <f t="shared" si="5"/>
        <v>2982</v>
      </c>
      <c r="CV18" s="654">
        <f>CU18/160</f>
        <v>18.637499999999999</v>
      </c>
      <c r="CW18" s="654">
        <v>40</v>
      </c>
      <c r="CX18" s="653">
        <f>CV18</f>
        <v>18.637499999999999</v>
      </c>
      <c r="CY18" s="651">
        <f t="shared" si="20"/>
        <v>1</v>
      </c>
      <c r="CZ18" s="655">
        <f>CY18*24*DC3</f>
        <v>0</v>
      </c>
      <c r="DA18" s="629">
        <f>CX18</f>
        <v>18.637499999999999</v>
      </c>
      <c r="DB18" s="630">
        <f>CZ18*DA18</f>
        <v>0</v>
      </c>
      <c r="DC18" s="632"/>
      <c r="DD18" s="651">
        <f t="shared" si="6"/>
        <v>2982</v>
      </c>
      <c r="DE18" s="654">
        <f>DD18/183</f>
        <v>16.295081967213115</v>
      </c>
      <c r="DF18" s="654">
        <v>40</v>
      </c>
      <c r="DG18" s="653">
        <f>DE18</f>
        <v>16.295081967213115</v>
      </c>
      <c r="DH18" s="651">
        <f t="shared" si="21"/>
        <v>1</v>
      </c>
      <c r="DI18" s="655">
        <f>DH18*24*DL4</f>
        <v>24</v>
      </c>
      <c r="DJ18" s="629">
        <f>DG18</f>
        <v>16.295081967213115</v>
      </c>
      <c r="DK18" s="630">
        <f>DI18*DJ18</f>
        <v>391.08196721311475</v>
      </c>
      <c r="DL18" s="632"/>
      <c r="DM18" s="633">
        <f>N18+W18+AF18+AO18+AX18+BG18+BP18+BY18+CH18+CQ18+CZ18+DI18</f>
        <v>264</v>
      </c>
      <c r="DN18" s="633">
        <f t="shared" si="22"/>
        <v>4644.1497390052882</v>
      </c>
      <c r="DO18" s="712"/>
      <c r="DP18" s="711"/>
      <c r="DQ18" s="711"/>
    </row>
    <row r="19" spans="1:121" s="627" customFormat="1" ht="19.5">
      <c r="A19" s="649" t="s">
        <v>1107</v>
      </c>
      <c r="B19" s="618"/>
      <c r="C19" s="658"/>
      <c r="D19" s="582">
        <f>SUM(D6:D18)</f>
        <v>29</v>
      </c>
      <c r="E19" s="582">
        <f>SUM(E6:E18)</f>
        <v>696</v>
      </c>
      <c r="F19" s="582"/>
      <c r="G19" s="634"/>
      <c r="H19" s="635"/>
      <c r="I19" s="646"/>
      <c r="J19" s="582"/>
      <c r="K19" s="582"/>
      <c r="L19" s="582"/>
      <c r="M19" s="630">
        <f>SUM(M6:M18)</f>
        <v>29</v>
      </c>
      <c r="N19" s="630">
        <f>SUM(N6:N18)</f>
        <v>1392</v>
      </c>
      <c r="O19" s="630"/>
      <c r="P19" s="630">
        <f>SUM(P6:P18)</f>
        <v>38744.069264069272</v>
      </c>
      <c r="Q19" s="630"/>
      <c r="R19" s="630"/>
      <c r="S19" s="630"/>
      <c r="T19" s="630"/>
      <c r="U19" s="630"/>
      <c r="V19" s="630">
        <f>SUM(V6:V18)</f>
        <v>29</v>
      </c>
      <c r="W19" s="630">
        <f>SUM(W6:W18)</f>
        <v>0</v>
      </c>
      <c r="X19" s="630"/>
      <c r="Y19" s="629">
        <f>SUM(Y6:Y18)</f>
        <v>0</v>
      </c>
      <c r="Z19" s="630"/>
      <c r="AA19" s="630"/>
      <c r="AB19" s="630"/>
      <c r="AC19" s="630"/>
      <c r="AD19" s="630"/>
      <c r="AE19" s="630">
        <f>SUM(AE6:AE18)</f>
        <v>29</v>
      </c>
      <c r="AF19" s="630">
        <f>SUM(AF6:AF18)</f>
        <v>696</v>
      </c>
      <c r="AG19" s="630"/>
      <c r="AH19" s="630">
        <f>SUM(AH6:AH18)</f>
        <v>20381.523156089192</v>
      </c>
      <c r="AI19" s="630"/>
      <c r="AJ19" s="630"/>
      <c r="AK19" s="630"/>
      <c r="AL19" s="630"/>
      <c r="AM19" s="630"/>
      <c r="AN19" s="630">
        <f>SUM(AN6:AN18)</f>
        <v>29</v>
      </c>
      <c r="AO19" s="630">
        <f>SUM(AO6:AO18)</f>
        <v>696</v>
      </c>
      <c r="AP19" s="630"/>
      <c r="AQ19" s="630">
        <f>SUM(AQ6:AQ18)</f>
        <v>19409.109054618042</v>
      </c>
      <c r="AR19" s="630"/>
      <c r="AS19" s="630"/>
      <c r="AT19" s="630"/>
      <c r="AU19" s="630"/>
      <c r="AV19" s="630"/>
      <c r="AW19" s="630">
        <f>SUM(AW6:AW18)</f>
        <v>29</v>
      </c>
      <c r="AX19" s="630">
        <f>SUM(AX6:AX18)</f>
        <v>1392</v>
      </c>
      <c r="AY19" s="630"/>
      <c r="AZ19" s="630">
        <f>SUM(AZ6:AZ18)</f>
        <v>40742.540131182875</v>
      </c>
      <c r="BA19" s="630"/>
      <c r="BB19" s="630"/>
      <c r="BC19" s="630"/>
      <c r="BD19" s="630"/>
      <c r="BE19" s="630"/>
      <c r="BF19" s="630">
        <f>SUM(BF6:BF18)</f>
        <v>29</v>
      </c>
      <c r="BG19" s="630">
        <f>SUM(BG6:BG18)</f>
        <v>1392</v>
      </c>
      <c r="BH19" s="630"/>
      <c r="BI19" s="630">
        <f>SUM(BI6:BI18)</f>
        <v>40358.372625135366</v>
      </c>
      <c r="BJ19" s="630"/>
      <c r="BK19" s="630"/>
      <c r="BL19" s="630"/>
      <c r="BM19" s="630"/>
      <c r="BN19" s="630"/>
      <c r="BO19" s="630">
        <f>SUM(BO6:BO18)</f>
        <v>29</v>
      </c>
      <c r="BP19" s="630">
        <f>SUM(BP6:BP18)</f>
        <v>0</v>
      </c>
      <c r="BQ19" s="630"/>
      <c r="BR19" s="630">
        <f>SUM(BR6:BR18)</f>
        <v>0</v>
      </c>
      <c r="BS19" s="630"/>
      <c r="BT19" s="630"/>
      <c r="BU19" s="630"/>
      <c r="BV19" s="630"/>
      <c r="BW19" s="630"/>
      <c r="BX19" s="630">
        <f>SUM(BX6:BX18)</f>
        <v>29</v>
      </c>
      <c r="BY19" s="630">
        <f>SUM(BY6:BY18)</f>
        <v>696</v>
      </c>
      <c r="BZ19" s="630"/>
      <c r="CA19" s="630">
        <f>SUM(CA6:CA18)</f>
        <v>19316.436363636367</v>
      </c>
      <c r="CB19" s="630"/>
      <c r="CC19" s="630"/>
      <c r="CD19" s="630"/>
      <c r="CE19" s="630"/>
      <c r="CF19" s="630"/>
      <c r="CG19" s="630">
        <f>SUM(CG6:CG18)</f>
        <v>29</v>
      </c>
      <c r="CH19" s="630">
        <f>SUM(CH6:CH18)</f>
        <v>0</v>
      </c>
      <c r="CI19" s="630"/>
      <c r="CJ19" s="630">
        <f>SUM(CJ6:CJ18)</f>
        <v>0</v>
      </c>
      <c r="CK19" s="630"/>
      <c r="CL19" s="630"/>
      <c r="CM19" s="630"/>
      <c r="CN19" s="630"/>
      <c r="CO19" s="630"/>
      <c r="CP19" s="630">
        <f>SUM(CP6:CP18)</f>
        <v>29</v>
      </c>
      <c r="CQ19" s="630">
        <f>SUM(CQ6:CQ18)</f>
        <v>696</v>
      </c>
      <c r="CR19" s="630"/>
      <c r="CS19" s="630">
        <f>SUM(CS6:CS18)</f>
        <v>18231.746470920385</v>
      </c>
      <c r="CT19" s="630"/>
      <c r="CU19" s="630"/>
      <c r="CV19" s="630"/>
      <c r="CW19" s="630"/>
      <c r="CX19" s="630"/>
      <c r="CY19" s="630">
        <f>SUM(CY6:CY18)</f>
        <v>29</v>
      </c>
      <c r="CZ19" s="630">
        <f>SUM(CZ6:CZ18)</f>
        <v>0</v>
      </c>
      <c r="DA19" s="630"/>
      <c r="DB19" s="630">
        <f>SUM(DB6:DB18)</f>
        <v>0</v>
      </c>
      <c r="DC19" s="630"/>
      <c r="DD19" s="651"/>
      <c r="DE19" s="630"/>
      <c r="DF19" s="630"/>
      <c r="DG19" s="630"/>
      <c r="DH19" s="630">
        <f>SUM(DH6:DH18)</f>
        <v>29</v>
      </c>
      <c r="DI19" s="630">
        <f>SUM(DI6:DI18)</f>
        <v>696</v>
      </c>
      <c r="DJ19" s="630"/>
      <c r="DK19" s="630">
        <f>SUM(DK6:DK18)</f>
        <v>18263.587525802781</v>
      </c>
      <c r="DL19" s="630"/>
      <c r="DM19" s="633">
        <f>SUM(DM6:DM18)</f>
        <v>7656</v>
      </c>
      <c r="DN19" s="717">
        <f>SUM(DN6:DN18)</f>
        <v>215447.38459145426</v>
      </c>
      <c r="DO19" s="713">
        <f>[38]ФОП!$N$9</f>
        <v>202276.80999999997</v>
      </c>
      <c r="DP19" s="713">
        <f>DN19-DO19</f>
        <v>13170.574591454293</v>
      </c>
      <c r="DQ19" s="710" t="s">
        <v>1146</v>
      </c>
    </row>
    <row r="20" spans="1:121" s="583" customFormat="1">
      <c r="B20" s="615"/>
      <c r="C20" s="585"/>
      <c r="D20" s="586"/>
      <c r="E20" s="586"/>
      <c r="F20" s="586"/>
      <c r="G20" s="587"/>
      <c r="H20" s="588"/>
      <c r="I20" s="586"/>
      <c r="J20" s="589"/>
      <c r="K20" s="589"/>
      <c r="L20" s="589"/>
      <c r="M20" s="590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2"/>
      <c r="AA20" s="592"/>
      <c r="AB20" s="592"/>
      <c r="AC20" s="592"/>
      <c r="AD20" s="592"/>
      <c r="AE20" s="592"/>
      <c r="AF20" s="591"/>
      <c r="AG20" s="591"/>
      <c r="AH20" s="591"/>
      <c r="AI20" s="592"/>
      <c r="AJ20" s="591"/>
      <c r="AK20" s="591"/>
      <c r="AL20" s="591"/>
      <c r="AM20" s="591"/>
      <c r="AN20" s="591"/>
      <c r="AO20" s="591"/>
      <c r="AP20" s="591"/>
      <c r="AQ20" s="591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2"/>
      <c r="DI20" s="592"/>
      <c r="DJ20" s="592"/>
      <c r="DK20" s="592"/>
      <c r="DL20" s="592"/>
      <c r="DM20" s="584"/>
      <c r="DO20" s="710"/>
      <c r="DP20" s="710"/>
      <c r="DQ20" s="710"/>
    </row>
    <row r="21" spans="1:121" s="583" customFormat="1">
      <c r="B21" s="615"/>
      <c r="C21" s="585"/>
      <c r="D21" s="586"/>
      <c r="E21" s="586"/>
      <c r="F21" s="586"/>
      <c r="G21" s="587"/>
      <c r="H21" s="588"/>
      <c r="I21" s="586"/>
      <c r="J21" s="589"/>
      <c r="K21" s="589"/>
      <c r="L21" s="589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3"/>
      <c r="AH21" s="590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89"/>
      <c r="BC21" s="589"/>
      <c r="BD21" s="589"/>
      <c r="BE21" s="589"/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89"/>
      <c r="BQ21" s="589"/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89"/>
      <c r="CF21" s="589"/>
      <c r="CG21" s="589"/>
      <c r="CH21" s="589"/>
      <c r="CI21" s="589"/>
      <c r="CJ21" s="589"/>
      <c r="CK21" s="589"/>
      <c r="CL21" s="589"/>
      <c r="CM21" s="589"/>
      <c r="CN21" s="589"/>
      <c r="CO21" s="589"/>
      <c r="CP21" s="589"/>
      <c r="CQ21" s="589"/>
      <c r="CR21" s="589"/>
      <c r="CS21" s="589"/>
      <c r="CT21" s="589"/>
      <c r="CU21" s="589"/>
      <c r="CV21" s="589"/>
      <c r="CW21" s="589"/>
      <c r="CX21" s="589"/>
      <c r="CY21" s="589"/>
      <c r="CZ21" s="589"/>
      <c r="DA21" s="589"/>
      <c r="DB21" s="589"/>
      <c r="DC21" s="589"/>
      <c r="DD21" s="589"/>
      <c r="DE21" s="589"/>
      <c r="DF21" s="589"/>
      <c r="DG21" s="589"/>
      <c r="DH21" s="589"/>
      <c r="DI21" s="589"/>
      <c r="DJ21" s="589"/>
      <c r="DK21" s="589"/>
      <c r="DL21" s="589"/>
      <c r="DM21" s="584"/>
      <c r="DO21" s="710"/>
      <c r="DP21" s="710"/>
      <c r="DQ21" s="710"/>
    </row>
    <row r="22" spans="1:121" s="583" customFormat="1">
      <c r="A22" s="594" t="s">
        <v>1147</v>
      </c>
      <c r="B22" s="595">
        <v>1</v>
      </c>
      <c r="C22" s="595">
        <v>2</v>
      </c>
      <c r="D22" s="595">
        <v>3</v>
      </c>
      <c r="E22" s="595">
        <v>4</v>
      </c>
      <c r="F22" s="595">
        <v>5</v>
      </c>
      <c r="G22" s="595">
        <v>6</v>
      </c>
      <c r="H22" s="595">
        <v>7</v>
      </c>
      <c r="I22" s="596">
        <v>8</v>
      </c>
      <c r="J22" s="595">
        <v>9</v>
      </c>
      <c r="K22" s="595">
        <v>10</v>
      </c>
      <c r="L22" s="595">
        <v>11</v>
      </c>
      <c r="M22" s="595">
        <v>12</v>
      </c>
      <c r="N22" s="597" t="s">
        <v>1136</v>
      </c>
      <c r="O22" s="597" t="s">
        <v>1137</v>
      </c>
      <c r="P22" s="597" t="s">
        <v>1138</v>
      </c>
      <c r="Q22" s="597" t="s">
        <v>1139</v>
      </c>
      <c r="R22" s="597" t="s">
        <v>110</v>
      </c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9"/>
      <c r="AH22" s="598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0"/>
      <c r="CE22" s="600"/>
      <c r="CF22" s="600"/>
      <c r="CG22" s="600"/>
      <c r="CH22" s="600"/>
      <c r="CI22" s="600"/>
      <c r="CJ22" s="600"/>
      <c r="CK22" s="600"/>
      <c r="CL22" s="600"/>
      <c r="CM22" s="600"/>
      <c r="CN22" s="600"/>
      <c r="CO22" s="600"/>
      <c r="CP22" s="600"/>
      <c r="CQ22" s="600"/>
      <c r="CR22" s="600"/>
      <c r="CS22" s="600"/>
      <c r="CT22" s="600"/>
      <c r="CU22" s="600"/>
      <c r="CV22" s="600"/>
      <c r="CW22" s="600"/>
      <c r="CX22" s="600"/>
      <c r="CY22" s="600"/>
      <c r="CZ22" s="600"/>
      <c r="DA22" s="600"/>
      <c r="DB22" s="600"/>
      <c r="DC22" s="600"/>
      <c r="DD22" s="600"/>
      <c r="DE22" s="600"/>
      <c r="DF22" s="600"/>
      <c r="DG22" s="600"/>
      <c r="DH22" s="600"/>
      <c r="DI22" s="600"/>
      <c r="DJ22" s="600"/>
      <c r="DK22" s="600"/>
      <c r="DL22" s="600"/>
      <c r="DM22" s="601"/>
      <c r="DN22" s="601"/>
      <c r="DO22" s="710"/>
      <c r="DP22" s="710"/>
      <c r="DQ22" s="710"/>
    </row>
    <row r="23" spans="1:121" s="583" customFormat="1">
      <c r="A23" s="602" t="s">
        <v>1227</v>
      </c>
      <c r="B23" s="595"/>
      <c r="C23" s="595"/>
      <c r="D23" s="595"/>
      <c r="E23" s="595"/>
      <c r="F23" s="595"/>
      <c r="G23" s="595"/>
      <c r="H23" s="595"/>
      <c r="I23" s="596"/>
      <c r="J23" s="595"/>
      <c r="K23" s="595"/>
      <c r="L23" s="595"/>
      <c r="M23" s="595"/>
      <c r="N23" s="603">
        <f t="shared" ref="N23:N29" si="24">B23+C23+D23</f>
        <v>0</v>
      </c>
      <c r="O23" s="603">
        <f>E23+F23+G23</f>
        <v>0</v>
      </c>
      <c r="P23" s="603">
        <f>H23+I23+J23</f>
        <v>0</v>
      </c>
      <c r="Q23" s="603">
        <f>K23+L23+M23</f>
        <v>0</v>
      </c>
      <c r="R23" s="603">
        <f>SUM(N23:Q23)</f>
        <v>0</v>
      </c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9"/>
      <c r="AH23" s="598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0"/>
      <c r="BX23" s="600"/>
      <c r="BY23" s="600"/>
      <c r="BZ23" s="600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0"/>
      <c r="CM23" s="600"/>
      <c r="CN23" s="600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0"/>
      <c r="DA23" s="600"/>
      <c r="DB23" s="600"/>
      <c r="DC23" s="600"/>
      <c r="DD23" s="600"/>
      <c r="DE23" s="600"/>
      <c r="DF23" s="600"/>
      <c r="DG23" s="600"/>
      <c r="DH23" s="600"/>
      <c r="DI23" s="600"/>
      <c r="DJ23" s="600"/>
      <c r="DK23" s="600"/>
      <c r="DL23" s="600"/>
      <c r="DM23" s="601"/>
      <c r="DN23" s="601"/>
      <c r="DO23" s="710"/>
      <c r="DP23" s="710"/>
      <c r="DQ23" s="710"/>
    </row>
    <row r="24" spans="1:121" s="583" customFormat="1">
      <c r="A24" s="602" t="s">
        <v>1224</v>
      </c>
      <c r="B24" s="595"/>
      <c r="C24" s="595"/>
      <c r="D24" s="595"/>
      <c r="E24" s="595"/>
      <c r="F24" s="595"/>
      <c r="G24" s="595"/>
      <c r="H24" s="595"/>
      <c r="I24" s="596"/>
      <c r="J24" s="595"/>
      <c r="K24" s="595"/>
      <c r="L24" s="595"/>
      <c r="M24" s="595"/>
      <c r="N24" s="603">
        <f t="shared" si="24"/>
        <v>0</v>
      </c>
      <c r="O24" s="603">
        <f t="shared" ref="O24:O29" si="25">E24+F24+G24</f>
        <v>0</v>
      </c>
      <c r="P24" s="603">
        <f t="shared" ref="P24:P29" si="26">H24+I24+J24</f>
        <v>0</v>
      </c>
      <c r="Q24" s="603">
        <f t="shared" ref="Q24:Q29" si="27">K24+L24+M24</f>
        <v>0</v>
      </c>
      <c r="R24" s="603">
        <f t="shared" ref="R24:R29" si="28">SUM(N24:Q24)</f>
        <v>0</v>
      </c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9"/>
      <c r="AH24" s="598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  <c r="AT24" s="600"/>
      <c r="AU24" s="600"/>
      <c r="AV24" s="600"/>
      <c r="AW24" s="600"/>
      <c r="AX24" s="600"/>
      <c r="AY24" s="600"/>
      <c r="AZ24" s="600"/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0"/>
      <c r="BX24" s="600"/>
      <c r="BY24" s="600"/>
      <c r="BZ24" s="600"/>
      <c r="CA24" s="600"/>
      <c r="CB24" s="600"/>
      <c r="CC24" s="600"/>
      <c r="CD24" s="600"/>
      <c r="CE24" s="600"/>
      <c r="CF24" s="600"/>
      <c r="CG24" s="600"/>
      <c r="CH24" s="600"/>
      <c r="CI24" s="600"/>
      <c r="CJ24" s="600"/>
      <c r="CK24" s="600"/>
      <c r="CL24" s="600"/>
      <c r="CM24" s="600"/>
      <c r="CN24" s="600"/>
      <c r="CO24" s="600"/>
      <c r="CP24" s="600"/>
      <c r="CQ24" s="600"/>
      <c r="CR24" s="600"/>
      <c r="CS24" s="600"/>
      <c r="CT24" s="600"/>
      <c r="CU24" s="600"/>
      <c r="CV24" s="600"/>
      <c r="CW24" s="600"/>
      <c r="CX24" s="600"/>
      <c r="CY24" s="600"/>
      <c r="CZ24" s="600"/>
      <c r="DA24" s="600"/>
      <c r="DB24" s="600"/>
      <c r="DC24" s="600"/>
      <c r="DD24" s="600"/>
      <c r="DE24" s="600"/>
      <c r="DF24" s="600"/>
      <c r="DG24" s="600"/>
      <c r="DH24" s="600"/>
      <c r="DI24" s="600"/>
      <c r="DJ24" s="600"/>
      <c r="DK24" s="600"/>
      <c r="DL24" s="600"/>
      <c r="DM24" s="601"/>
      <c r="DN24" s="601"/>
      <c r="DO24" s="710"/>
      <c r="DP24" s="710"/>
      <c r="DQ24" s="710"/>
    </row>
    <row r="25" spans="1:121" s="583" customFormat="1">
      <c r="A25" s="602" t="s">
        <v>16</v>
      </c>
      <c r="B25" s="604">
        <f>P6+P7</f>
        <v>8146.7408781694503</v>
      </c>
      <c r="C25" s="604">
        <f>Y6+Y7</f>
        <v>0</v>
      </c>
      <c r="D25" s="604">
        <f>AH6+AH7</f>
        <v>4277.0389610389611</v>
      </c>
      <c r="E25" s="604">
        <f>AQ6+AQ7</f>
        <v>4073.3704390847251</v>
      </c>
      <c r="F25" s="604">
        <f>AZ6+AZ7</f>
        <v>9004.2925495557065</v>
      </c>
      <c r="G25" s="604">
        <f>BI6+BI7</f>
        <v>9004.2925495557065</v>
      </c>
      <c r="H25" s="604">
        <f>BR6+BR7</f>
        <v>0</v>
      </c>
      <c r="I25" s="605">
        <f>CA6+CA7</f>
        <v>4277.0389610389611</v>
      </c>
      <c r="J25" s="604">
        <f>CJ6+CJ7</f>
        <v>0</v>
      </c>
      <c r="K25" s="604">
        <f>CS6+CS7</f>
        <v>3833.675889328063</v>
      </c>
      <c r="L25" s="604">
        <f>DB6+DB7</f>
        <v>0</v>
      </c>
      <c r="M25" s="604">
        <f>DK6+DK7</f>
        <v>3833.675889328063</v>
      </c>
      <c r="N25" s="603">
        <f t="shared" si="24"/>
        <v>12423.779839208411</v>
      </c>
      <c r="O25" s="603">
        <f>E25+F25+G25</f>
        <v>22081.95553819614</v>
      </c>
      <c r="P25" s="603">
        <f t="shared" si="26"/>
        <v>4277.0389610389611</v>
      </c>
      <c r="Q25" s="603">
        <f t="shared" si="27"/>
        <v>7667.351778656126</v>
      </c>
      <c r="R25" s="603">
        <f t="shared" si="28"/>
        <v>46450.126117099637</v>
      </c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9"/>
      <c r="AH25" s="598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0"/>
      <c r="BX25" s="600"/>
      <c r="BY25" s="600"/>
      <c r="BZ25" s="600"/>
      <c r="CA25" s="600"/>
      <c r="CB25" s="600"/>
      <c r="CC25" s="600"/>
      <c r="CD25" s="600"/>
      <c r="CE25" s="600"/>
      <c r="CF25" s="600"/>
      <c r="CG25" s="600"/>
      <c r="CH25" s="600"/>
      <c r="CI25" s="600"/>
      <c r="CJ25" s="600"/>
      <c r="CK25" s="600"/>
      <c r="CL25" s="600"/>
      <c r="CM25" s="600"/>
      <c r="CN25" s="600"/>
      <c r="CO25" s="600"/>
      <c r="CP25" s="600"/>
      <c r="CQ25" s="600"/>
      <c r="CR25" s="600"/>
      <c r="CS25" s="600"/>
      <c r="CT25" s="600"/>
      <c r="CU25" s="600"/>
      <c r="CV25" s="600"/>
      <c r="CW25" s="600"/>
      <c r="CX25" s="600"/>
      <c r="CY25" s="600"/>
      <c r="CZ25" s="600"/>
      <c r="DA25" s="600"/>
      <c r="DB25" s="600"/>
      <c r="DC25" s="600"/>
      <c r="DD25" s="600"/>
      <c r="DE25" s="600"/>
      <c r="DF25" s="600"/>
      <c r="DG25" s="600"/>
      <c r="DH25" s="600"/>
      <c r="DI25" s="600"/>
      <c r="DJ25" s="600"/>
      <c r="DK25" s="600"/>
      <c r="DL25" s="600"/>
      <c r="DM25" s="601"/>
      <c r="DN25" s="601"/>
      <c r="DO25" s="710"/>
      <c r="DP25" s="710"/>
      <c r="DQ25" s="710"/>
    </row>
    <row r="26" spans="1:121" s="583" customFormat="1">
      <c r="A26" s="602" t="s">
        <v>1228</v>
      </c>
      <c r="B26" s="604">
        <f>P9+P10</f>
        <v>18214.471243042673</v>
      </c>
      <c r="C26" s="604">
        <f>Y9+Y10</f>
        <v>0</v>
      </c>
      <c r="D26" s="604">
        <f>AH9+AH10</f>
        <v>9562.5974025974028</v>
      </c>
      <c r="E26" s="604">
        <f>AQ9+AQ10</f>
        <v>9107.2356215213367</v>
      </c>
      <c r="F26" s="604">
        <f>AZ9+AZ10</f>
        <v>20131.784005468216</v>
      </c>
      <c r="G26" s="604">
        <f>BI9+BI10</f>
        <v>20131.784005468216</v>
      </c>
      <c r="H26" s="604">
        <f>BR9+BR10</f>
        <v>0</v>
      </c>
      <c r="I26" s="605">
        <f>CA9+CA10</f>
        <v>9562.5974025974028</v>
      </c>
      <c r="J26" s="604">
        <f>CJ9+CJ10</f>
        <v>0</v>
      </c>
      <c r="K26" s="604">
        <f>CS9+CS10</f>
        <v>8571.157538114061</v>
      </c>
      <c r="L26" s="604">
        <f>DB9+DB10</f>
        <v>0</v>
      </c>
      <c r="M26" s="604">
        <f>DK9+DK10</f>
        <v>8571.157538114061</v>
      </c>
      <c r="N26" s="603">
        <f t="shared" si="24"/>
        <v>27777.068645640076</v>
      </c>
      <c r="O26" s="603">
        <f t="shared" si="25"/>
        <v>49370.80363245777</v>
      </c>
      <c r="P26" s="603">
        <f t="shared" si="26"/>
        <v>9562.5974025974028</v>
      </c>
      <c r="Q26" s="603">
        <f t="shared" si="27"/>
        <v>17142.315076228122</v>
      </c>
      <c r="R26" s="603">
        <f t="shared" si="28"/>
        <v>103852.78475692336</v>
      </c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9"/>
      <c r="AH26" s="598"/>
      <c r="AI26" s="600"/>
      <c r="AJ26" s="600"/>
      <c r="AK26" s="600"/>
      <c r="AL26" s="600"/>
      <c r="AM26" s="600"/>
      <c r="AN26" s="600"/>
      <c r="AO26" s="600"/>
      <c r="AP26" s="600"/>
      <c r="AQ26" s="600"/>
      <c r="AR26" s="600"/>
      <c r="AS26" s="600"/>
      <c r="AT26" s="600"/>
      <c r="AU26" s="600"/>
      <c r="AV26" s="600"/>
      <c r="AW26" s="600"/>
      <c r="AX26" s="600"/>
      <c r="AY26" s="600"/>
      <c r="AZ26" s="600"/>
      <c r="BA26" s="600"/>
      <c r="BB26" s="600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0"/>
      <c r="BX26" s="600"/>
      <c r="BY26" s="600"/>
      <c r="BZ26" s="600"/>
      <c r="CA26" s="600"/>
      <c r="CB26" s="600"/>
      <c r="CC26" s="600"/>
      <c r="CD26" s="600"/>
      <c r="CE26" s="600"/>
      <c r="CF26" s="600"/>
      <c r="CG26" s="600"/>
      <c r="CH26" s="600"/>
      <c r="CI26" s="600"/>
      <c r="CJ26" s="600"/>
      <c r="CK26" s="600"/>
      <c r="CL26" s="600"/>
      <c r="CM26" s="600"/>
      <c r="CN26" s="600"/>
      <c r="CO26" s="600"/>
      <c r="CP26" s="600"/>
      <c r="CQ26" s="600"/>
      <c r="CR26" s="600"/>
      <c r="CS26" s="600"/>
      <c r="CT26" s="600"/>
      <c r="CU26" s="600"/>
      <c r="CV26" s="600"/>
      <c r="CW26" s="600"/>
      <c r="CX26" s="600"/>
      <c r="CY26" s="600"/>
      <c r="CZ26" s="600"/>
      <c r="DA26" s="600"/>
      <c r="DB26" s="600"/>
      <c r="DC26" s="600"/>
      <c r="DD26" s="600"/>
      <c r="DE26" s="600"/>
      <c r="DF26" s="600"/>
      <c r="DG26" s="600"/>
      <c r="DH26" s="600"/>
      <c r="DI26" s="600"/>
      <c r="DJ26" s="600"/>
      <c r="DK26" s="600"/>
      <c r="DL26" s="600"/>
      <c r="DM26" s="601"/>
      <c r="DN26" s="601"/>
      <c r="DO26" s="710"/>
      <c r="DP26" s="710"/>
      <c r="DQ26" s="710"/>
    </row>
    <row r="27" spans="1:121" s="583" customFormat="1">
      <c r="A27" s="602" t="s">
        <v>102</v>
      </c>
      <c r="B27" s="604">
        <f>P12+P13</f>
        <v>8778.8571428571449</v>
      </c>
      <c r="C27" s="604">
        <f>Y12+Y13</f>
        <v>0</v>
      </c>
      <c r="D27" s="604">
        <f>AH12+AH13</f>
        <v>4637.8867924528304</v>
      </c>
      <c r="E27" s="604">
        <f>AQ12+AQ13</f>
        <v>4415.7125748502995</v>
      </c>
      <c r="F27" s="604">
        <f>AZ12+AZ13</f>
        <v>9767.2052980132466</v>
      </c>
      <c r="G27" s="604">
        <f>BI12+BI13</f>
        <v>9559.254153943768</v>
      </c>
      <c r="H27" s="604">
        <f>BR12+BR13</f>
        <v>0</v>
      </c>
      <c r="I27" s="605">
        <f>CA12+CA13</f>
        <v>4608.8999999999996</v>
      </c>
      <c r="J27" s="604">
        <f>CJ12+CJ13</f>
        <v>0</v>
      </c>
      <c r="K27" s="604">
        <f>CS12+CS13</f>
        <v>4131</v>
      </c>
      <c r="L27" s="604">
        <f>DB12+DB13</f>
        <v>0</v>
      </c>
      <c r="M27" s="604">
        <f>DK12+DK13</f>
        <v>4153.5737704918038</v>
      </c>
      <c r="N27" s="603">
        <f t="shared" si="24"/>
        <v>13416.743935309976</v>
      </c>
      <c r="O27" s="603">
        <f t="shared" si="25"/>
        <v>23742.172026807311</v>
      </c>
      <c r="P27" s="603">
        <f t="shared" si="26"/>
        <v>4608.8999999999996</v>
      </c>
      <c r="Q27" s="603">
        <f t="shared" si="27"/>
        <v>8284.5737704918029</v>
      </c>
      <c r="R27" s="603">
        <f t="shared" si="28"/>
        <v>50052.389732609096</v>
      </c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8"/>
      <c r="AG27" s="599"/>
      <c r="AH27" s="598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0"/>
      <c r="AT27" s="600"/>
      <c r="AU27" s="600"/>
      <c r="AV27" s="600"/>
      <c r="AW27" s="600"/>
      <c r="AX27" s="600"/>
      <c r="AY27" s="600"/>
      <c r="AZ27" s="600"/>
      <c r="BA27" s="600"/>
      <c r="BB27" s="600"/>
      <c r="BC27" s="600"/>
      <c r="BD27" s="600"/>
      <c r="BE27" s="600"/>
      <c r="BF27" s="600"/>
      <c r="BG27" s="600"/>
      <c r="BH27" s="600"/>
      <c r="BI27" s="600"/>
      <c r="BJ27" s="600"/>
      <c r="BK27" s="600"/>
      <c r="BL27" s="600"/>
      <c r="BM27" s="600"/>
      <c r="BN27" s="600"/>
      <c r="BO27" s="600"/>
      <c r="BP27" s="600"/>
      <c r="BQ27" s="600"/>
      <c r="BR27" s="600"/>
      <c r="BS27" s="600"/>
      <c r="BT27" s="600"/>
      <c r="BU27" s="600"/>
      <c r="BV27" s="600"/>
      <c r="BW27" s="600"/>
      <c r="BX27" s="600"/>
      <c r="BY27" s="600"/>
      <c r="BZ27" s="600"/>
      <c r="CA27" s="600"/>
      <c r="CB27" s="600"/>
      <c r="CC27" s="600"/>
      <c r="CD27" s="600"/>
      <c r="CE27" s="600"/>
      <c r="CF27" s="600"/>
      <c r="CG27" s="600"/>
      <c r="CH27" s="600"/>
      <c r="CI27" s="600"/>
      <c r="CJ27" s="600"/>
      <c r="CK27" s="600"/>
      <c r="CL27" s="600"/>
      <c r="CM27" s="600"/>
      <c r="CN27" s="600"/>
      <c r="CO27" s="600"/>
      <c r="CP27" s="600"/>
      <c r="CQ27" s="600"/>
      <c r="CR27" s="600"/>
      <c r="CS27" s="600"/>
      <c r="CT27" s="600"/>
      <c r="CU27" s="600"/>
      <c r="CV27" s="600"/>
      <c r="CW27" s="600"/>
      <c r="CX27" s="600"/>
      <c r="CY27" s="600"/>
      <c r="CZ27" s="600"/>
      <c r="DA27" s="600"/>
      <c r="DB27" s="600"/>
      <c r="DC27" s="600"/>
      <c r="DD27" s="600"/>
      <c r="DE27" s="600"/>
      <c r="DF27" s="600"/>
      <c r="DG27" s="600"/>
      <c r="DH27" s="600"/>
      <c r="DI27" s="600"/>
      <c r="DJ27" s="600"/>
      <c r="DK27" s="600"/>
      <c r="DL27" s="600"/>
      <c r="DM27" s="601"/>
      <c r="DN27" s="601"/>
      <c r="DO27" s="710"/>
      <c r="DP27" s="710"/>
      <c r="DQ27" s="710"/>
    </row>
    <row r="28" spans="1:121" s="583" customFormat="1">
      <c r="A28" s="602" t="s">
        <v>1225</v>
      </c>
      <c r="B28" s="604">
        <f>P15+P17+P18</f>
        <v>3604</v>
      </c>
      <c r="C28" s="604">
        <f>Y15+Y17+Y18</f>
        <v>0</v>
      </c>
      <c r="D28" s="604">
        <f>AH15+AH17+AH18</f>
        <v>1904</v>
      </c>
      <c r="E28" s="604">
        <f>AQ15+AQ17+AQ18</f>
        <v>1812.7904191616765</v>
      </c>
      <c r="F28" s="604">
        <f>AZ15+AZ17+AZ18</f>
        <v>1839.2582781456954</v>
      </c>
      <c r="G28" s="604">
        <f>BI15+BI17+BI18</f>
        <v>1663.0419161676646</v>
      </c>
      <c r="H28" s="604">
        <f>BR15+BR17+BR18</f>
        <v>0</v>
      </c>
      <c r="I28" s="605">
        <f>CA15+CA17+CA18</f>
        <v>867.90000000000009</v>
      </c>
      <c r="J28" s="604">
        <f>CJ15+CJ17+CJ18</f>
        <v>0</v>
      </c>
      <c r="K28" s="604">
        <f>CS15+CS17+CS18</f>
        <v>1695.913043478261</v>
      </c>
      <c r="L28" s="604">
        <f>DB15+DB17+DB18</f>
        <v>0</v>
      </c>
      <c r="M28" s="604">
        <f>DK15+DK17+DK18</f>
        <v>1705.1803278688524</v>
      </c>
      <c r="N28" s="603">
        <f t="shared" si="24"/>
        <v>5508</v>
      </c>
      <c r="O28" s="603">
        <f t="shared" si="25"/>
        <v>5315.0906134750367</v>
      </c>
      <c r="P28" s="603">
        <f t="shared" si="26"/>
        <v>867.90000000000009</v>
      </c>
      <c r="Q28" s="603">
        <f t="shared" si="27"/>
        <v>3401.0933713471131</v>
      </c>
      <c r="R28" s="603">
        <f t="shared" si="28"/>
        <v>15092.083984822149</v>
      </c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9"/>
      <c r="AH28" s="598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0"/>
      <c r="BD28" s="600"/>
      <c r="BE28" s="600"/>
      <c r="BF28" s="600"/>
      <c r="BG28" s="600"/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600"/>
      <c r="CH28" s="600"/>
      <c r="CI28" s="600"/>
      <c r="CJ28" s="600"/>
      <c r="CK28" s="600"/>
      <c r="CL28" s="600"/>
      <c r="CM28" s="600"/>
      <c r="CN28" s="600"/>
      <c r="CO28" s="600"/>
      <c r="CP28" s="600"/>
      <c r="CQ28" s="600"/>
      <c r="CR28" s="600"/>
      <c r="CS28" s="600"/>
      <c r="CT28" s="600"/>
      <c r="CU28" s="600"/>
      <c r="CV28" s="600"/>
      <c r="CW28" s="600"/>
      <c r="CX28" s="600"/>
      <c r="CY28" s="600"/>
      <c r="CZ28" s="600"/>
      <c r="DA28" s="600"/>
      <c r="DB28" s="600"/>
      <c r="DC28" s="600"/>
      <c r="DD28" s="600"/>
      <c r="DE28" s="600"/>
      <c r="DF28" s="600"/>
      <c r="DG28" s="600"/>
      <c r="DH28" s="600"/>
      <c r="DI28" s="600"/>
      <c r="DJ28" s="600"/>
      <c r="DK28" s="600"/>
      <c r="DL28" s="600"/>
      <c r="DM28" s="601"/>
      <c r="DN28" s="601"/>
      <c r="DO28" s="710"/>
      <c r="DP28" s="710"/>
      <c r="DQ28" s="710"/>
    </row>
    <row r="29" spans="1:121" s="583" customFormat="1">
      <c r="A29" s="606"/>
      <c r="B29" s="604">
        <f>SUM(B23:B28)</f>
        <v>38744.069264069272</v>
      </c>
      <c r="C29" s="604">
        <f t="shared" ref="C29:M29" si="29">SUM(C23:C28)</f>
        <v>0</v>
      </c>
      <c r="D29" s="604">
        <f t="shared" si="29"/>
        <v>20381.523156089195</v>
      </c>
      <c r="E29" s="604">
        <f t="shared" si="29"/>
        <v>19409.109054618038</v>
      </c>
      <c r="F29" s="604">
        <f t="shared" si="29"/>
        <v>40742.540131182868</v>
      </c>
      <c r="G29" s="604">
        <f t="shared" si="29"/>
        <v>40358.372625135351</v>
      </c>
      <c r="H29" s="604">
        <f t="shared" si="29"/>
        <v>0</v>
      </c>
      <c r="I29" s="604">
        <f t="shared" si="29"/>
        <v>19316.436363636363</v>
      </c>
      <c r="J29" s="604">
        <f t="shared" si="29"/>
        <v>0</v>
      </c>
      <c r="K29" s="604">
        <f t="shared" si="29"/>
        <v>18231.746470920385</v>
      </c>
      <c r="L29" s="604">
        <f t="shared" si="29"/>
        <v>0</v>
      </c>
      <c r="M29" s="604">
        <f t="shared" si="29"/>
        <v>18263.587525802781</v>
      </c>
      <c r="N29" s="603">
        <f t="shared" si="24"/>
        <v>59125.592420158471</v>
      </c>
      <c r="O29" s="603">
        <f t="shared" si="25"/>
        <v>100510.02181093626</v>
      </c>
      <c r="P29" s="603">
        <f t="shared" si="26"/>
        <v>19316.436363636363</v>
      </c>
      <c r="Q29" s="603">
        <f t="shared" si="27"/>
        <v>36495.333996723166</v>
      </c>
      <c r="R29" s="603">
        <f t="shared" si="28"/>
        <v>215447.38459145426</v>
      </c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9"/>
      <c r="AH29" s="598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  <c r="BH29" s="600"/>
      <c r="BI29" s="600"/>
      <c r="BJ29" s="600"/>
      <c r="BK29" s="600"/>
      <c r="BL29" s="600"/>
      <c r="BM29" s="600"/>
      <c r="BN29" s="600"/>
      <c r="BO29" s="600"/>
      <c r="BP29" s="600"/>
      <c r="BQ29" s="600"/>
      <c r="BR29" s="60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600"/>
      <c r="CH29" s="600"/>
      <c r="CI29" s="600"/>
      <c r="CJ29" s="600"/>
      <c r="CK29" s="600"/>
      <c r="CL29" s="600"/>
      <c r="CM29" s="600"/>
      <c r="CN29" s="600"/>
      <c r="CO29" s="600"/>
      <c r="CP29" s="600"/>
      <c r="CQ29" s="600"/>
      <c r="CR29" s="600"/>
      <c r="CS29" s="600"/>
      <c r="CT29" s="600"/>
      <c r="CU29" s="600"/>
      <c r="CV29" s="600"/>
      <c r="CW29" s="600"/>
      <c r="CX29" s="600"/>
      <c r="CY29" s="600"/>
      <c r="CZ29" s="600"/>
      <c r="DA29" s="600"/>
      <c r="DB29" s="600"/>
      <c r="DC29" s="600"/>
      <c r="DD29" s="600"/>
      <c r="DE29" s="600"/>
      <c r="DF29" s="600"/>
      <c r="DG29" s="600"/>
      <c r="DH29" s="600"/>
      <c r="DI29" s="600"/>
      <c r="DJ29" s="600"/>
      <c r="DK29" s="600"/>
      <c r="DL29" s="600"/>
      <c r="DM29" s="601"/>
      <c r="DN29" s="601"/>
      <c r="DO29" s="710"/>
      <c r="DP29" s="710"/>
      <c r="DQ29" s="710"/>
    </row>
    <row r="30" spans="1:121" s="583" customFormat="1">
      <c r="A30" s="606"/>
      <c r="B30" s="595"/>
      <c r="C30" s="607"/>
      <c r="D30" s="608"/>
      <c r="E30" s="608"/>
      <c r="F30" s="608"/>
      <c r="G30" s="609"/>
      <c r="H30" s="610"/>
      <c r="I30" s="557"/>
      <c r="J30" s="611"/>
      <c r="K30" s="611"/>
      <c r="L30" s="611"/>
      <c r="M30" s="608"/>
      <c r="N30" s="603"/>
      <c r="O30" s="603"/>
      <c r="P30" s="603"/>
      <c r="Q30" s="603"/>
      <c r="R30" s="603">
        <f>R29-DN19</f>
        <v>0</v>
      </c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9"/>
      <c r="AH30" s="598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  <c r="DI30" s="600"/>
      <c r="DJ30" s="600"/>
      <c r="DK30" s="600"/>
      <c r="DL30" s="600"/>
      <c r="DM30" s="601"/>
      <c r="DN30" s="601"/>
      <c r="DO30" s="710"/>
      <c r="DP30" s="710"/>
      <c r="DQ30" s="710"/>
    </row>
    <row r="32" spans="1:121" s="666" customFormat="1">
      <c r="A32" s="675"/>
      <c r="B32" s="676"/>
      <c r="C32" s="1179" t="s">
        <v>1090</v>
      </c>
      <c r="D32" s="1180"/>
      <c r="E32" s="1180"/>
      <c r="F32" s="1180"/>
      <c r="G32" s="1181"/>
      <c r="H32" s="670"/>
      <c r="I32" s="677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78"/>
      <c r="AH32" s="601"/>
      <c r="DM32" s="601"/>
      <c r="DN32" s="674"/>
      <c r="DO32" s="669"/>
      <c r="DP32" s="669"/>
      <c r="DQ32" s="669"/>
    </row>
    <row r="33" spans="1:121" s="688" customFormat="1" ht="39">
      <c r="A33" s="679" t="s">
        <v>1133</v>
      </c>
      <c r="B33" s="680" t="s">
        <v>1116</v>
      </c>
      <c r="C33" s="681" t="s">
        <v>1117</v>
      </c>
      <c r="D33" s="681" t="s">
        <v>101</v>
      </c>
      <c r="E33" s="681" t="s">
        <v>102</v>
      </c>
      <c r="F33" s="681" t="s">
        <v>1118</v>
      </c>
      <c r="G33" s="682" t="s">
        <v>871</v>
      </c>
      <c r="H33" s="683"/>
      <c r="I33" s="684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85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86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0"/>
      <c r="CN33" s="600"/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00"/>
      <c r="DB33" s="600"/>
      <c r="DC33" s="600"/>
      <c r="DD33" s="600"/>
      <c r="DE33" s="600"/>
      <c r="DF33" s="600"/>
      <c r="DG33" s="600"/>
      <c r="DH33" s="600"/>
      <c r="DI33" s="600"/>
      <c r="DJ33" s="600"/>
      <c r="DK33" s="600"/>
      <c r="DL33" s="600"/>
      <c r="DM33" s="666"/>
      <c r="DN33" s="687"/>
      <c r="DO33" s="710"/>
      <c r="DP33" s="710"/>
      <c r="DQ33" s="710"/>
    </row>
    <row r="34" spans="1:121" s="694" customFormat="1">
      <c r="A34" s="689" t="s">
        <v>1119</v>
      </c>
      <c r="B34" s="690">
        <v>15</v>
      </c>
      <c r="C34" s="691">
        <v>1</v>
      </c>
      <c r="D34" s="691">
        <v>2</v>
      </c>
      <c r="E34" s="691">
        <v>1</v>
      </c>
      <c r="F34" s="691"/>
      <c r="G34" s="682">
        <f t="shared" ref="G34:G44" si="30">C34+D34+E34+F34</f>
        <v>4</v>
      </c>
      <c r="H34" s="692"/>
      <c r="I34" s="693"/>
      <c r="J34" s="685"/>
      <c r="K34" s="685"/>
      <c r="L34" s="685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685"/>
      <c r="AJ34" s="685"/>
      <c r="AK34" s="685"/>
      <c r="AL34" s="685"/>
      <c r="AM34" s="685"/>
      <c r="AN34" s="685"/>
      <c r="AO34" s="685"/>
      <c r="AP34" s="685"/>
      <c r="AQ34" s="685"/>
      <c r="AR34" s="685"/>
      <c r="AS34" s="685"/>
      <c r="AT34" s="685"/>
      <c r="AU34" s="685"/>
      <c r="AV34" s="685"/>
      <c r="AW34" s="685"/>
      <c r="AX34" s="685"/>
      <c r="AY34" s="685"/>
      <c r="AZ34" s="685"/>
      <c r="BA34" s="685"/>
      <c r="BB34" s="685"/>
      <c r="BC34" s="685"/>
      <c r="BD34" s="685"/>
      <c r="BE34" s="685"/>
      <c r="BF34" s="685"/>
      <c r="BG34" s="685"/>
      <c r="BH34" s="685"/>
      <c r="BI34" s="685"/>
      <c r="BJ34" s="685"/>
      <c r="BK34" s="685"/>
      <c r="BL34" s="685"/>
      <c r="BM34" s="685"/>
      <c r="BN34" s="685"/>
      <c r="BO34" s="685"/>
      <c r="BP34" s="685"/>
      <c r="BQ34" s="685"/>
      <c r="BR34" s="685"/>
      <c r="BS34" s="685"/>
      <c r="BT34" s="685"/>
      <c r="BU34" s="685"/>
      <c r="BV34" s="685"/>
      <c r="BW34" s="685"/>
      <c r="BX34" s="685"/>
      <c r="BY34" s="685"/>
      <c r="BZ34" s="685"/>
      <c r="CA34" s="685"/>
      <c r="CB34" s="685"/>
      <c r="CC34" s="685"/>
      <c r="CD34" s="685"/>
      <c r="CE34" s="685"/>
      <c r="CF34" s="685"/>
      <c r="CG34" s="685"/>
      <c r="CH34" s="685"/>
      <c r="CI34" s="685"/>
      <c r="CJ34" s="685"/>
      <c r="CK34" s="685"/>
      <c r="CL34" s="685"/>
      <c r="CM34" s="685"/>
      <c r="CN34" s="685"/>
      <c r="CO34" s="685"/>
      <c r="CP34" s="685"/>
      <c r="CQ34" s="685"/>
      <c r="CR34" s="685"/>
      <c r="CS34" s="685"/>
      <c r="CT34" s="685"/>
      <c r="CU34" s="685"/>
      <c r="CV34" s="685"/>
      <c r="CW34" s="685"/>
      <c r="CX34" s="685"/>
      <c r="CY34" s="685"/>
      <c r="CZ34" s="685"/>
      <c r="DA34" s="685"/>
      <c r="DB34" s="685"/>
      <c r="DC34" s="685"/>
      <c r="DD34" s="685"/>
      <c r="DE34" s="685"/>
      <c r="DF34" s="685"/>
      <c r="DG34" s="685"/>
      <c r="DH34" s="685"/>
      <c r="DI34" s="685"/>
      <c r="DJ34" s="685"/>
      <c r="DK34" s="685"/>
      <c r="DL34" s="685"/>
      <c r="DM34" s="678"/>
      <c r="DN34" s="678"/>
      <c r="DO34" s="710"/>
      <c r="DP34" s="710"/>
      <c r="DQ34" s="710"/>
    </row>
    <row r="35" spans="1:121" s="694" customFormat="1">
      <c r="A35" s="689" t="s">
        <v>1120</v>
      </c>
      <c r="B35" s="690">
        <v>40</v>
      </c>
      <c r="C35" s="691"/>
      <c r="D35" s="691">
        <v>1</v>
      </c>
      <c r="E35" s="691">
        <v>1</v>
      </c>
      <c r="F35" s="691"/>
      <c r="G35" s="682">
        <f t="shared" si="30"/>
        <v>2</v>
      </c>
      <c r="H35" s="692"/>
      <c r="I35" s="693"/>
      <c r="J35" s="685"/>
      <c r="K35" s="685"/>
      <c r="L35" s="685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5"/>
      <c r="BF35" s="685"/>
      <c r="BG35" s="685"/>
      <c r="BH35" s="685"/>
      <c r="BI35" s="685"/>
      <c r="BJ35" s="685"/>
      <c r="BK35" s="685"/>
      <c r="BL35" s="685"/>
      <c r="BM35" s="685"/>
      <c r="BN35" s="685"/>
      <c r="BO35" s="685"/>
      <c r="BP35" s="685"/>
      <c r="BQ35" s="685"/>
      <c r="BR35" s="685"/>
      <c r="BS35" s="685"/>
      <c r="BT35" s="685"/>
      <c r="BU35" s="685"/>
      <c r="BV35" s="685"/>
      <c r="BW35" s="685"/>
      <c r="BX35" s="685"/>
      <c r="BY35" s="685"/>
      <c r="BZ35" s="685"/>
      <c r="CA35" s="685"/>
      <c r="CB35" s="685"/>
      <c r="CC35" s="685"/>
      <c r="CD35" s="685"/>
      <c r="CE35" s="685"/>
      <c r="CF35" s="685"/>
      <c r="CG35" s="685"/>
      <c r="CH35" s="685"/>
      <c r="CI35" s="685"/>
      <c r="CJ35" s="685"/>
      <c r="CK35" s="685"/>
      <c r="CL35" s="685"/>
      <c r="CM35" s="685"/>
      <c r="CN35" s="685"/>
      <c r="CO35" s="685"/>
      <c r="CP35" s="685"/>
      <c r="CQ35" s="685"/>
      <c r="CR35" s="685"/>
      <c r="CS35" s="685"/>
      <c r="CT35" s="685"/>
      <c r="CU35" s="685"/>
      <c r="CV35" s="685"/>
      <c r="CW35" s="685"/>
      <c r="CX35" s="685"/>
      <c r="CY35" s="685"/>
      <c r="CZ35" s="685"/>
      <c r="DA35" s="685"/>
      <c r="DB35" s="685"/>
      <c r="DC35" s="685"/>
      <c r="DD35" s="685"/>
      <c r="DE35" s="685"/>
      <c r="DF35" s="685"/>
      <c r="DG35" s="685"/>
      <c r="DH35" s="685"/>
      <c r="DI35" s="685"/>
      <c r="DJ35" s="685"/>
      <c r="DK35" s="685"/>
      <c r="DL35" s="685"/>
      <c r="DM35" s="678"/>
      <c r="DN35" s="678"/>
      <c r="DO35" s="710"/>
      <c r="DP35" s="710"/>
      <c r="DQ35" s="710"/>
    </row>
    <row r="36" spans="1:121" s="694" customFormat="1">
      <c r="A36" s="689" t="s">
        <v>1121</v>
      </c>
      <c r="B36" s="690">
        <v>25</v>
      </c>
      <c r="C36" s="691"/>
      <c r="D36" s="691">
        <v>1</v>
      </c>
      <c r="E36" s="691">
        <v>1</v>
      </c>
      <c r="F36" s="691"/>
      <c r="G36" s="682">
        <f t="shared" si="30"/>
        <v>2</v>
      </c>
      <c r="H36" s="692"/>
      <c r="I36" s="693"/>
      <c r="J36" s="685"/>
      <c r="K36" s="685"/>
      <c r="L36" s="685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599"/>
      <c r="AG36" s="599"/>
      <c r="AH36" s="599"/>
      <c r="AI36" s="685"/>
      <c r="AJ36" s="685"/>
      <c r="AK36" s="685"/>
      <c r="AL36" s="685"/>
      <c r="AM36" s="685"/>
      <c r="AN36" s="685"/>
      <c r="AO36" s="685"/>
      <c r="AP36" s="685"/>
      <c r="AQ36" s="685"/>
      <c r="AR36" s="685"/>
      <c r="AS36" s="685"/>
      <c r="AT36" s="685"/>
      <c r="AU36" s="685"/>
      <c r="AV36" s="685"/>
      <c r="AW36" s="685"/>
      <c r="AX36" s="685"/>
      <c r="AY36" s="685"/>
      <c r="AZ36" s="685"/>
      <c r="BA36" s="685"/>
      <c r="BB36" s="685"/>
      <c r="BC36" s="685"/>
      <c r="BD36" s="685"/>
      <c r="BE36" s="685"/>
      <c r="BF36" s="685"/>
      <c r="BG36" s="685"/>
      <c r="BH36" s="685"/>
      <c r="BI36" s="685"/>
      <c r="BJ36" s="685"/>
      <c r="BK36" s="685"/>
      <c r="BL36" s="685"/>
      <c r="BM36" s="685"/>
      <c r="BN36" s="685"/>
      <c r="BO36" s="685"/>
      <c r="BP36" s="685"/>
      <c r="BQ36" s="685"/>
      <c r="BR36" s="685"/>
      <c r="BS36" s="685"/>
      <c r="BT36" s="685"/>
      <c r="BU36" s="685"/>
      <c r="BV36" s="685"/>
      <c r="BW36" s="685"/>
      <c r="BX36" s="685"/>
      <c r="BY36" s="685"/>
      <c r="BZ36" s="685"/>
      <c r="CA36" s="685"/>
      <c r="CB36" s="685"/>
      <c r="CC36" s="685"/>
      <c r="CD36" s="685"/>
      <c r="CE36" s="685"/>
      <c r="CF36" s="685"/>
      <c r="CG36" s="685"/>
      <c r="CH36" s="685"/>
      <c r="CI36" s="685"/>
      <c r="CJ36" s="685"/>
      <c r="CK36" s="685"/>
      <c r="CL36" s="685"/>
      <c r="CM36" s="685"/>
      <c r="CN36" s="685"/>
      <c r="CO36" s="685"/>
      <c r="CP36" s="685"/>
      <c r="CQ36" s="685"/>
      <c r="CR36" s="685"/>
      <c r="CS36" s="685"/>
      <c r="CT36" s="685"/>
      <c r="CU36" s="685"/>
      <c r="CV36" s="685"/>
      <c r="CW36" s="685"/>
      <c r="CX36" s="685"/>
      <c r="CY36" s="685"/>
      <c r="CZ36" s="685"/>
      <c r="DA36" s="685"/>
      <c r="DB36" s="685"/>
      <c r="DC36" s="685"/>
      <c r="DD36" s="685"/>
      <c r="DE36" s="685"/>
      <c r="DF36" s="685"/>
      <c r="DG36" s="685"/>
      <c r="DH36" s="685"/>
      <c r="DI36" s="685"/>
      <c r="DJ36" s="685"/>
      <c r="DK36" s="685"/>
      <c r="DL36" s="685"/>
      <c r="DM36" s="678"/>
      <c r="DN36" s="678"/>
      <c r="DO36" s="710"/>
      <c r="DP36" s="710"/>
      <c r="DQ36" s="710"/>
    </row>
    <row r="37" spans="1:121" s="694" customFormat="1">
      <c r="A37" s="689" t="s">
        <v>1122</v>
      </c>
      <c r="B37" s="690">
        <v>25</v>
      </c>
      <c r="C37" s="691"/>
      <c r="D37" s="691">
        <v>1</v>
      </c>
      <c r="E37" s="691">
        <v>1</v>
      </c>
      <c r="F37" s="691"/>
      <c r="G37" s="682">
        <f t="shared" si="30"/>
        <v>2</v>
      </c>
      <c r="H37" s="692"/>
      <c r="I37" s="693"/>
      <c r="J37" s="685"/>
      <c r="K37" s="685"/>
      <c r="L37" s="685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685"/>
      <c r="AJ37" s="685"/>
      <c r="AK37" s="685"/>
      <c r="AL37" s="685"/>
      <c r="AM37" s="685"/>
      <c r="AN37" s="685"/>
      <c r="AO37" s="685"/>
      <c r="AP37" s="685"/>
      <c r="AQ37" s="685"/>
      <c r="AR37" s="685"/>
      <c r="AS37" s="685"/>
      <c r="AT37" s="685"/>
      <c r="AU37" s="685"/>
      <c r="AV37" s="685"/>
      <c r="AW37" s="685"/>
      <c r="AX37" s="685"/>
      <c r="AY37" s="685"/>
      <c r="AZ37" s="685"/>
      <c r="BA37" s="685"/>
      <c r="BB37" s="685"/>
      <c r="BC37" s="685"/>
      <c r="BD37" s="685"/>
      <c r="BE37" s="685"/>
      <c r="BF37" s="685"/>
      <c r="BG37" s="685"/>
      <c r="BH37" s="685"/>
      <c r="BI37" s="685"/>
      <c r="BJ37" s="685"/>
      <c r="BK37" s="685"/>
      <c r="BL37" s="685"/>
      <c r="BM37" s="685"/>
      <c r="BN37" s="685"/>
      <c r="BO37" s="685"/>
      <c r="BP37" s="685"/>
      <c r="BQ37" s="685"/>
      <c r="BR37" s="685"/>
      <c r="BS37" s="685"/>
      <c r="BT37" s="685"/>
      <c r="BU37" s="685"/>
      <c r="BV37" s="685"/>
      <c r="BW37" s="685"/>
      <c r="BX37" s="685"/>
      <c r="BY37" s="685"/>
      <c r="BZ37" s="685"/>
      <c r="CA37" s="685"/>
      <c r="CB37" s="685"/>
      <c r="CC37" s="685"/>
      <c r="CD37" s="685"/>
      <c r="CE37" s="685"/>
      <c r="CF37" s="685"/>
      <c r="CG37" s="685"/>
      <c r="CH37" s="685"/>
      <c r="CI37" s="685"/>
      <c r="CJ37" s="685"/>
      <c r="CK37" s="685"/>
      <c r="CL37" s="685"/>
      <c r="CM37" s="685"/>
      <c r="CN37" s="685"/>
      <c r="CO37" s="685"/>
      <c r="CP37" s="685"/>
      <c r="CQ37" s="685"/>
      <c r="CR37" s="685"/>
      <c r="CS37" s="685"/>
      <c r="CT37" s="685"/>
      <c r="CU37" s="685"/>
      <c r="CV37" s="685"/>
      <c r="CW37" s="685"/>
      <c r="CX37" s="685"/>
      <c r="CY37" s="685"/>
      <c r="CZ37" s="685"/>
      <c r="DA37" s="685"/>
      <c r="DB37" s="685"/>
      <c r="DC37" s="685"/>
      <c r="DD37" s="685"/>
      <c r="DE37" s="685"/>
      <c r="DF37" s="685"/>
      <c r="DG37" s="685"/>
      <c r="DH37" s="685"/>
      <c r="DI37" s="685"/>
      <c r="DJ37" s="685"/>
      <c r="DK37" s="685"/>
      <c r="DL37" s="685"/>
      <c r="DM37" s="678"/>
      <c r="DN37" s="678"/>
      <c r="DO37" s="710"/>
      <c r="DP37" s="710"/>
      <c r="DQ37" s="710"/>
    </row>
    <row r="38" spans="1:121" s="694" customFormat="1">
      <c r="A38" s="689" t="s">
        <v>1123</v>
      </c>
      <c r="B38" s="690">
        <v>0</v>
      </c>
      <c r="C38" s="691"/>
      <c r="D38" s="691">
        <v>1</v>
      </c>
      <c r="E38" s="691">
        <v>1</v>
      </c>
      <c r="F38" s="691"/>
      <c r="G38" s="682">
        <f t="shared" si="30"/>
        <v>2</v>
      </c>
      <c r="H38" s="692"/>
      <c r="I38" s="693"/>
      <c r="J38" s="685"/>
      <c r="K38" s="685"/>
      <c r="L38" s="685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685"/>
      <c r="AJ38" s="685"/>
      <c r="AK38" s="685"/>
      <c r="AL38" s="685"/>
      <c r="AM38" s="685"/>
      <c r="AN38" s="685"/>
      <c r="AO38" s="685"/>
      <c r="AP38" s="685"/>
      <c r="AQ38" s="685"/>
      <c r="AR38" s="685"/>
      <c r="AS38" s="685"/>
      <c r="AT38" s="685"/>
      <c r="AU38" s="685"/>
      <c r="AV38" s="685"/>
      <c r="AW38" s="685"/>
      <c r="AX38" s="685"/>
      <c r="AY38" s="685"/>
      <c r="AZ38" s="685"/>
      <c r="BA38" s="685"/>
      <c r="BB38" s="685"/>
      <c r="BC38" s="685"/>
      <c r="BD38" s="685"/>
      <c r="BE38" s="685"/>
      <c r="BF38" s="685"/>
      <c r="BG38" s="685"/>
      <c r="BH38" s="685"/>
      <c r="BI38" s="685"/>
      <c r="BJ38" s="685"/>
      <c r="BK38" s="685"/>
      <c r="BL38" s="685"/>
      <c r="BM38" s="685"/>
      <c r="BN38" s="685"/>
      <c r="BO38" s="685"/>
      <c r="BP38" s="685"/>
      <c r="BQ38" s="685"/>
      <c r="BR38" s="685"/>
      <c r="BS38" s="685"/>
      <c r="BT38" s="685"/>
      <c r="BU38" s="685"/>
      <c r="BV38" s="685"/>
      <c r="BW38" s="685"/>
      <c r="BX38" s="685"/>
      <c r="BY38" s="685"/>
      <c r="BZ38" s="685"/>
      <c r="CA38" s="685"/>
      <c r="CB38" s="685"/>
      <c r="CC38" s="685"/>
      <c r="CD38" s="685"/>
      <c r="CE38" s="685"/>
      <c r="CF38" s="685"/>
      <c r="CG38" s="685"/>
      <c r="CH38" s="685"/>
      <c r="CI38" s="685"/>
      <c r="CJ38" s="685"/>
      <c r="CK38" s="685"/>
      <c r="CL38" s="685"/>
      <c r="CM38" s="685"/>
      <c r="CN38" s="685"/>
      <c r="CO38" s="685"/>
      <c r="CP38" s="685"/>
      <c r="CQ38" s="685"/>
      <c r="CR38" s="685"/>
      <c r="CS38" s="685"/>
      <c r="CT38" s="685"/>
      <c r="CU38" s="685"/>
      <c r="CV38" s="685"/>
      <c r="CW38" s="685"/>
      <c r="CX38" s="685"/>
      <c r="CY38" s="685"/>
      <c r="CZ38" s="685"/>
      <c r="DA38" s="685"/>
      <c r="DB38" s="685"/>
      <c r="DC38" s="685"/>
      <c r="DD38" s="685"/>
      <c r="DE38" s="685"/>
      <c r="DF38" s="685"/>
      <c r="DG38" s="685"/>
      <c r="DH38" s="685"/>
      <c r="DI38" s="685"/>
      <c r="DJ38" s="685"/>
      <c r="DK38" s="685"/>
      <c r="DL38" s="685"/>
      <c r="DM38" s="678"/>
      <c r="DN38" s="678"/>
      <c r="DO38" s="710"/>
      <c r="DP38" s="710"/>
      <c r="DQ38" s="710"/>
    </row>
    <row r="39" spans="1:121" s="694" customFormat="1">
      <c r="A39" s="689" t="s">
        <v>1124</v>
      </c>
      <c r="B39" s="690">
        <v>25</v>
      </c>
      <c r="C39" s="691">
        <v>1</v>
      </c>
      <c r="D39" s="691">
        <v>1</v>
      </c>
      <c r="E39" s="691">
        <v>1</v>
      </c>
      <c r="F39" s="691"/>
      <c r="G39" s="682">
        <f t="shared" si="30"/>
        <v>3</v>
      </c>
      <c r="H39" s="692"/>
      <c r="I39" s="693"/>
      <c r="J39" s="685"/>
      <c r="K39" s="685"/>
      <c r="L39" s="685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685"/>
      <c r="AJ39" s="685"/>
      <c r="AK39" s="685"/>
      <c r="AL39" s="685"/>
      <c r="AM39" s="685"/>
      <c r="AN39" s="685"/>
      <c r="AO39" s="685"/>
      <c r="AP39" s="685"/>
      <c r="AQ39" s="685"/>
      <c r="AR39" s="685"/>
      <c r="AS39" s="685"/>
      <c r="AT39" s="685"/>
      <c r="AU39" s="685"/>
      <c r="AV39" s="685"/>
      <c r="AW39" s="685"/>
      <c r="AX39" s="685"/>
      <c r="AY39" s="685"/>
      <c r="AZ39" s="685"/>
      <c r="BA39" s="685"/>
      <c r="BB39" s="685"/>
      <c r="BC39" s="685"/>
      <c r="BD39" s="685"/>
      <c r="BE39" s="685"/>
      <c r="BF39" s="685"/>
      <c r="BG39" s="685"/>
      <c r="BH39" s="685"/>
      <c r="BI39" s="685"/>
      <c r="BJ39" s="685"/>
      <c r="BK39" s="685"/>
      <c r="BL39" s="685"/>
      <c r="BM39" s="685"/>
      <c r="BN39" s="685"/>
      <c r="BO39" s="685"/>
      <c r="BP39" s="685"/>
      <c r="BQ39" s="685"/>
      <c r="BR39" s="685"/>
      <c r="BS39" s="685"/>
      <c r="BT39" s="685"/>
      <c r="BU39" s="685"/>
      <c r="BV39" s="685"/>
      <c r="BW39" s="685"/>
      <c r="BX39" s="685"/>
      <c r="BY39" s="685"/>
      <c r="BZ39" s="685"/>
      <c r="CA39" s="685"/>
      <c r="CB39" s="685"/>
      <c r="CC39" s="685"/>
      <c r="CD39" s="685"/>
      <c r="CE39" s="685"/>
      <c r="CF39" s="685"/>
      <c r="CG39" s="685"/>
      <c r="CH39" s="685"/>
      <c r="CI39" s="685"/>
      <c r="CJ39" s="685"/>
      <c r="CK39" s="685"/>
      <c r="CL39" s="685"/>
      <c r="CM39" s="685"/>
      <c r="CN39" s="685"/>
      <c r="CO39" s="685"/>
      <c r="CP39" s="685"/>
      <c r="CQ39" s="685"/>
      <c r="CR39" s="685"/>
      <c r="CS39" s="685"/>
      <c r="CT39" s="685"/>
      <c r="CU39" s="685"/>
      <c r="CV39" s="685"/>
      <c r="CW39" s="685"/>
      <c r="CX39" s="685"/>
      <c r="CY39" s="685"/>
      <c r="CZ39" s="685"/>
      <c r="DA39" s="685"/>
      <c r="DB39" s="685"/>
      <c r="DC39" s="685"/>
      <c r="DD39" s="685"/>
      <c r="DE39" s="685"/>
      <c r="DF39" s="685"/>
      <c r="DG39" s="685"/>
      <c r="DH39" s="685"/>
      <c r="DI39" s="685"/>
      <c r="DJ39" s="685"/>
      <c r="DK39" s="685"/>
      <c r="DL39" s="685"/>
      <c r="DM39" s="678"/>
      <c r="DN39" s="678"/>
      <c r="DO39" s="710"/>
      <c r="DP39" s="710"/>
      <c r="DQ39" s="710"/>
    </row>
    <row r="40" spans="1:121" s="694" customFormat="1">
      <c r="A40" s="689" t="s">
        <v>1125</v>
      </c>
      <c r="B40" s="690"/>
      <c r="C40" s="691"/>
      <c r="D40" s="691">
        <v>1</v>
      </c>
      <c r="E40" s="691">
        <v>1</v>
      </c>
      <c r="F40" s="691"/>
      <c r="G40" s="682">
        <f t="shared" si="30"/>
        <v>2</v>
      </c>
      <c r="H40" s="692"/>
      <c r="I40" s="693"/>
      <c r="J40" s="685"/>
      <c r="K40" s="685"/>
      <c r="L40" s="685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685"/>
      <c r="AJ40" s="685"/>
      <c r="AK40" s="685"/>
      <c r="AL40" s="685"/>
      <c r="AM40" s="685"/>
      <c r="AN40" s="685"/>
      <c r="AO40" s="685"/>
      <c r="AP40" s="685"/>
      <c r="AQ40" s="685"/>
      <c r="AR40" s="685"/>
      <c r="AS40" s="685"/>
      <c r="AT40" s="685"/>
      <c r="AU40" s="685"/>
      <c r="AV40" s="685"/>
      <c r="AW40" s="685"/>
      <c r="AX40" s="685"/>
      <c r="AY40" s="685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5"/>
      <c r="BQ40" s="685"/>
      <c r="BR40" s="685"/>
      <c r="BS40" s="685"/>
      <c r="BT40" s="685"/>
      <c r="BU40" s="685"/>
      <c r="BV40" s="685"/>
      <c r="BW40" s="685"/>
      <c r="BX40" s="685"/>
      <c r="BY40" s="685"/>
      <c r="BZ40" s="685"/>
      <c r="CA40" s="685"/>
      <c r="CB40" s="685"/>
      <c r="CC40" s="685"/>
      <c r="CD40" s="685"/>
      <c r="CE40" s="685"/>
      <c r="CF40" s="685"/>
      <c r="CG40" s="685"/>
      <c r="CH40" s="685"/>
      <c r="CI40" s="685"/>
      <c r="CJ40" s="685"/>
      <c r="CK40" s="685"/>
      <c r="CL40" s="685"/>
      <c r="CM40" s="685"/>
      <c r="CN40" s="685"/>
      <c r="CO40" s="685"/>
      <c r="CP40" s="685"/>
      <c r="CQ40" s="685"/>
      <c r="CR40" s="685"/>
      <c r="CS40" s="685"/>
      <c r="CT40" s="685"/>
      <c r="CU40" s="685"/>
      <c r="CV40" s="685"/>
      <c r="CW40" s="685"/>
      <c r="CX40" s="685"/>
      <c r="CY40" s="685"/>
      <c r="CZ40" s="685"/>
      <c r="DA40" s="685"/>
      <c r="DB40" s="685"/>
      <c r="DC40" s="685"/>
      <c r="DD40" s="685"/>
      <c r="DE40" s="685"/>
      <c r="DF40" s="685"/>
      <c r="DG40" s="685"/>
      <c r="DH40" s="685"/>
      <c r="DI40" s="685"/>
      <c r="DJ40" s="685"/>
      <c r="DK40" s="685"/>
      <c r="DL40" s="685"/>
      <c r="DM40" s="678"/>
      <c r="DN40" s="678"/>
      <c r="DO40" s="710"/>
      <c r="DP40" s="710"/>
      <c r="DQ40" s="710"/>
    </row>
    <row r="41" spans="1:121" s="694" customFormat="1">
      <c r="A41" s="689" t="s">
        <v>1126</v>
      </c>
      <c r="B41" s="690">
        <v>6</v>
      </c>
      <c r="C41" s="691">
        <v>1</v>
      </c>
      <c r="D41" s="691">
        <v>2</v>
      </c>
      <c r="E41" s="691">
        <v>1</v>
      </c>
      <c r="F41" s="691"/>
      <c r="G41" s="682">
        <f t="shared" si="30"/>
        <v>4</v>
      </c>
      <c r="H41" s="692"/>
      <c r="I41" s="693"/>
      <c r="J41" s="685"/>
      <c r="K41" s="685"/>
      <c r="L41" s="685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85"/>
      <c r="AJ41" s="685"/>
      <c r="AK41" s="685"/>
      <c r="AL41" s="685"/>
      <c r="AM41" s="685"/>
      <c r="AN41" s="685"/>
      <c r="AO41" s="685"/>
      <c r="AP41" s="685"/>
      <c r="AQ41" s="685"/>
      <c r="AR41" s="685"/>
      <c r="AS41" s="685"/>
      <c r="AT41" s="685"/>
      <c r="AU41" s="685"/>
      <c r="AV41" s="685"/>
      <c r="AW41" s="685"/>
      <c r="AX41" s="685"/>
      <c r="AY41" s="685"/>
      <c r="AZ41" s="685"/>
      <c r="BA41" s="685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5"/>
      <c r="BQ41" s="685"/>
      <c r="BR41" s="685"/>
      <c r="BS41" s="685"/>
      <c r="BT41" s="685"/>
      <c r="BU41" s="685"/>
      <c r="BV41" s="685"/>
      <c r="BW41" s="685"/>
      <c r="BX41" s="685"/>
      <c r="BY41" s="685"/>
      <c r="BZ41" s="685"/>
      <c r="CA41" s="685"/>
      <c r="CB41" s="685"/>
      <c r="CC41" s="685"/>
      <c r="CD41" s="685"/>
      <c r="CE41" s="685"/>
      <c r="CF41" s="685"/>
      <c r="CG41" s="685"/>
      <c r="CH41" s="685"/>
      <c r="CI41" s="685"/>
      <c r="CJ41" s="685"/>
      <c r="CK41" s="685"/>
      <c r="CL41" s="685"/>
      <c r="CM41" s="685"/>
      <c r="CN41" s="685"/>
      <c r="CO41" s="685"/>
      <c r="CP41" s="685"/>
      <c r="CQ41" s="685"/>
      <c r="CR41" s="685"/>
      <c r="CS41" s="685"/>
      <c r="CT41" s="685"/>
      <c r="CU41" s="685"/>
      <c r="CV41" s="685"/>
      <c r="CW41" s="685"/>
      <c r="CX41" s="685"/>
      <c r="CY41" s="685"/>
      <c r="CZ41" s="685"/>
      <c r="DA41" s="685"/>
      <c r="DB41" s="685"/>
      <c r="DC41" s="685"/>
      <c r="DD41" s="685"/>
      <c r="DE41" s="685"/>
      <c r="DF41" s="685"/>
      <c r="DG41" s="685"/>
      <c r="DH41" s="685"/>
      <c r="DI41" s="685"/>
      <c r="DJ41" s="685"/>
      <c r="DK41" s="685"/>
      <c r="DL41" s="685"/>
      <c r="DM41" s="678"/>
      <c r="DN41" s="678"/>
      <c r="DO41" s="710"/>
      <c r="DP41" s="710"/>
      <c r="DQ41" s="710"/>
    </row>
    <row r="42" spans="1:121" s="694" customFormat="1">
      <c r="A42" s="689" t="s">
        <v>1127</v>
      </c>
      <c r="B42" s="690"/>
      <c r="C42" s="691"/>
      <c r="D42" s="691">
        <v>1</v>
      </c>
      <c r="E42" s="691"/>
      <c r="F42" s="691"/>
      <c r="G42" s="682">
        <f t="shared" si="30"/>
        <v>1</v>
      </c>
      <c r="H42" s="692"/>
      <c r="I42" s="693"/>
      <c r="J42" s="685"/>
      <c r="K42" s="685"/>
      <c r="L42" s="685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685"/>
      <c r="AV42" s="685"/>
      <c r="AW42" s="685"/>
      <c r="AX42" s="685"/>
      <c r="AY42" s="685"/>
      <c r="AZ42" s="685"/>
      <c r="BA42" s="685"/>
      <c r="BB42" s="685"/>
      <c r="BC42" s="685"/>
      <c r="BD42" s="685"/>
      <c r="BE42" s="685"/>
      <c r="BF42" s="685"/>
      <c r="BG42" s="685"/>
      <c r="BH42" s="685"/>
      <c r="BI42" s="685"/>
      <c r="BJ42" s="685"/>
      <c r="BK42" s="685"/>
      <c r="BL42" s="685"/>
      <c r="BM42" s="685"/>
      <c r="BN42" s="685"/>
      <c r="BO42" s="685"/>
      <c r="BP42" s="685"/>
      <c r="BQ42" s="685"/>
      <c r="BR42" s="685"/>
      <c r="BS42" s="685"/>
      <c r="BT42" s="685"/>
      <c r="BU42" s="685"/>
      <c r="BV42" s="685"/>
      <c r="BW42" s="685"/>
      <c r="BX42" s="685"/>
      <c r="BY42" s="685"/>
      <c r="BZ42" s="685"/>
      <c r="CA42" s="685"/>
      <c r="CB42" s="685"/>
      <c r="CC42" s="685"/>
      <c r="CD42" s="685"/>
      <c r="CE42" s="685"/>
      <c r="CF42" s="685"/>
      <c r="CG42" s="685"/>
      <c r="CH42" s="685"/>
      <c r="CI42" s="685"/>
      <c r="CJ42" s="685"/>
      <c r="CK42" s="685"/>
      <c r="CL42" s="685"/>
      <c r="CM42" s="685"/>
      <c r="CN42" s="685"/>
      <c r="CO42" s="685"/>
      <c r="CP42" s="685"/>
      <c r="CQ42" s="685"/>
      <c r="CR42" s="685"/>
      <c r="CS42" s="685"/>
      <c r="CT42" s="685"/>
      <c r="CU42" s="685"/>
      <c r="CV42" s="685"/>
      <c r="CW42" s="685"/>
      <c r="CX42" s="685"/>
      <c r="CY42" s="685"/>
      <c r="CZ42" s="685"/>
      <c r="DA42" s="685"/>
      <c r="DB42" s="685"/>
      <c r="DC42" s="685"/>
      <c r="DD42" s="685"/>
      <c r="DE42" s="685"/>
      <c r="DF42" s="685"/>
      <c r="DG42" s="685"/>
      <c r="DH42" s="685"/>
      <c r="DI42" s="685"/>
      <c r="DJ42" s="685"/>
      <c r="DK42" s="685"/>
      <c r="DL42" s="685"/>
      <c r="DM42" s="678"/>
      <c r="DN42" s="678"/>
      <c r="DO42" s="710"/>
      <c r="DP42" s="710"/>
      <c r="DQ42" s="710"/>
    </row>
    <row r="43" spans="1:121" s="694" customFormat="1">
      <c r="A43" s="689" t="s">
        <v>1128</v>
      </c>
      <c r="B43" s="690"/>
      <c r="C43" s="691">
        <v>1</v>
      </c>
      <c r="D43" s="691">
        <v>1</v>
      </c>
      <c r="E43" s="691">
        <v>1</v>
      </c>
      <c r="F43" s="691"/>
      <c r="G43" s="682">
        <f t="shared" si="30"/>
        <v>3</v>
      </c>
      <c r="H43" s="692"/>
      <c r="I43" s="693"/>
      <c r="J43" s="685"/>
      <c r="K43" s="685"/>
      <c r="L43" s="685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685"/>
      <c r="AV43" s="685"/>
      <c r="AW43" s="685"/>
      <c r="AX43" s="685"/>
      <c r="AY43" s="685"/>
      <c r="AZ43" s="685"/>
      <c r="BA43" s="685"/>
      <c r="BB43" s="685"/>
      <c r="BC43" s="685"/>
      <c r="BD43" s="685"/>
      <c r="BE43" s="685"/>
      <c r="BF43" s="685"/>
      <c r="BG43" s="685"/>
      <c r="BH43" s="685"/>
      <c r="BI43" s="685"/>
      <c r="BJ43" s="685"/>
      <c r="BK43" s="685"/>
      <c r="BL43" s="685"/>
      <c r="BM43" s="685"/>
      <c r="BN43" s="685"/>
      <c r="BO43" s="685"/>
      <c r="BP43" s="685"/>
      <c r="BQ43" s="685"/>
      <c r="BR43" s="685"/>
      <c r="BS43" s="685"/>
      <c r="BT43" s="685"/>
      <c r="BU43" s="685"/>
      <c r="BV43" s="685"/>
      <c r="BW43" s="685"/>
      <c r="BX43" s="685"/>
      <c r="BY43" s="685"/>
      <c r="BZ43" s="685"/>
      <c r="CA43" s="685"/>
      <c r="CB43" s="685"/>
      <c r="CC43" s="685"/>
      <c r="CD43" s="685"/>
      <c r="CE43" s="685"/>
      <c r="CF43" s="685"/>
      <c r="CG43" s="685"/>
      <c r="CH43" s="685"/>
      <c r="CI43" s="685"/>
      <c r="CJ43" s="685"/>
      <c r="CK43" s="685"/>
      <c r="CL43" s="685"/>
      <c r="CM43" s="685"/>
      <c r="CN43" s="685"/>
      <c r="CO43" s="685"/>
      <c r="CP43" s="685"/>
      <c r="CQ43" s="685"/>
      <c r="CR43" s="685"/>
      <c r="CS43" s="685"/>
      <c r="CT43" s="685"/>
      <c r="CU43" s="685"/>
      <c r="CV43" s="685"/>
      <c r="CW43" s="685"/>
      <c r="CX43" s="685"/>
      <c r="CY43" s="685"/>
      <c r="CZ43" s="685"/>
      <c r="DA43" s="685"/>
      <c r="DB43" s="685"/>
      <c r="DC43" s="685"/>
      <c r="DD43" s="685"/>
      <c r="DE43" s="685"/>
      <c r="DF43" s="685"/>
      <c r="DG43" s="685"/>
      <c r="DH43" s="685"/>
      <c r="DI43" s="685"/>
      <c r="DJ43" s="685"/>
      <c r="DK43" s="685"/>
      <c r="DL43" s="685"/>
      <c r="DM43" s="678"/>
      <c r="DN43" s="678"/>
      <c r="DO43" s="710"/>
      <c r="DP43" s="710"/>
      <c r="DQ43" s="710"/>
    </row>
    <row r="44" spans="1:121" s="694" customFormat="1">
      <c r="A44" s="689" t="s">
        <v>1129</v>
      </c>
      <c r="B44" s="690"/>
      <c r="C44" s="691"/>
      <c r="D44" s="691"/>
      <c r="E44" s="691"/>
      <c r="F44" s="691">
        <f>3+1</f>
        <v>4</v>
      </c>
      <c r="G44" s="682">
        <f t="shared" si="30"/>
        <v>4</v>
      </c>
      <c r="H44" s="692"/>
      <c r="I44" s="693"/>
      <c r="J44" s="685"/>
      <c r="K44" s="685"/>
      <c r="L44" s="685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685"/>
      <c r="AV44" s="685"/>
      <c r="AW44" s="685"/>
      <c r="AX44" s="685"/>
      <c r="AY44" s="685"/>
      <c r="AZ44" s="685"/>
      <c r="BA44" s="685"/>
      <c r="BB44" s="685"/>
      <c r="BC44" s="685"/>
      <c r="BD44" s="685"/>
      <c r="BE44" s="685"/>
      <c r="BF44" s="685"/>
      <c r="BG44" s="685"/>
      <c r="BH44" s="685"/>
      <c r="BI44" s="685"/>
      <c r="BJ44" s="685"/>
      <c r="BK44" s="685"/>
      <c r="BL44" s="685"/>
      <c r="BM44" s="685"/>
      <c r="BN44" s="685"/>
      <c r="BO44" s="685"/>
      <c r="BP44" s="685"/>
      <c r="BQ44" s="685"/>
      <c r="BR44" s="685"/>
      <c r="BS44" s="685"/>
      <c r="BT44" s="685"/>
      <c r="BU44" s="685"/>
      <c r="BV44" s="685"/>
      <c r="BW44" s="685"/>
      <c r="BX44" s="685"/>
      <c r="BY44" s="685"/>
      <c r="BZ44" s="685"/>
      <c r="CA44" s="685"/>
      <c r="CB44" s="685"/>
      <c r="CC44" s="685"/>
      <c r="CD44" s="685"/>
      <c r="CE44" s="685"/>
      <c r="CF44" s="685"/>
      <c r="CG44" s="685"/>
      <c r="CH44" s="685"/>
      <c r="CI44" s="685"/>
      <c r="CJ44" s="685"/>
      <c r="CK44" s="685"/>
      <c r="CL44" s="685"/>
      <c r="CM44" s="685"/>
      <c r="CN44" s="685"/>
      <c r="CO44" s="685"/>
      <c r="CP44" s="685"/>
      <c r="CQ44" s="685"/>
      <c r="CR44" s="685"/>
      <c r="CS44" s="685"/>
      <c r="CT44" s="685"/>
      <c r="CU44" s="685"/>
      <c r="CV44" s="685"/>
      <c r="CW44" s="685"/>
      <c r="CX44" s="685"/>
      <c r="CY44" s="685"/>
      <c r="CZ44" s="685"/>
      <c r="DA44" s="685"/>
      <c r="DB44" s="685"/>
      <c r="DC44" s="685"/>
      <c r="DD44" s="685"/>
      <c r="DE44" s="685"/>
      <c r="DF44" s="685"/>
      <c r="DG44" s="685"/>
      <c r="DH44" s="685"/>
      <c r="DI44" s="685"/>
      <c r="DJ44" s="685"/>
      <c r="DK44" s="685"/>
      <c r="DL44" s="685"/>
      <c r="DM44" s="678"/>
      <c r="DN44" s="678"/>
      <c r="DO44" s="710"/>
      <c r="DP44" s="710"/>
      <c r="DQ44" s="710"/>
    </row>
    <row r="45" spans="1:121" s="584" customFormat="1">
      <c r="A45" s="695"/>
      <c r="B45" s="696">
        <f>SUM(B34:B39)</f>
        <v>130</v>
      </c>
      <c r="C45" s="695">
        <f>SUM(C34:C44)</f>
        <v>4</v>
      </c>
      <c r="D45" s="695">
        <f>SUM(D34:D44)</f>
        <v>12</v>
      </c>
      <c r="E45" s="695">
        <f>SUM(E34:E44)</f>
        <v>9</v>
      </c>
      <c r="F45" s="695">
        <f>SUM(F34:F44)</f>
        <v>4</v>
      </c>
      <c r="G45" s="695">
        <f>SUM(G34:G44)</f>
        <v>29</v>
      </c>
      <c r="H45" s="704"/>
      <c r="I45" s="677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78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X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601"/>
      <c r="CI45" s="601"/>
      <c r="CJ45" s="601"/>
      <c r="CK45" s="601"/>
      <c r="CL45" s="601"/>
      <c r="CM45" s="601"/>
      <c r="CN45" s="601"/>
      <c r="CO45" s="601"/>
      <c r="CP45" s="601"/>
      <c r="CQ45" s="601"/>
      <c r="CR45" s="601"/>
      <c r="CS45" s="601"/>
      <c r="CT45" s="601"/>
      <c r="CU45" s="601"/>
      <c r="CV45" s="601"/>
      <c r="CW45" s="601"/>
      <c r="CX45" s="601"/>
      <c r="CY45" s="601"/>
      <c r="CZ45" s="601"/>
      <c r="DA45" s="601"/>
      <c r="DB45" s="601"/>
      <c r="DC45" s="601"/>
      <c r="DD45" s="601"/>
      <c r="DE45" s="601"/>
      <c r="DF45" s="601"/>
      <c r="DG45" s="601"/>
      <c r="DH45" s="601"/>
      <c r="DI45" s="601"/>
      <c r="DJ45" s="601"/>
      <c r="DK45" s="601"/>
      <c r="DL45" s="601"/>
      <c r="DM45" s="601"/>
      <c r="DN45" s="601"/>
      <c r="DO45" s="669"/>
      <c r="DP45" s="669"/>
      <c r="DQ45" s="669"/>
    </row>
    <row r="46" spans="1:121" s="390" customFormat="1">
      <c r="B46" s="707"/>
      <c r="C46" s="707">
        <f>C45-D6-D7</f>
        <v>0</v>
      </c>
      <c r="D46" s="707">
        <f>D45-D9-D10</f>
        <v>0</v>
      </c>
      <c r="E46" s="707">
        <f>E45-D12-D13</f>
        <v>0</v>
      </c>
      <c r="F46" s="707">
        <f>F45-D15-D17-D18</f>
        <v>0</v>
      </c>
      <c r="G46" s="708">
        <f>G45-D19</f>
        <v>0</v>
      </c>
      <c r="H46" s="709"/>
      <c r="DO46" s="714"/>
      <c r="DP46" s="714"/>
      <c r="DQ46" s="714"/>
    </row>
    <row r="47" spans="1:121" s="545" customFormat="1">
      <c r="A47" s="537" t="s">
        <v>1088</v>
      </c>
      <c r="B47" s="537"/>
      <c r="C47" s="538"/>
      <c r="D47" s="539"/>
      <c r="E47" s="539"/>
      <c r="F47" s="539"/>
      <c r="G47" s="537"/>
      <c r="H47" s="540"/>
      <c r="I47" s="659"/>
      <c r="J47" s="539"/>
      <c r="K47" s="539"/>
      <c r="L47" s="539"/>
      <c r="M47" s="539"/>
      <c r="N47" s="539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1"/>
      <c r="AH47" s="660"/>
      <c r="AI47" s="662"/>
      <c r="AJ47" s="662"/>
      <c r="AK47" s="662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/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662"/>
      <c r="BH47" s="662"/>
      <c r="BI47" s="662"/>
      <c r="BJ47" s="662"/>
      <c r="BK47" s="662"/>
      <c r="BL47" s="662"/>
      <c r="BM47" s="662"/>
      <c r="BN47" s="662"/>
      <c r="BO47" s="662"/>
      <c r="BP47" s="662"/>
      <c r="BQ47" s="662"/>
      <c r="BR47" s="662"/>
      <c r="BS47" s="662"/>
      <c r="BT47" s="662"/>
      <c r="BU47" s="662"/>
      <c r="BV47" s="662"/>
      <c r="BW47" s="662"/>
      <c r="BX47" s="662"/>
      <c r="BY47" s="662"/>
      <c r="BZ47" s="662"/>
      <c r="CA47" s="662"/>
      <c r="CB47" s="662"/>
      <c r="CC47" s="662"/>
      <c r="CD47" s="662"/>
      <c r="CE47" s="662"/>
      <c r="CF47" s="662"/>
      <c r="CG47" s="662"/>
      <c r="CH47" s="662"/>
      <c r="CI47" s="662"/>
      <c r="CJ47" s="662"/>
      <c r="CK47" s="662"/>
      <c r="CL47" s="662"/>
      <c r="CM47" s="662"/>
      <c r="CN47" s="662"/>
      <c r="CO47" s="662"/>
      <c r="CP47" s="662"/>
      <c r="CQ47" s="662"/>
      <c r="CR47" s="662"/>
      <c r="CS47" s="662"/>
      <c r="CT47" s="662"/>
      <c r="CU47" s="662"/>
      <c r="CV47" s="662"/>
      <c r="CW47" s="662"/>
      <c r="CX47" s="662"/>
      <c r="CY47" s="662"/>
      <c r="CZ47" s="662"/>
      <c r="DA47" s="662"/>
      <c r="DB47" s="662"/>
      <c r="DC47" s="662"/>
      <c r="DD47" s="662"/>
      <c r="DE47" s="662"/>
      <c r="DF47" s="662"/>
      <c r="DG47" s="662"/>
      <c r="DH47" s="662"/>
      <c r="DI47" s="662"/>
      <c r="DJ47" s="662"/>
      <c r="DK47" s="662"/>
      <c r="DL47" s="662"/>
      <c r="DM47" s="663"/>
      <c r="DN47" s="663"/>
      <c r="DO47" s="710"/>
      <c r="DP47" s="710"/>
      <c r="DQ47" s="710"/>
    </row>
    <row r="48" spans="1:121" s="545" customFormat="1">
      <c r="A48" s="546" t="s">
        <v>1108</v>
      </c>
      <c r="B48" s="537"/>
      <c r="C48" s="538"/>
      <c r="D48" s="539"/>
      <c r="E48" s="539"/>
      <c r="F48" s="539"/>
      <c r="G48" s="537"/>
      <c r="H48" s="540"/>
      <c r="I48" s="659"/>
      <c r="J48" s="539"/>
      <c r="K48" s="539"/>
      <c r="L48" s="539"/>
      <c r="M48" s="539"/>
      <c r="N48" s="539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1"/>
      <c r="AH48" s="660"/>
      <c r="AI48" s="662"/>
      <c r="AJ48" s="662"/>
      <c r="AK48" s="662"/>
      <c r="AL48" s="662"/>
      <c r="AM48" s="662"/>
      <c r="AN48" s="662"/>
      <c r="AO48" s="662"/>
      <c r="AP48" s="662"/>
      <c r="AQ48" s="662"/>
      <c r="AR48" s="662"/>
      <c r="AS48" s="662"/>
      <c r="AT48" s="662"/>
      <c r="AU48" s="662"/>
      <c r="AV48" s="662"/>
      <c r="AW48" s="662"/>
      <c r="AX48" s="662"/>
      <c r="AY48" s="662"/>
      <c r="AZ48" s="662"/>
      <c r="BA48" s="662"/>
      <c r="BB48" s="662"/>
      <c r="BC48" s="662"/>
      <c r="BD48" s="662"/>
      <c r="BE48" s="662"/>
      <c r="BF48" s="662"/>
      <c r="BG48" s="662"/>
      <c r="BH48" s="662"/>
      <c r="BI48" s="662"/>
      <c r="BJ48" s="662"/>
      <c r="BK48" s="662"/>
      <c r="BL48" s="662"/>
      <c r="BM48" s="662"/>
      <c r="BN48" s="662"/>
      <c r="BO48" s="662"/>
      <c r="BP48" s="662"/>
      <c r="BQ48" s="662"/>
      <c r="BR48" s="662"/>
      <c r="BS48" s="662"/>
      <c r="BT48" s="662"/>
      <c r="BU48" s="662"/>
      <c r="BV48" s="662"/>
      <c r="BW48" s="662"/>
      <c r="BX48" s="662"/>
      <c r="BY48" s="662"/>
      <c r="BZ48" s="662"/>
      <c r="CA48" s="662"/>
      <c r="CB48" s="662"/>
      <c r="CC48" s="662"/>
      <c r="CD48" s="662"/>
      <c r="CE48" s="662"/>
      <c r="CF48" s="662"/>
      <c r="CG48" s="662"/>
      <c r="CH48" s="662"/>
      <c r="CI48" s="662"/>
      <c r="CJ48" s="662"/>
      <c r="CK48" s="662"/>
      <c r="CL48" s="662"/>
      <c r="CM48" s="662"/>
      <c r="CN48" s="662"/>
      <c r="CO48" s="662"/>
      <c r="CP48" s="662"/>
      <c r="CQ48" s="662"/>
      <c r="CR48" s="662"/>
      <c r="CS48" s="662"/>
      <c r="CT48" s="662"/>
      <c r="CU48" s="662"/>
      <c r="CV48" s="662"/>
      <c r="CW48" s="662"/>
      <c r="CX48" s="662"/>
      <c r="CY48" s="662"/>
      <c r="CZ48" s="662"/>
      <c r="DA48" s="662"/>
      <c r="DB48" s="662"/>
      <c r="DC48" s="662"/>
      <c r="DD48" s="662"/>
      <c r="DE48" s="662"/>
      <c r="DF48" s="662"/>
      <c r="DG48" s="662"/>
      <c r="DH48" s="662"/>
      <c r="DI48" s="662"/>
      <c r="DJ48" s="662"/>
      <c r="DK48" s="662"/>
      <c r="DL48" s="662"/>
      <c r="DM48" s="663"/>
      <c r="DN48" s="663"/>
      <c r="DO48" s="710"/>
      <c r="DP48" s="710"/>
      <c r="DQ48" s="710"/>
    </row>
    <row r="49" spans="1:121" s="545" customFormat="1">
      <c r="A49" s="537" t="s">
        <v>1089</v>
      </c>
      <c r="B49" s="537"/>
      <c r="C49" s="538"/>
      <c r="D49" s="539"/>
      <c r="E49" s="539"/>
      <c r="F49" s="539"/>
      <c r="G49" s="537"/>
      <c r="H49" s="540"/>
      <c r="I49" s="659"/>
      <c r="J49" s="539"/>
      <c r="K49" s="539"/>
      <c r="L49" s="539"/>
      <c r="M49" s="539"/>
      <c r="N49" s="539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  <c r="AE49" s="660"/>
      <c r="AF49" s="660"/>
      <c r="AG49" s="661"/>
      <c r="AH49" s="660"/>
      <c r="AI49" s="662"/>
      <c r="AJ49" s="662"/>
      <c r="AK49" s="662"/>
      <c r="AL49" s="662"/>
      <c r="AM49" s="662"/>
      <c r="AN49" s="662"/>
      <c r="AO49" s="662"/>
      <c r="AP49" s="662"/>
      <c r="AQ49" s="662"/>
      <c r="AR49" s="662"/>
      <c r="AS49" s="662"/>
      <c r="AT49" s="662"/>
      <c r="AU49" s="662"/>
      <c r="AV49" s="662"/>
      <c r="AW49" s="662"/>
      <c r="AX49" s="662"/>
      <c r="AY49" s="662"/>
      <c r="AZ49" s="662"/>
      <c r="BA49" s="662"/>
      <c r="BB49" s="662"/>
      <c r="BC49" s="662"/>
      <c r="BD49" s="662"/>
      <c r="BE49" s="662"/>
      <c r="BF49" s="662"/>
      <c r="BG49" s="662"/>
      <c r="BH49" s="662"/>
      <c r="BI49" s="662"/>
      <c r="BJ49" s="662"/>
      <c r="BK49" s="662"/>
      <c r="BL49" s="662"/>
      <c r="BM49" s="662"/>
      <c r="BN49" s="662"/>
      <c r="BO49" s="662"/>
      <c r="BP49" s="662"/>
      <c r="BQ49" s="662"/>
      <c r="BR49" s="662"/>
      <c r="BS49" s="662"/>
      <c r="BT49" s="662"/>
      <c r="BU49" s="662"/>
      <c r="BV49" s="662"/>
      <c r="BW49" s="662"/>
      <c r="BX49" s="662"/>
      <c r="BY49" s="662"/>
      <c r="BZ49" s="662"/>
      <c r="CA49" s="662"/>
      <c r="CB49" s="662"/>
      <c r="CC49" s="662"/>
      <c r="CD49" s="662"/>
      <c r="CE49" s="662"/>
      <c r="CF49" s="662"/>
      <c r="CG49" s="662"/>
      <c r="CH49" s="662"/>
      <c r="CI49" s="662"/>
      <c r="CJ49" s="662"/>
      <c r="CK49" s="662"/>
      <c r="CL49" s="662"/>
      <c r="CM49" s="662"/>
      <c r="CN49" s="662"/>
      <c r="CO49" s="662"/>
      <c r="CP49" s="662"/>
      <c r="CQ49" s="662"/>
      <c r="CR49" s="662"/>
      <c r="CS49" s="662"/>
      <c r="CT49" s="662"/>
      <c r="CU49" s="662"/>
      <c r="CV49" s="662"/>
      <c r="CW49" s="662"/>
      <c r="CX49" s="662"/>
      <c r="CY49" s="662"/>
      <c r="CZ49" s="662"/>
      <c r="DA49" s="662"/>
      <c r="DB49" s="662"/>
      <c r="DC49" s="662"/>
      <c r="DD49" s="662"/>
      <c r="DE49" s="662"/>
      <c r="DF49" s="662"/>
      <c r="DG49" s="662"/>
      <c r="DH49" s="662"/>
      <c r="DI49" s="662"/>
      <c r="DJ49" s="662"/>
      <c r="DK49" s="662"/>
      <c r="DL49" s="662"/>
      <c r="DM49" s="663"/>
      <c r="DN49" s="663"/>
      <c r="DO49" s="710"/>
      <c r="DP49" s="710"/>
      <c r="DQ49" s="710"/>
    </row>
    <row r="50" spans="1:121" s="548" customFormat="1" ht="27">
      <c r="A50" s="547"/>
      <c r="B50" s="547"/>
      <c r="C50" s="549"/>
      <c r="D50" s="553" t="s">
        <v>1090</v>
      </c>
      <c r="E50" s="553" t="s">
        <v>1091</v>
      </c>
      <c r="F50" s="553" t="s">
        <v>56</v>
      </c>
      <c r="G50" s="570" t="s">
        <v>1092</v>
      </c>
      <c r="H50" s="573" t="s">
        <v>1093</v>
      </c>
      <c r="I50" s="1182" t="s">
        <v>947</v>
      </c>
      <c r="J50" s="1182"/>
      <c r="K50" s="1182"/>
      <c r="L50" s="1182"/>
      <c r="M50" s="1178"/>
      <c r="N50" s="1178"/>
      <c r="O50" s="1178"/>
      <c r="P50" s="1178"/>
      <c r="Q50" s="1178"/>
      <c r="R50" s="1177" t="s">
        <v>948</v>
      </c>
      <c r="S50" s="1178"/>
      <c r="T50" s="1178"/>
      <c r="U50" s="1178"/>
      <c r="V50" s="1178"/>
      <c r="W50" s="1178"/>
      <c r="X50" s="1178"/>
      <c r="Y50" s="1178"/>
      <c r="Z50" s="1178"/>
      <c r="AA50" s="1177" t="s">
        <v>949</v>
      </c>
      <c r="AB50" s="1178"/>
      <c r="AC50" s="1178"/>
      <c r="AD50" s="1178"/>
      <c r="AE50" s="1178"/>
      <c r="AF50" s="1178"/>
      <c r="AG50" s="1178"/>
      <c r="AH50" s="1178"/>
      <c r="AI50" s="1178"/>
      <c r="AJ50" s="1177" t="s">
        <v>950</v>
      </c>
      <c r="AK50" s="1178"/>
      <c r="AL50" s="1178"/>
      <c r="AM50" s="1178"/>
      <c r="AN50" s="1178"/>
      <c r="AO50" s="1178"/>
      <c r="AP50" s="1178"/>
      <c r="AQ50" s="1178"/>
      <c r="AR50" s="1178"/>
      <c r="AS50" s="1177" t="s">
        <v>951</v>
      </c>
      <c r="AT50" s="1178"/>
      <c r="AU50" s="1178"/>
      <c r="AV50" s="1178"/>
      <c r="AW50" s="1178"/>
      <c r="AX50" s="1178"/>
      <c r="AY50" s="1178"/>
      <c r="AZ50" s="1178"/>
      <c r="BA50" s="1178"/>
      <c r="BB50" s="1177" t="s">
        <v>952</v>
      </c>
      <c r="BC50" s="1178"/>
      <c r="BD50" s="1178"/>
      <c r="BE50" s="1178"/>
      <c r="BF50" s="1178"/>
      <c r="BG50" s="1178"/>
      <c r="BH50" s="1178"/>
      <c r="BI50" s="1178"/>
      <c r="BJ50" s="1178"/>
      <c r="BK50" s="1177" t="s">
        <v>953</v>
      </c>
      <c r="BL50" s="1178"/>
      <c r="BM50" s="1178"/>
      <c r="BN50" s="1178"/>
      <c r="BO50" s="1178"/>
      <c r="BP50" s="1178"/>
      <c r="BQ50" s="1178"/>
      <c r="BR50" s="1178"/>
      <c r="BS50" s="1178"/>
      <c r="BT50" s="1177" t="s">
        <v>954</v>
      </c>
      <c r="BU50" s="1178"/>
      <c r="BV50" s="1178"/>
      <c r="BW50" s="1178"/>
      <c r="BX50" s="1178"/>
      <c r="BY50" s="1178"/>
      <c r="BZ50" s="1178"/>
      <c r="CA50" s="1178"/>
      <c r="CB50" s="1178"/>
      <c r="CC50" s="1177" t="s">
        <v>955</v>
      </c>
      <c r="CD50" s="1178"/>
      <c r="CE50" s="1178"/>
      <c r="CF50" s="1178"/>
      <c r="CG50" s="1178"/>
      <c r="CH50" s="1178"/>
      <c r="CI50" s="1178"/>
      <c r="CJ50" s="1178"/>
      <c r="CK50" s="1178"/>
      <c r="CL50" s="1177" t="s">
        <v>956</v>
      </c>
      <c r="CM50" s="1178"/>
      <c r="CN50" s="1178"/>
      <c r="CO50" s="1178"/>
      <c r="CP50" s="1178"/>
      <c r="CQ50" s="1178"/>
      <c r="CR50" s="1178"/>
      <c r="CS50" s="1178"/>
      <c r="CT50" s="1178"/>
      <c r="CU50" s="1177" t="s">
        <v>957</v>
      </c>
      <c r="CV50" s="1178"/>
      <c r="CW50" s="1178"/>
      <c r="CX50" s="1178"/>
      <c r="CY50" s="1178"/>
      <c r="CZ50" s="1178"/>
      <c r="DA50" s="1178"/>
      <c r="DB50" s="1178"/>
      <c r="DC50" s="1178"/>
      <c r="DD50" s="1177" t="s">
        <v>958</v>
      </c>
      <c r="DE50" s="1178"/>
      <c r="DF50" s="1178"/>
      <c r="DG50" s="1178"/>
      <c r="DH50" s="1178"/>
      <c r="DI50" s="1178"/>
      <c r="DJ50" s="1178"/>
      <c r="DK50" s="1178"/>
      <c r="DL50" s="1178"/>
      <c r="DM50" s="553" t="s">
        <v>1094</v>
      </c>
      <c r="DN50" s="553" t="s">
        <v>1131</v>
      </c>
      <c r="DO50" s="677"/>
      <c r="DP50" s="677"/>
      <c r="DQ50" s="677"/>
    </row>
    <row r="51" spans="1:121" s="548" customFormat="1" ht="37.5">
      <c r="A51" s="547"/>
      <c r="B51" s="547"/>
      <c r="C51" s="549"/>
      <c r="D51" s="550"/>
      <c r="E51" s="550"/>
      <c r="F51" s="550"/>
      <c r="G51" s="551"/>
      <c r="H51" s="552"/>
      <c r="I51" s="570" t="s">
        <v>1095</v>
      </c>
      <c r="J51" s="570" t="s">
        <v>1096</v>
      </c>
      <c r="K51" s="570" t="s">
        <v>1097</v>
      </c>
      <c r="L51" s="570" t="s">
        <v>1098</v>
      </c>
      <c r="M51" s="553" t="s">
        <v>1099</v>
      </c>
      <c r="N51" s="553" t="s">
        <v>1100</v>
      </c>
      <c r="O51" s="553" t="s">
        <v>1095</v>
      </c>
      <c r="P51" s="553" t="s">
        <v>1101</v>
      </c>
      <c r="Q51" s="553"/>
      <c r="R51" s="570" t="s">
        <v>1095</v>
      </c>
      <c r="S51" s="570" t="s">
        <v>1096</v>
      </c>
      <c r="T51" s="570" t="s">
        <v>1097</v>
      </c>
      <c r="U51" s="570" t="s">
        <v>1098</v>
      </c>
      <c r="V51" s="553" t="s">
        <v>1099</v>
      </c>
      <c r="W51" s="553" t="s">
        <v>1100</v>
      </c>
      <c r="X51" s="553" t="s">
        <v>1095</v>
      </c>
      <c r="Y51" s="553" t="s">
        <v>1101</v>
      </c>
      <c r="Z51" s="553"/>
      <c r="AA51" s="570" t="s">
        <v>1095</v>
      </c>
      <c r="AB51" s="570" t="s">
        <v>1096</v>
      </c>
      <c r="AC51" s="570" t="s">
        <v>1097</v>
      </c>
      <c r="AD51" s="570" t="s">
        <v>1098</v>
      </c>
      <c r="AE51" s="553" t="s">
        <v>1099</v>
      </c>
      <c r="AF51" s="553" t="s">
        <v>1100</v>
      </c>
      <c r="AG51" s="553" t="s">
        <v>1095</v>
      </c>
      <c r="AH51" s="553" t="s">
        <v>1101</v>
      </c>
      <c r="AI51" s="553"/>
      <c r="AJ51" s="570" t="s">
        <v>1095</v>
      </c>
      <c r="AK51" s="570" t="s">
        <v>1096</v>
      </c>
      <c r="AL51" s="570" t="s">
        <v>1097</v>
      </c>
      <c r="AM51" s="570" t="s">
        <v>1098</v>
      </c>
      <c r="AN51" s="553" t="s">
        <v>1099</v>
      </c>
      <c r="AO51" s="553" t="s">
        <v>1100</v>
      </c>
      <c r="AP51" s="553" t="s">
        <v>1095</v>
      </c>
      <c r="AQ51" s="553" t="s">
        <v>1101</v>
      </c>
      <c r="AR51" s="553"/>
      <c r="AS51" s="570" t="s">
        <v>1095</v>
      </c>
      <c r="AT51" s="570" t="s">
        <v>1096</v>
      </c>
      <c r="AU51" s="570" t="s">
        <v>1097</v>
      </c>
      <c r="AV51" s="570" t="s">
        <v>1098</v>
      </c>
      <c r="AW51" s="553" t="s">
        <v>1099</v>
      </c>
      <c r="AX51" s="553" t="s">
        <v>1100</v>
      </c>
      <c r="AY51" s="553" t="s">
        <v>1095</v>
      </c>
      <c r="AZ51" s="553" t="s">
        <v>1101</v>
      </c>
      <c r="BA51" s="553"/>
      <c r="BB51" s="570" t="s">
        <v>1095</v>
      </c>
      <c r="BC51" s="570" t="s">
        <v>1096</v>
      </c>
      <c r="BD51" s="570" t="s">
        <v>1097</v>
      </c>
      <c r="BE51" s="570" t="s">
        <v>1098</v>
      </c>
      <c r="BF51" s="553" t="s">
        <v>1099</v>
      </c>
      <c r="BG51" s="553" t="s">
        <v>1100</v>
      </c>
      <c r="BH51" s="553" t="s">
        <v>1095</v>
      </c>
      <c r="BI51" s="553" t="s">
        <v>1101</v>
      </c>
      <c r="BJ51" s="553"/>
      <c r="BK51" s="570" t="s">
        <v>1095</v>
      </c>
      <c r="BL51" s="570" t="s">
        <v>1096</v>
      </c>
      <c r="BM51" s="570" t="s">
        <v>1097</v>
      </c>
      <c r="BN51" s="570" t="s">
        <v>1098</v>
      </c>
      <c r="BO51" s="553" t="s">
        <v>1099</v>
      </c>
      <c r="BP51" s="553" t="s">
        <v>1100</v>
      </c>
      <c r="BQ51" s="553" t="s">
        <v>1095</v>
      </c>
      <c r="BR51" s="553" t="s">
        <v>1101</v>
      </c>
      <c r="BS51" s="553"/>
      <c r="BT51" s="570" t="s">
        <v>1095</v>
      </c>
      <c r="BU51" s="570" t="s">
        <v>1096</v>
      </c>
      <c r="BV51" s="570" t="s">
        <v>1097</v>
      </c>
      <c r="BW51" s="570" t="s">
        <v>1098</v>
      </c>
      <c r="BX51" s="553" t="s">
        <v>1099</v>
      </c>
      <c r="BY51" s="553" t="s">
        <v>1100</v>
      </c>
      <c r="BZ51" s="553" t="s">
        <v>1095</v>
      </c>
      <c r="CA51" s="553" t="s">
        <v>1101</v>
      </c>
      <c r="CB51" s="553"/>
      <c r="CC51" s="570" t="s">
        <v>1095</v>
      </c>
      <c r="CD51" s="570" t="s">
        <v>1096</v>
      </c>
      <c r="CE51" s="570" t="s">
        <v>1097</v>
      </c>
      <c r="CF51" s="570" t="s">
        <v>1098</v>
      </c>
      <c r="CG51" s="553" t="s">
        <v>1099</v>
      </c>
      <c r="CH51" s="553" t="s">
        <v>1100</v>
      </c>
      <c r="CI51" s="553" t="s">
        <v>1095</v>
      </c>
      <c r="CJ51" s="553" t="s">
        <v>1101</v>
      </c>
      <c r="CK51" s="553"/>
      <c r="CL51" s="570" t="s">
        <v>1095</v>
      </c>
      <c r="CM51" s="570" t="s">
        <v>1096</v>
      </c>
      <c r="CN51" s="570" t="s">
        <v>1097</v>
      </c>
      <c r="CO51" s="570" t="s">
        <v>1098</v>
      </c>
      <c r="CP51" s="553" t="s">
        <v>1099</v>
      </c>
      <c r="CQ51" s="553" t="s">
        <v>1100</v>
      </c>
      <c r="CR51" s="553" t="s">
        <v>1095</v>
      </c>
      <c r="CS51" s="553" t="s">
        <v>1101</v>
      </c>
      <c r="CT51" s="553"/>
      <c r="CU51" s="570" t="s">
        <v>1095</v>
      </c>
      <c r="CV51" s="570" t="s">
        <v>1096</v>
      </c>
      <c r="CW51" s="570" t="s">
        <v>1097</v>
      </c>
      <c r="CX51" s="570" t="s">
        <v>1098</v>
      </c>
      <c r="CY51" s="553" t="s">
        <v>1099</v>
      </c>
      <c r="CZ51" s="553" t="s">
        <v>1100</v>
      </c>
      <c r="DA51" s="553" t="s">
        <v>1095</v>
      </c>
      <c r="DB51" s="553" t="s">
        <v>1101</v>
      </c>
      <c r="DC51" s="553"/>
      <c r="DD51" s="570" t="s">
        <v>1095</v>
      </c>
      <c r="DE51" s="570" t="s">
        <v>1096</v>
      </c>
      <c r="DF51" s="570" t="s">
        <v>1097</v>
      </c>
      <c r="DG51" s="570" t="s">
        <v>1098</v>
      </c>
      <c r="DH51" s="553" t="s">
        <v>1099</v>
      </c>
      <c r="DI51" s="553" t="s">
        <v>1100</v>
      </c>
      <c r="DJ51" s="553" t="s">
        <v>1095</v>
      </c>
      <c r="DK51" s="553" t="s">
        <v>1101</v>
      </c>
      <c r="DL51" s="553"/>
      <c r="DM51" s="625"/>
      <c r="DN51" s="625"/>
      <c r="DO51" s="677"/>
      <c r="DP51" s="677"/>
      <c r="DQ51" s="677"/>
    </row>
    <row r="52" spans="1:121" s="560" customFormat="1" ht="20.25">
      <c r="A52" s="554" t="s">
        <v>1102</v>
      </c>
      <c r="B52" s="555"/>
      <c r="C52" s="556"/>
      <c r="D52" s="557"/>
      <c r="E52" s="557"/>
      <c r="F52" s="557"/>
      <c r="G52" s="551"/>
      <c r="H52" s="552"/>
      <c r="I52" s="558"/>
      <c r="J52" s="558"/>
      <c r="K52" s="558"/>
      <c r="L52" s="558"/>
      <c r="M52" s="559"/>
      <c r="N52" s="559"/>
      <c r="O52" s="622"/>
      <c r="P52" s="622"/>
      <c r="Q52" s="622">
        <v>31</v>
      </c>
      <c r="R52" s="558"/>
      <c r="S52" s="558"/>
      <c r="T52" s="558"/>
      <c r="U52" s="558"/>
      <c r="V52" s="622"/>
      <c r="W52" s="622"/>
      <c r="X52" s="622"/>
      <c r="Y52" s="622"/>
      <c r="Z52" s="622">
        <v>28</v>
      </c>
      <c r="AA52" s="558"/>
      <c r="AB52" s="558"/>
      <c r="AC52" s="558"/>
      <c r="AD52" s="558"/>
      <c r="AE52" s="622"/>
      <c r="AF52" s="622"/>
      <c r="AG52" s="624"/>
      <c r="AH52" s="622"/>
      <c r="AI52" s="622">
        <v>31</v>
      </c>
      <c r="AJ52" s="558"/>
      <c r="AK52" s="558"/>
      <c r="AL52" s="558"/>
      <c r="AM52" s="558"/>
      <c r="AN52" s="622"/>
      <c r="AO52" s="622"/>
      <c r="AP52" s="622"/>
      <c r="AQ52" s="622"/>
      <c r="AR52" s="622">
        <v>30</v>
      </c>
      <c r="AS52" s="558"/>
      <c r="AT52" s="558"/>
      <c r="AU52" s="558"/>
      <c r="AV52" s="558"/>
      <c r="AW52" s="622"/>
      <c r="AX52" s="622"/>
      <c r="AY52" s="622"/>
      <c r="AZ52" s="622"/>
      <c r="BA52" s="622">
        <v>31</v>
      </c>
      <c r="BB52" s="558"/>
      <c r="BC52" s="558"/>
      <c r="BD52" s="558"/>
      <c r="BE52" s="558"/>
      <c r="BF52" s="622"/>
      <c r="BG52" s="622"/>
      <c r="BH52" s="622"/>
      <c r="BI52" s="622"/>
      <c r="BJ52" s="622">
        <v>30</v>
      </c>
      <c r="BK52" s="558"/>
      <c r="BL52" s="558"/>
      <c r="BM52" s="558"/>
      <c r="BN52" s="558"/>
      <c r="BO52" s="622"/>
      <c r="BP52" s="622"/>
      <c r="BQ52" s="622"/>
      <c r="BR52" s="622"/>
      <c r="BS52" s="622">
        <v>31</v>
      </c>
      <c r="BT52" s="558"/>
      <c r="BU52" s="558"/>
      <c r="BV52" s="558"/>
      <c r="BW52" s="558"/>
      <c r="BX52" s="622"/>
      <c r="BY52" s="622"/>
      <c r="BZ52" s="622"/>
      <c r="CA52" s="622"/>
      <c r="CB52" s="622">
        <v>31</v>
      </c>
      <c r="CC52" s="558"/>
      <c r="CD52" s="558"/>
      <c r="CE52" s="558"/>
      <c r="CF52" s="558"/>
      <c r="CG52" s="622"/>
      <c r="CH52" s="622"/>
      <c r="CI52" s="622"/>
      <c r="CJ52" s="622"/>
      <c r="CK52" s="622">
        <v>30</v>
      </c>
      <c r="CL52" s="558"/>
      <c r="CM52" s="558"/>
      <c r="CN52" s="558"/>
      <c r="CO52" s="558"/>
      <c r="CP52" s="622"/>
      <c r="CQ52" s="622"/>
      <c r="CR52" s="622"/>
      <c r="CS52" s="622"/>
      <c r="CT52" s="622">
        <v>31</v>
      </c>
      <c r="CU52" s="558"/>
      <c r="CV52" s="558"/>
      <c r="CW52" s="558"/>
      <c r="CX52" s="558"/>
      <c r="CY52" s="622"/>
      <c r="CZ52" s="622"/>
      <c r="DA52" s="622"/>
      <c r="DB52" s="622"/>
      <c r="DC52" s="622">
        <v>30</v>
      </c>
      <c r="DD52" s="558"/>
      <c r="DE52" s="558"/>
      <c r="DF52" s="558"/>
      <c r="DG52" s="558"/>
      <c r="DH52" s="622"/>
      <c r="DI52" s="622"/>
      <c r="DJ52" s="622"/>
      <c r="DK52" s="622"/>
      <c r="DL52" s="622">
        <v>31</v>
      </c>
      <c r="DM52" s="625"/>
      <c r="DN52" s="633">
        <f>SUM(O52:DL52)</f>
        <v>365</v>
      </c>
      <c r="DO52" s="711"/>
      <c r="DP52" s="711"/>
      <c r="DQ52" s="711"/>
    </row>
    <row r="53" spans="1:121" s="560" customFormat="1" ht="18.75">
      <c r="A53" s="561" t="s">
        <v>16</v>
      </c>
      <c r="B53" s="562"/>
      <c r="C53" s="563"/>
      <c r="D53" s="564"/>
      <c r="E53" s="564"/>
      <c r="F53" s="564"/>
      <c r="G53" s="565"/>
      <c r="H53" s="566"/>
      <c r="I53" s="567"/>
      <c r="J53" s="567"/>
      <c r="K53" s="567"/>
      <c r="L53" s="567"/>
      <c r="M53" s="568"/>
      <c r="N53" s="568"/>
      <c r="O53" s="622"/>
      <c r="P53" s="622"/>
      <c r="Q53" s="622"/>
      <c r="R53" s="567"/>
      <c r="S53" s="567"/>
      <c r="T53" s="567"/>
      <c r="U53" s="567"/>
      <c r="V53" s="622"/>
      <c r="W53" s="622"/>
      <c r="X53" s="622"/>
      <c r="Y53" s="622"/>
      <c r="Z53" s="622"/>
      <c r="AA53" s="567"/>
      <c r="AB53" s="567"/>
      <c r="AC53" s="567"/>
      <c r="AD53" s="567"/>
      <c r="AE53" s="622"/>
      <c r="AF53" s="622"/>
      <c r="AG53" s="624"/>
      <c r="AH53" s="622"/>
      <c r="AI53" s="628"/>
      <c r="AJ53" s="567"/>
      <c r="AK53" s="567"/>
      <c r="AL53" s="567"/>
      <c r="AM53" s="567"/>
      <c r="AN53" s="628"/>
      <c r="AO53" s="628"/>
      <c r="AP53" s="622"/>
      <c r="AQ53" s="622"/>
      <c r="AR53" s="628"/>
      <c r="AS53" s="567"/>
      <c r="AT53" s="567"/>
      <c r="AU53" s="567"/>
      <c r="AV53" s="567"/>
      <c r="AW53" s="628"/>
      <c r="AX53" s="628"/>
      <c r="AY53" s="622"/>
      <c r="AZ53" s="622"/>
      <c r="BA53" s="628"/>
      <c r="BB53" s="567"/>
      <c r="BC53" s="567"/>
      <c r="BD53" s="567"/>
      <c r="BE53" s="567"/>
      <c r="BF53" s="628"/>
      <c r="BG53" s="628"/>
      <c r="BH53" s="622"/>
      <c r="BI53" s="622"/>
      <c r="BJ53" s="628"/>
      <c r="BK53" s="567"/>
      <c r="BL53" s="567"/>
      <c r="BM53" s="567"/>
      <c r="BN53" s="567"/>
      <c r="BO53" s="628"/>
      <c r="BP53" s="628"/>
      <c r="BQ53" s="622"/>
      <c r="BR53" s="622"/>
      <c r="BS53" s="628"/>
      <c r="BT53" s="567"/>
      <c r="BU53" s="567"/>
      <c r="BV53" s="567"/>
      <c r="BW53" s="567"/>
      <c r="BX53" s="628"/>
      <c r="BY53" s="628"/>
      <c r="BZ53" s="622"/>
      <c r="CA53" s="622"/>
      <c r="CB53" s="628"/>
      <c r="CC53" s="567"/>
      <c r="CD53" s="567"/>
      <c r="CE53" s="567"/>
      <c r="CF53" s="567"/>
      <c r="CG53" s="628"/>
      <c r="CH53" s="628"/>
      <c r="CI53" s="622"/>
      <c r="CJ53" s="622"/>
      <c r="CK53" s="628"/>
      <c r="CL53" s="567"/>
      <c r="CM53" s="567"/>
      <c r="CN53" s="567"/>
      <c r="CO53" s="567"/>
      <c r="CP53" s="628"/>
      <c r="CQ53" s="628"/>
      <c r="CR53" s="622"/>
      <c r="CS53" s="622"/>
      <c r="CT53" s="628"/>
      <c r="CU53" s="567"/>
      <c r="CV53" s="567"/>
      <c r="CW53" s="567"/>
      <c r="CX53" s="567"/>
      <c r="CY53" s="628"/>
      <c r="CZ53" s="628"/>
      <c r="DA53" s="622"/>
      <c r="DB53" s="622"/>
      <c r="DC53" s="628"/>
      <c r="DD53" s="567"/>
      <c r="DE53" s="567"/>
      <c r="DF53" s="567"/>
      <c r="DG53" s="567"/>
      <c r="DH53" s="628"/>
      <c r="DI53" s="628"/>
      <c r="DJ53" s="622"/>
      <c r="DK53" s="622"/>
      <c r="DL53" s="628"/>
      <c r="DM53" s="625"/>
      <c r="DN53" s="626"/>
      <c r="DO53" s="711"/>
      <c r="DP53" s="711"/>
      <c r="DQ53" s="711"/>
    </row>
    <row r="54" spans="1:121" s="560" customFormat="1">
      <c r="A54" s="569" t="s">
        <v>1109</v>
      </c>
      <c r="B54" s="613">
        <f>2*365*8</f>
        <v>5840</v>
      </c>
      <c r="C54" s="571">
        <v>0.35</v>
      </c>
      <c r="D54" s="572">
        <v>2</v>
      </c>
      <c r="E54" s="572">
        <f>D54*8</f>
        <v>16</v>
      </c>
      <c r="F54" s="572">
        <v>4456</v>
      </c>
      <c r="G54" s="570"/>
      <c r="H54" s="573">
        <v>12</v>
      </c>
      <c r="I54" s="572">
        <v>6133</v>
      </c>
      <c r="J54" s="574">
        <f>I54/138.6</f>
        <v>44.249639249639252</v>
      </c>
      <c r="K54" s="575">
        <v>33</v>
      </c>
      <c r="L54" s="574">
        <f>J54*C54</f>
        <v>15.487373737373737</v>
      </c>
      <c r="M54" s="572">
        <f>D54</f>
        <v>2</v>
      </c>
      <c r="N54" s="576">
        <f>M54*8*Q52</f>
        <v>496</v>
      </c>
      <c r="O54" s="629">
        <f>L54</f>
        <v>15.487373737373737</v>
      </c>
      <c r="P54" s="630">
        <f>N54*O54</f>
        <v>7681.7373737373737</v>
      </c>
      <c r="Q54" s="630"/>
      <c r="R54" s="577">
        <f t="shared" ref="R54:R65" si="31">I54</f>
        <v>6133</v>
      </c>
      <c r="S54" s="575">
        <f>R54/138.6</f>
        <v>44.249639249639252</v>
      </c>
      <c r="T54" s="575">
        <v>33</v>
      </c>
      <c r="U54" s="574">
        <f>S54*C54</f>
        <v>15.487373737373737</v>
      </c>
      <c r="V54" s="572">
        <f>D54</f>
        <v>2</v>
      </c>
      <c r="W54" s="576">
        <f>V54*8*Z52</f>
        <v>448</v>
      </c>
      <c r="X54" s="629">
        <f>U54</f>
        <v>15.487373737373737</v>
      </c>
      <c r="Y54" s="630">
        <f>W54*X54</f>
        <v>6938.3434343434346</v>
      </c>
      <c r="Z54" s="630"/>
      <c r="AA54" s="577">
        <f t="shared" ref="AA54:AA65" si="32">R54</f>
        <v>6133</v>
      </c>
      <c r="AB54" s="575">
        <f>AA54/132</f>
        <v>46.462121212121211</v>
      </c>
      <c r="AC54" s="575">
        <v>33</v>
      </c>
      <c r="AD54" s="574">
        <f>AB54*C54</f>
        <v>16.261742424242424</v>
      </c>
      <c r="AE54" s="572">
        <f>D54</f>
        <v>2</v>
      </c>
      <c r="AF54" s="576">
        <f>AE54*8*AI52</f>
        <v>496</v>
      </c>
      <c r="AG54" s="629">
        <f>AD54</f>
        <v>16.261742424242424</v>
      </c>
      <c r="AH54" s="630">
        <f>AF54*AG54</f>
        <v>8065.8242424242426</v>
      </c>
      <c r="AI54" s="632"/>
      <c r="AJ54" s="577">
        <f t="shared" ref="AJ54:AJ65" si="33">AA54</f>
        <v>6133</v>
      </c>
      <c r="AK54" s="575">
        <f>AJ54/138.6</f>
        <v>44.249639249639252</v>
      </c>
      <c r="AL54" s="575">
        <v>33</v>
      </c>
      <c r="AM54" s="574">
        <f>AK54*C54</f>
        <v>15.487373737373737</v>
      </c>
      <c r="AN54" s="572">
        <f>D54</f>
        <v>2</v>
      </c>
      <c r="AO54" s="576">
        <f>AN54*8*AR52</f>
        <v>480</v>
      </c>
      <c r="AP54" s="629">
        <f>AM54</f>
        <v>15.487373737373737</v>
      </c>
      <c r="AQ54" s="630">
        <f>AO54*AP54</f>
        <v>7433.939393939394</v>
      </c>
      <c r="AR54" s="632"/>
      <c r="AS54" s="577">
        <f t="shared" ref="AS54:AS65" si="34">AJ54</f>
        <v>6133</v>
      </c>
      <c r="AT54" s="575">
        <f>AS54/125.4</f>
        <v>48.907496012759168</v>
      </c>
      <c r="AU54" s="575">
        <v>33</v>
      </c>
      <c r="AV54" s="574">
        <f>AT54*C54</f>
        <v>17.117623604465706</v>
      </c>
      <c r="AW54" s="572">
        <f>D54</f>
        <v>2</v>
      </c>
      <c r="AX54" s="576">
        <f>AW54*8*BA52</f>
        <v>496</v>
      </c>
      <c r="AY54" s="629">
        <f>AV54</f>
        <v>17.117623604465706</v>
      </c>
      <c r="AZ54" s="630">
        <f>AX54*AY54</f>
        <v>8490.3413078149897</v>
      </c>
      <c r="BA54" s="632"/>
      <c r="BB54" s="577">
        <f t="shared" ref="BB54:BB65" si="35">AS54</f>
        <v>6133</v>
      </c>
      <c r="BC54" s="575">
        <f>BB54/125.4</f>
        <v>48.907496012759168</v>
      </c>
      <c r="BD54" s="575">
        <v>33</v>
      </c>
      <c r="BE54" s="574">
        <f>BC54*C54</f>
        <v>17.117623604465706</v>
      </c>
      <c r="BF54" s="572">
        <f>D54</f>
        <v>2</v>
      </c>
      <c r="BG54" s="576">
        <f>BF54*8*BJ52</f>
        <v>480</v>
      </c>
      <c r="BH54" s="629">
        <f>BE54</f>
        <v>17.117623604465706</v>
      </c>
      <c r="BI54" s="630">
        <f>BG54*BH54</f>
        <v>8216.459330143538</v>
      </c>
      <c r="BJ54" s="632"/>
      <c r="BK54" s="577">
        <f>BB54</f>
        <v>6133</v>
      </c>
      <c r="BL54" s="575">
        <f>BK54/151.8</f>
        <v>40.401844532279313</v>
      </c>
      <c r="BM54" s="575">
        <v>33</v>
      </c>
      <c r="BN54" s="574">
        <f>BL54*C54</f>
        <v>14.140645586297758</v>
      </c>
      <c r="BO54" s="572">
        <f>D54</f>
        <v>2</v>
      </c>
      <c r="BP54" s="576">
        <f>BO54*8*BS52</f>
        <v>496</v>
      </c>
      <c r="BQ54" s="629">
        <f>BN54</f>
        <v>14.140645586297758</v>
      </c>
      <c r="BR54" s="630">
        <f>BP54*BQ54</f>
        <v>7013.7602108036881</v>
      </c>
      <c r="BS54" s="632"/>
      <c r="BT54" s="577">
        <f t="shared" ref="BT54:BT65" si="36">BK54</f>
        <v>6133</v>
      </c>
      <c r="BU54" s="575">
        <f>BT54/132</f>
        <v>46.462121212121211</v>
      </c>
      <c r="BV54" s="575">
        <v>33</v>
      </c>
      <c r="BW54" s="574">
        <f>BU54*C54</f>
        <v>16.261742424242424</v>
      </c>
      <c r="BX54" s="572">
        <f>D54</f>
        <v>2</v>
      </c>
      <c r="BY54" s="576">
        <f>BX54*8*CB52</f>
        <v>496</v>
      </c>
      <c r="BZ54" s="629">
        <f>BW54</f>
        <v>16.261742424242424</v>
      </c>
      <c r="CA54" s="630">
        <f>BY54*BZ54</f>
        <v>8065.8242424242426</v>
      </c>
      <c r="CB54" s="632"/>
      <c r="CC54" s="577">
        <f>BT54</f>
        <v>6133</v>
      </c>
      <c r="CD54" s="575">
        <f>CC54/145.2</f>
        <v>42.23829201101929</v>
      </c>
      <c r="CE54" s="575">
        <v>33</v>
      </c>
      <c r="CF54" s="574">
        <f>CD54*C54</f>
        <v>14.783402203856751</v>
      </c>
      <c r="CG54" s="572">
        <f>D54</f>
        <v>2</v>
      </c>
      <c r="CH54" s="576">
        <f>CG54*8*CK52</f>
        <v>480</v>
      </c>
      <c r="CI54" s="629">
        <f>CF54</f>
        <v>14.783402203856751</v>
      </c>
      <c r="CJ54" s="630">
        <f>CH54*CI54</f>
        <v>7096.0330578512403</v>
      </c>
      <c r="CK54" s="632"/>
      <c r="CL54" s="577">
        <v>6322</v>
      </c>
      <c r="CM54" s="575">
        <f>CL54/151.8</f>
        <v>41.64690382081686</v>
      </c>
      <c r="CN54" s="575">
        <v>33</v>
      </c>
      <c r="CO54" s="574">
        <f>CM54*C54</f>
        <v>14.576416337285901</v>
      </c>
      <c r="CP54" s="572">
        <f>D54</f>
        <v>2</v>
      </c>
      <c r="CQ54" s="576">
        <f>CP54*8*CT52</f>
        <v>496</v>
      </c>
      <c r="CR54" s="629">
        <f>CO54</f>
        <v>14.576416337285901</v>
      </c>
      <c r="CS54" s="630">
        <f>CQ54*CR54</f>
        <v>7229.9025032938071</v>
      </c>
      <c r="CT54" s="632"/>
      <c r="CU54" s="577">
        <f t="shared" ref="CU54:CU65" si="37">CL54</f>
        <v>6322</v>
      </c>
      <c r="CV54" s="575">
        <f>CU54/132</f>
        <v>47.893939393939391</v>
      </c>
      <c r="CW54" s="575">
        <v>33</v>
      </c>
      <c r="CX54" s="574">
        <f>CV54*C54</f>
        <v>16.762878787878787</v>
      </c>
      <c r="CY54" s="572">
        <f>D54</f>
        <v>2</v>
      </c>
      <c r="CZ54" s="576">
        <f>CY54*8*DC52</f>
        <v>480</v>
      </c>
      <c r="DA54" s="629">
        <f>CX54</f>
        <v>16.762878787878787</v>
      </c>
      <c r="DB54" s="630">
        <f>CZ54*DA54</f>
        <v>8046.181818181818</v>
      </c>
      <c r="DC54" s="632"/>
      <c r="DD54" s="577">
        <f t="shared" ref="DD54:DD65" si="38">CU54</f>
        <v>6322</v>
      </c>
      <c r="DE54" s="575">
        <f>DD54/151.8</f>
        <v>41.64690382081686</v>
      </c>
      <c r="DF54" s="575">
        <v>33</v>
      </c>
      <c r="DG54" s="574">
        <f>DE54*C54</f>
        <v>14.576416337285901</v>
      </c>
      <c r="DH54" s="572">
        <f>D54</f>
        <v>2</v>
      </c>
      <c r="DI54" s="576">
        <f>DH54*8*DL52</f>
        <v>496</v>
      </c>
      <c r="DJ54" s="629">
        <f>DG54</f>
        <v>14.576416337285901</v>
      </c>
      <c r="DK54" s="630">
        <f>DI54*DJ54</f>
        <v>7229.9025032938071</v>
      </c>
      <c r="DL54" s="632"/>
      <c r="DM54" s="633">
        <f>N54+W54+AF54+AO54+AX54+BG54+BP54+BY54+CH54+CQ54+CZ54+DI54</f>
        <v>5840</v>
      </c>
      <c r="DN54" s="633">
        <f>P54+Y54+AH54+AQ54+AZ54+BI54+BR54+CA54+CJ54+CS54+DB54+DK54</f>
        <v>91508.24941825158</v>
      </c>
      <c r="DO54" s="711"/>
      <c r="DP54" s="711"/>
      <c r="DQ54" s="711"/>
    </row>
    <row r="55" spans="1:121" s="560" customFormat="1">
      <c r="A55" s="569" t="s">
        <v>1110</v>
      </c>
      <c r="B55" s="613">
        <f>2*365*8</f>
        <v>5840</v>
      </c>
      <c r="C55" s="571">
        <v>0.5</v>
      </c>
      <c r="D55" s="572">
        <f>2</f>
        <v>2</v>
      </c>
      <c r="E55" s="572">
        <f>D55*8</f>
        <v>16</v>
      </c>
      <c r="F55" s="572">
        <v>4772</v>
      </c>
      <c r="G55" s="570"/>
      <c r="H55" s="573">
        <v>13</v>
      </c>
      <c r="I55" s="572">
        <v>6567</v>
      </c>
      <c r="J55" s="574">
        <f>I55/161.7</f>
        <v>40.612244897959187</v>
      </c>
      <c r="K55" s="575">
        <v>38.5</v>
      </c>
      <c r="L55" s="574">
        <f>J55*C55</f>
        <v>20.306122448979593</v>
      </c>
      <c r="M55" s="572">
        <f t="shared" ref="M55:M66" si="39">D55</f>
        <v>2</v>
      </c>
      <c r="N55" s="576">
        <f>M55*8*Q52</f>
        <v>496</v>
      </c>
      <c r="O55" s="629">
        <f>L55</f>
        <v>20.306122448979593</v>
      </c>
      <c r="P55" s="630">
        <f>N55*O55</f>
        <v>10071.836734693878</v>
      </c>
      <c r="Q55" s="630"/>
      <c r="R55" s="577">
        <f t="shared" si="31"/>
        <v>6567</v>
      </c>
      <c r="S55" s="575">
        <f>R55/161.7</f>
        <v>40.612244897959187</v>
      </c>
      <c r="T55" s="575">
        <v>38.5</v>
      </c>
      <c r="U55" s="574">
        <f>S55*C55</f>
        <v>20.306122448979593</v>
      </c>
      <c r="V55" s="572">
        <f t="shared" ref="V55:V66" si="40">D55</f>
        <v>2</v>
      </c>
      <c r="W55" s="576">
        <f>V55*8*Z52</f>
        <v>448</v>
      </c>
      <c r="X55" s="629">
        <f>U55</f>
        <v>20.306122448979593</v>
      </c>
      <c r="Y55" s="630">
        <f>W55*X55</f>
        <v>9097.1428571428587</v>
      </c>
      <c r="Z55" s="630"/>
      <c r="AA55" s="577">
        <f t="shared" si="32"/>
        <v>6567</v>
      </c>
      <c r="AB55" s="575">
        <f>AA55/154</f>
        <v>42.642857142857146</v>
      </c>
      <c r="AC55" s="575">
        <v>38.5</v>
      </c>
      <c r="AD55" s="574">
        <f>AB55*C55</f>
        <v>21.321428571428573</v>
      </c>
      <c r="AE55" s="572">
        <f t="shared" ref="AE55:AE66" si="41">D55</f>
        <v>2</v>
      </c>
      <c r="AF55" s="576">
        <f>AE55*8*AI52</f>
        <v>496</v>
      </c>
      <c r="AG55" s="629">
        <f>AD55</f>
        <v>21.321428571428573</v>
      </c>
      <c r="AH55" s="630">
        <f>AF55*AG55</f>
        <v>10575.428571428572</v>
      </c>
      <c r="AI55" s="632"/>
      <c r="AJ55" s="577">
        <f t="shared" si="33"/>
        <v>6567</v>
      </c>
      <c r="AK55" s="575">
        <f>AJ55/161.7</f>
        <v>40.612244897959187</v>
      </c>
      <c r="AL55" s="575">
        <v>38.5</v>
      </c>
      <c r="AM55" s="574">
        <f>AK55*C55</f>
        <v>20.306122448979593</v>
      </c>
      <c r="AN55" s="572">
        <f t="shared" ref="AN55:AN66" si="42">D55</f>
        <v>2</v>
      </c>
      <c r="AO55" s="576">
        <f>AN55*8*AR52</f>
        <v>480</v>
      </c>
      <c r="AP55" s="629">
        <f>AM55</f>
        <v>20.306122448979593</v>
      </c>
      <c r="AQ55" s="630">
        <f>AO55*AP55</f>
        <v>9746.9387755102052</v>
      </c>
      <c r="AR55" s="632"/>
      <c r="AS55" s="577">
        <f t="shared" si="34"/>
        <v>6567</v>
      </c>
      <c r="AT55" s="575">
        <f>AS55/146.3</f>
        <v>44.887218045112782</v>
      </c>
      <c r="AU55" s="575">
        <v>38.5</v>
      </c>
      <c r="AV55" s="574">
        <f>AT55*C55</f>
        <v>22.443609022556391</v>
      </c>
      <c r="AW55" s="572">
        <f t="shared" ref="AW55:AW66" si="43">D55</f>
        <v>2</v>
      </c>
      <c r="AX55" s="576">
        <f>AW55*8*BA52</f>
        <v>496</v>
      </c>
      <c r="AY55" s="629">
        <f>AV55</f>
        <v>22.443609022556391</v>
      </c>
      <c r="AZ55" s="630">
        <f>AX55*AY55</f>
        <v>11132.030075187969</v>
      </c>
      <c r="BA55" s="632"/>
      <c r="BB55" s="577">
        <f t="shared" si="35"/>
        <v>6567</v>
      </c>
      <c r="BC55" s="575">
        <f>BB55/146.3</f>
        <v>44.887218045112782</v>
      </c>
      <c r="BD55" s="575">
        <v>38.5</v>
      </c>
      <c r="BE55" s="574">
        <f>BC55*C55</f>
        <v>22.443609022556391</v>
      </c>
      <c r="BF55" s="572">
        <f t="shared" ref="BF55:BF66" si="44">D55</f>
        <v>2</v>
      </c>
      <c r="BG55" s="576">
        <f>BF55*8*BJ52</f>
        <v>480</v>
      </c>
      <c r="BH55" s="629">
        <f>BE55</f>
        <v>22.443609022556391</v>
      </c>
      <c r="BI55" s="630">
        <f>BG55*BH55</f>
        <v>10772.932330827067</v>
      </c>
      <c r="BJ55" s="632"/>
      <c r="BK55" s="577">
        <f t="shared" ref="BK55:BK65" si="45">BB55</f>
        <v>6567</v>
      </c>
      <c r="BL55" s="575">
        <f>BK55/177.1</f>
        <v>37.080745341614907</v>
      </c>
      <c r="BM55" s="575">
        <v>38.5</v>
      </c>
      <c r="BN55" s="574">
        <f>BL55*C55</f>
        <v>18.540372670807454</v>
      </c>
      <c r="BO55" s="572">
        <f t="shared" ref="BO55:BO66" si="46">D55</f>
        <v>2</v>
      </c>
      <c r="BP55" s="576">
        <f>BO55*8*BS52</f>
        <v>496</v>
      </c>
      <c r="BQ55" s="629">
        <f>BN55</f>
        <v>18.540372670807454</v>
      </c>
      <c r="BR55" s="630">
        <f>BP55*BQ55</f>
        <v>9196.0248447204976</v>
      </c>
      <c r="BS55" s="632"/>
      <c r="BT55" s="577">
        <f t="shared" si="36"/>
        <v>6567</v>
      </c>
      <c r="BU55" s="575">
        <f>BT55/154</f>
        <v>42.642857142857146</v>
      </c>
      <c r="BV55" s="575">
        <v>38.5</v>
      </c>
      <c r="BW55" s="574">
        <f>BU55*C55</f>
        <v>21.321428571428573</v>
      </c>
      <c r="BX55" s="572">
        <f t="shared" ref="BX55:BX66" si="47">D55</f>
        <v>2</v>
      </c>
      <c r="BY55" s="576">
        <f>BX55*8*CB52</f>
        <v>496</v>
      </c>
      <c r="BZ55" s="629">
        <f>BW55</f>
        <v>21.321428571428573</v>
      </c>
      <c r="CA55" s="630">
        <f>BY55*BZ55</f>
        <v>10575.428571428572</v>
      </c>
      <c r="CB55" s="632"/>
      <c r="CC55" s="577">
        <f t="shared" ref="CC55:CC65" si="48">BT55</f>
        <v>6567</v>
      </c>
      <c r="CD55" s="575">
        <f>CC55/169.4</f>
        <v>38.766233766233768</v>
      </c>
      <c r="CE55" s="575">
        <v>38.5</v>
      </c>
      <c r="CF55" s="574">
        <f>CD55*C55</f>
        <v>19.383116883116884</v>
      </c>
      <c r="CG55" s="572">
        <f t="shared" ref="CG55:CG66" si="49">D55</f>
        <v>2</v>
      </c>
      <c r="CH55" s="576">
        <f>CG55*8*CK52</f>
        <v>480</v>
      </c>
      <c r="CI55" s="629">
        <f>CF55</f>
        <v>19.383116883116884</v>
      </c>
      <c r="CJ55" s="630">
        <f>CH55*CI55</f>
        <v>9303.8961038961043</v>
      </c>
      <c r="CK55" s="632"/>
      <c r="CL55" s="577">
        <v>6769</v>
      </c>
      <c r="CM55" s="575">
        <f>CL55/177.1</f>
        <v>38.221343873517789</v>
      </c>
      <c r="CN55" s="575">
        <v>38.5</v>
      </c>
      <c r="CO55" s="574">
        <f>CM55*C55</f>
        <v>19.110671936758894</v>
      </c>
      <c r="CP55" s="572">
        <f t="shared" ref="CP55:CP66" si="50">D55</f>
        <v>2</v>
      </c>
      <c r="CQ55" s="576">
        <f>CP55*8*CT52</f>
        <v>496</v>
      </c>
      <c r="CR55" s="629">
        <f>CO55</f>
        <v>19.110671936758894</v>
      </c>
      <c r="CS55" s="630">
        <f>CQ55*CR55</f>
        <v>9478.8932806324119</v>
      </c>
      <c r="CT55" s="632"/>
      <c r="CU55" s="577">
        <f t="shared" si="37"/>
        <v>6769</v>
      </c>
      <c r="CV55" s="575">
        <f>CU55/154</f>
        <v>43.954545454545453</v>
      </c>
      <c r="CW55" s="575">
        <v>38.5</v>
      </c>
      <c r="CX55" s="574">
        <f>CV55*C55</f>
        <v>21.977272727272727</v>
      </c>
      <c r="CY55" s="572">
        <f t="shared" ref="CY55:CY66" si="51">D55</f>
        <v>2</v>
      </c>
      <c r="CZ55" s="576">
        <f>CY55*8*DC52</f>
        <v>480</v>
      </c>
      <c r="DA55" s="629">
        <f>CX55</f>
        <v>21.977272727272727</v>
      </c>
      <c r="DB55" s="630">
        <f>CZ55*DA55</f>
        <v>10549.090909090908</v>
      </c>
      <c r="DC55" s="632"/>
      <c r="DD55" s="577">
        <f t="shared" si="38"/>
        <v>6769</v>
      </c>
      <c r="DE55" s="575">
        <f>DD55/177.1</f>
        <v>38.221343873517789</v>
      </c>
      <c r="DF55" s="575">
        <v>38.5</v>
      </c>
      <c r="DG55" s="574">
        <f>DE55*C55</f>
        <v>19.110671936758894</v>
      </c>
      <c r="DH55" s="572">
        <f t="shared" ref="DH55:DH66" si="52">D55</f>
        <v>2</v>
      </c>
      <c r="DI55" s="576">
        <f>DH55*8*DL52</f>
        <v>496</v>
      </c>
      <c r="DJ55" s="629">
        <f>DG55</f>
        <v>19.110671936758894</v>
      </c>
      <c r="DK55" s="630">
        <f>DI55*DJ55</f>
        <v>9478.8932806324119</v>
      </c>
      <c r="DL55" s="632"/>
      <c r="DM55" s="633">
        <f>N55+W55+AF55+AO55+AX55+BG55+BP55+BY55+CH55+CQ55+CZ55+DI55</f>
        <v>5840</v>
      </c>
      <c r="DN55" s="633">
        <f>P55+Y55+AH55+AQ55+AZ55+BI55+BR55+CA55+CJ55+CS55+DB55+DK55</f>
        <v>119978.53633519147</v>
      </c>
      <c r="DO55" s="711"/>
      <c r="DP55" s="711"/>
      <c r="DQ55" s="711"/>
    </row>
    <row r="56" spans="1:121" s="560" customFormat="1">
      <c r="A56" s="561" t="s">
        <v>1103</v>
      </c>
      <c r="B56" s="562"/>
      <c r="C56" s="563"/>
      <c r="D56" s="564"/>
      <c r="E56" s="564"/>
      <c r="F56" s="572">
        <f>C56</f>
        <v>0</v>
      </c>
      <c r="G56" s="565"/>
      <c r="H56" s="566"/>
      <c r="I56" s="572">
        <f>F56</f>
        <v>0</v>
      </c>
      <c r="J56" s="578"/>
      <c r="K56" s="567"/>
      <c r="L56" s="574"/>
      <c r="M56" s="572">
        <f t="shared" si="39"/>
        <v>0</v>
      </c>
      <c r="N56" s="579"/>
      <c r="O56" s="629"/>
      <c r="P56" s="630"/>
      <c r="Q56" s="630"/>
      <c r="R56" s="577">
        <f t="shared" si="31"/>
        <v>0</v>
      </c>
      <c r="S56" s="567"/>
      <c r="T56" s="567"/>
      <c r="U56" s="574"/>
      <c r="V56" s="572">
        <f t="shared" si="40"/>
        <v>0</v>
      </c>
      <c r="W56" s="579"/>
      <c r="X56" s="629"/>
      <c r="Y56" s="630"/>
      <c r="Z56" s="630"/>
      <c r="AA56" s="577">
        <f t="shared" si="32"/>
        <v>0</v>
      </c>
      <c r="AB56" s="567"/>
      <c r="AC56" s="567"/>
      <c r="AD56" s="574"/>
      <c r="AE56" s="572">
        <f t="shared" si="41"/>
        <v>0</v>
      </c>
      <c r="AF56" s="579"/>
      <c r="AG56" s="629"/>
      <c r="AH56" s="630"/>
      <c r="AI56" s="632"/>
      <c r="AJ56" s="577">
        <f t="shared" si="33"/>
        <v>0</v>
      </c>
      <c r="AK56" s="567"/>
      <c r="AL56" s="567"/>
      <c r="AM56" s="574"/>
      <c r="AN56" s="572">
        <f t="shared" si="42"/>
        <v>0</v>
      </c>
      <c r="AO56" s="579"/>
      <c r="AP56" s="629"/>
      <c r="AQ56" s="630"/>
      <c r="AR56" s="632"/>
      <c r="AS56" s="577">
        <f t="shared" si="34"/>
        <v>0</v>
      </c>
      <c r="AT56" s="567"/>
      <c r="AU56" s="567"/>
      <c r="AV56" s="574"/>
      <c r="AW56" s="572">
        <f t="shared" si="43"/>
        <v>0</v>
      </c>
      <c r="AX56" s="579"/>
      <c r="AY56" s="629"/>
      <c r="AZ56" s="630"/>
      <c r="BA56" s="632"/>
      <c r="BB56" s="577">
        <f t="shared" si="35"/>
        <v>0</v>
      </c>
      <c r="BC56" s="567"/>
      <c r="BD56" s="567"/>
      <c r="BE56" s="574"/>
      <c r="BF56" s="572">
        <f t="shared" si="44"/>
        <v>0</v>
      </c>
      <c r="BG56" s="579"/>
      <c r="BH56" s="629"/>
      <c r="BI56" s="630"/>
      <c r="BJ56" s="632"/>
      <c r="BK56" s="577">
        <f t="shared" si="45"/>
        <v>0</v>
      </c>
      <c r="BL56" s="567"/>
      <c r="BM56" s="567"/>
      <c r="BN56" s="574"/>
      <c r="BO56" s="572">
        <f t="shared" si="46"/>
        <v>0</v>
      </c>
      <c r="BP56" s="579"/>
      <c r="BQ56" s="629"/>
      <c r="BR56" s="630"/>
      <c r="BS56" s="632"/>
      <c r="BT56" s="577">
        <f t="shared" si="36"/>
        <v>0</v>
      </c>
      <c r="BU56" s="567"/>
      <c r="BV56" s="567"/>
      <c r="BW56" s="574"/>
      <c r="BX56" s="572">
        <f t="shared" si="47"/>
        <v>0</v>
      </c>
      <c r="BY56" s="579"/>
      <c r="BZ56" s="629"/>
      <c r="CA56" s="630"/>
      <c r="CB56" s="632"/>
      <c r="CC56" s="577">
        <f t="shared" si="48"/>
        <v>0</v>
      </c>
      <c r="CD56" s="567"/>
      <c r="CE56" s="567"/>
      <c r="CF56" s="574"/>
      <c r="CG56" s="572">
        <f t="shared" si="49"/>
        <v>0</v>
      </c>
      <c r="CH56" s="579"/>
      <c r="CI56" s="629"/>
      <c r="CJ56" s="630"/>
      <c r="CK56" s="632"/>
      <c r="CL56" s="577">
        <f t="shared" ref="CL56:CL64" si="53">CC56</f>
        <v>0</v>
      </c>
      <c r="CM56" s="567"/>
      <c r="CN56" s="567"/>
      <c r="CO56" s="574"/>
      <c r="CP56" s="572">
        <f t="shared" si="50"/>
        <v>0</v>
      </c>
      <c r="CQ56" s="579"/>
      <c r="CR56" s="629"/>
      <c r="CS56" s="630"/>
      <c r="CT56" s="632"/>
      <c r="CU56" s="577">
        <f t="shared" si="37"/>
        <v>0</v>
      </c>
      <c r="CV56" s="567"/>
      <c r="CW56" s="567"/>
      <c r="CX56" s="574"/>
      <c r="CY56" s="572">
        <f t="shared" si="51"/>
        <v>0</v>
      </c>
      <c r="CZ56" s="579"/>
      <c r="DA56" s="629"/>
      <c r="DB56" s="630"/>
      <c r="DC56" s="632"/>
      <c r="DD56" s="577">
        <f t="shared" si="38"/>
        <v>0</v>
      </c>
      <c r="DE56" s="567"/>
      <c r="DF56" s="567"/>
      <c r="DG56" s="574"/>
      <c r="DH56" s="572">
        <f t="shared" si="52"/>
        <v>0</v>
      </c>
      <c r="DI56" s="579"/>
      <c r="DJ56" s="629"/>
      <c r="DK56" s="630"/>
      <c r="DL56" s="632"/>
      <c r="DM56" s="633"/>
      <c r="DN56" s="633"/>
      <c r="DO56" s="711"/>
      <c r="DP56" s="711"/>
      <c r="DQ56" s="711"/>
    </row>
    <row r="57" spans="1:121" s="560" customFormat="1">
      <c r="A57" s="569" t="s">
        <v>1141</v>
      </c>
      <c r="B57" s="613">
        <f>7*365*8</f>
        <v>20440</v>
      </c>
      <c r="C57" s="571">
        <v>0.35</v>
      </c>
      <c r="D57" s="572">
        <v>7</v>
      </c>
      <c r="E57" s="572">
        <f>D57*8</f>
        <v>56</v>
      </c>
      <c r="F57" s="572">
        <v>3636</v>
      </c>
      <c r="G57" s="570"/>
      <c r="H57" s="573">
        <v>9</v>
      </c>
      <c r="I57" s="572">
        <v>5005</v>
      </c>
      <c r="J57" s="574">
        <f>I57/161.7</f>
        <v>30.952380952380956</v>
      </c>
      <c r="K57" s="575">
        <v>38.5</v>
      </c>
      <c r="L57" s="574">
        <f>J57*C57</f>
        <v>10.833333333333334</v>
      </c>
      <c r="M57" s="572">
        <f t="shared" si="39"/>
        <v>7</v>
      </c>
      <c r="N57" s="576">
        <f>M57*8*Q52</f>
        <v>1736</v>
      </c>
      <c r="O57" s="629">
        <f>L57</f>
        <v>10.833333333333334</v>
      </c>
      <c r="P57" s="630">
        <f>N57*O57</f>
        <v>18806.666666666668</v>
      </c>
      <c r="Q57" s="630"/>
      <c r="R57" s="577">
        <f t="shared" si="31"/>
        <v>5005</v>
      </c>
      <c r="S57" s="575">
        <f>R57/161.7</f>
        <v>30.952380952380956</v>
      </c>
      <c r="T57" s="575">
        <v>38.5</v>
      </c>
      <c r="U57" s="574">
        <f>S57*C57</f>
        <v>10.833333333333334</v>
      </c>
      <c r="V57" s="572">
        <f t="shared" si="40"/>
        <v>7</v>
      </c>
      <c r="W57" s="576">
        <f>V57*8*Z52</f>
        <v>1568</v>
      </c>
      <c r="X57" s="629">
        <f>U57</f>
        <v>10.833333333333334</v>
      </c>
      <c r="Y57" s="630">
        <f>W57*X57</f>
        <v>16986.666666666668</v>
      </c>
      <c r="Z57" s="630"/>
      <c r="AA57" s="577">
        <f t="shared" si="32"/>
        <v>5005</v>
      </c>
      <c r="AB57" s="575">
        <f>AA57/154</f>
        <v>32.5</v>
      </c>
      <c r="AC57" s="575">
        <v>38.5</v>
      </c>
      <c r="AD57" s="574">
        <f>AB57*C57</f>
        <v>11.375</v>
      </c>
      <c r="AE57" s="572">
        <f t="shared" si="41"/>
        <v>7</v>
      </c>
      <c r="AF57" s="576">
        <f>AE57*8*AI52</f>
        <v>1736</v>
      </c>
      <c r="AG57" s="629">
        <f>AD57</f>
        <v>11.375</v>
      </c>
      <c r="AH57" s="630">
        <f>AF57*AG57</f>
        <v>19747</v>
      </c>
      <c r="AI57" s="632"/>
      <c r="AJ57" s="577">
        <f t="shared" si="33"/>
        <v>5005</v>
      </c>
      <c r="AK57" s="575">
        <f>AJ57/161.7</f>
        <v>30.952380952380956</v>
      </c>
      <c r="AL57" s="575">
        <v>38.5</v>
      </c>
      <c r="AM57" s="574">
        <f>AK57*C57</f>
        <v>10.833333333333334</v>
      </c>
      <c r="AN57" s="572">
        <f t="shared" si="42"/>
        <v>7</v>
      </c>
      <c r="AO57" s="576">
        <f>AN57*8*AR52</f>
        <v>1680</v>
      </c>
      <c r="AP57" s="629">
        <f>AM57</f>
        <v>10.833333333333334</v>
      </c>
      <c r="AQ57" s="630">
        <f>AO57*AP57</f>
        <v>18200</v>
      </c>
      <c r="AR57" s="632"/>
      <c r="AS57" s="577">
        <f t="shared" si="34"/>
        <v>5005</v>
      </c>
      <c r="AT57" s="575">
        <f>AS57/146.3</f>
        <v>34.210526315789473</v>
      </c>
      <c r="AU57" s="575">
        <v>38.5</v>
      </c>
      <c r="AV57" s="574">
        <f>AT57*C57</f>
        <v>11.973684210526315</v>
      </c>
      <c r="AW57" s="572">
        <f t="shared" si="43"/>
        <v>7</v>
      </c>
      <c r="AX57" s="576">
        <f>AW57*8*BA52</f>
        <v>1736</v>
      </c>
      <c r="AY57" s="629">
        <f>AV57</f>
        <v>11.973684210526315</v>
      </c>
      <c r="AZ57" s="630">
        <f>AX57*AY57</f>
        <v>20786.315789473683</v>
      </c>
      <c r="BA57" s="632"/>
      <c r="BB57" s="577">
        <f t="shared" si="35"/>
        <v>5005</v>
      </c>
      <c r="BC57" s="575">
        <f>BB57/146.3</f>
        <v>34.210526315789473</v>
      </c>
      <c r="BD57" s="575">
        <v>38.5</v>
      </c>
      <c r="BE57" s="574">
        <f>BC57*C57</f>
        <v>11.973684210526315</v>
      </c>
      <c r="BF57" s="572">
        <f t="shared" si="44"/>
        <v>7</v>
      </c>
      <c r="BG57" s="576">
        <f>BF57*8*BJ52</f>
        <v>1680</v>
      </c>
      <c r="BH57" s="629">
        <f>BE57</f>
        <v>11.973684210526315</v>
      </c>
      <c r="BI57" s="630">
        <f>BG57*BH57</f>
        <v>20115.78947368421</v>
      </c>
      <c r="BJ57" s="632"/>
      <c r="BK57" s="577">
        <f t="shared" si="45"/>
        <v>5005</v>
      </c>
      <c r="BL57" s="575">
        <f>BK57/177.1</f>
        <v>28.260869565217391</v>
      </c>
      <c r="BM57" s="575">
        <v>38.5</v>
      </c>
      <c r="BN57" s="574">
        <f>BL57*C57</f>
        <v>9.891304347826086</v>
      </c>
      <c r="BO57" s="572">
        <f t="shared" si="46"/>
        <v>7</v>
      </c>
      <c r="BP57" s="576">
        <f>BO57*8*BS52</f>
        <v>1736</v>
      </c>
      <c r="BQ57" s="629">
        <f>BN57</f>
        <v>9.891304347826086</v>
      </c>
      <c r="BR57" s="630">
        <f>BP57*BQ57</f>
        <v>17171.304347826084</v>
      </c>
      <c r="BS57" s="632"/>
      <c r="BT57" s="577">
        <f t="shared" si="36"/>
        <v>5005</v>
      </c>
      <c r="BU57" s="575">
        <f>BT57/154</f>
        <v>32.5</v>
      </c>
      <c r="BV57" s="575">
        <v>38.5</v>
      </c>
      <c r="BW57" s="574">
        <f>BU57*C57</f>
        <v>11.375</v>
      </c>
      <c r="BX57" s="572">
        <f t="shared" si="47"/>
        <v>7</v>
      </c>
      <c r="BY57" s="576">
        <f>BX57*8*CB52</f>
        <v>1736</v>
      </c>
      <c r="BZ57" s="629">
        <f>BW57</f>
        <v>11.375</v>
      </c>
      <c r="CA57" s="630">
        <f>BY57*BZ57</f>
        <v>19747</v>
      </c>
      <c r="CB57" s="632"/>
      <c r="CC57" s="577">
        <f t="shared" si="48"/>
        <v>5005</v>
      </c>
      <c r="CD57" s="575">
        <f>CC57/169.4</f>
        <v>29.545454545454543</v>
      </c>
      <c r="CE57" s="575">
        <v>38.5</v>
      </c>
      <c r="CF57" s="574">
        <f>CD57*C57</f>
        <v>10.34090909090909</v>
      </c>
      <c r="CG57" s="572">
        <f t="shared" si="49"/>
        <v>7</v>
      </c>
      <c r="CH57" s="576">
        <f>CG57*8*CK52</f>
        <v>1680</v>
      </c>
      <c r="CI57" s="629">
        <f>CF57</f>
        <v>10.34090909090909</v>
      </c>
      <c r="CJ57" s="630">
        <f>CH57*CI57</f>
        <v>17372.727272727272</v>
      </c>
      <c r="CK57" s="632"/>
      <c r="CL57" s="577">
        <v>5159</v>
      </c>
      <c r="CM57" s="575">
        <f>CL57/177.1</f>
        <v>29.130434782608695</v>
      </c>
      <c r="CN57" s="575">
        <v>38.5</v>
      </c>
      <c r="CO57" s="574">
        <f>CM57*C57</f>
        <v>10.195652173913043</v>
      </c>
      <c r="CP57" s="572">
        <f t="shared" si="50"/>
        <v>7</v>
      </c>
      <c r="CQ57" s="576">
        <f>CP57*8*CT52</f>
        <v>1736</v>
      </c>
      <c r="CR57" s="629">
        <f>CO57</f>
        <v>10.195652173913043</v>
      </c>
      <c r="CS57" s="630">
        <f>CQ57*CR57</f>
        <v>17699.652173913044</v>
      </c>
      <c r="CT57" s="632"/>
      <c r="CU57" s="577">
        <f t="shared" si="37"/>
        <v>5159</v>
      </c>
      <c r="CV57" s="575">
        <f>CU57/154</f>
        <v>33.5</v>
      </c>
      <c r="CW57" s="575">
        <v>38.5</v>
      </c>
      <c r="CX57" s="574">
        <f>CV57*C57</f>
        <v>11.725</v>
      </c>
      <c r="CY57" s="572">
        <f t="shared" si="51"/>
        <v>7</v>
      </c>
      <c r="CZ57" s="576">
        <f>CY57*8*DC52</f>
        <v>1680</v>
      </c>
      <c r="DA57" s="629">
        <f>CX57</f>
        <v>11.725</v>
      </c>
      <c r="DB57" s="630">
        <f>CZ57*DA57</f>
        <v>19698</v>
      </c>
      <c r="DC57" s="632"/>
      <c r="DD57" s="577">
        <f t="shared" si="38"/>
        <v>5159</v>
      </c>
      <c r="DE57" s="575">
        <f>DD57/177.1</f>
        <v>29.130434782608695</v>
      </c>
      <c r="DF57" s="575">
        <v>38.5</v>
      </c>
      <c r="DG57" s="574">
        <f>DE57*C57</f>
        <v>10.195652173913043</v>
      </c>
      <c r="DH57" s="572">
        <f t="shared" si="52"/>
        <v>7</v>
      </c>
      <c r="DI57" s="576">
        <f>DH57*8*DL52</f>
        <v>1736</v>
      </c>
      <c r="DJ57" s="629">
        <f>DG57</f>
        <v>10.195652173913043</v>
      </c>
      <c r="DK57" s="630">
        <f>DI57*DJ57</f>
        <v>17699.652173913044</v>
      </c>
      <c r="DL57" s="632"/>
      <c r="DM57" s="633">
        <f>N57+W57+AF57+AO57+AX57+BG57+BP57+BY57+CH57+CQ57+CZ57+DI57</f>
        <v>20440</v>
      </c>
      <c r="DN57" s="633">
        <f>P57+Y57+AH57+AQ57+AZ57+BI57+BR57+CA57+CJ57+CS57+DB57+DK57</f>
        <v>224030.77456487069</v>
      </c>
      <c r="DO57" s="711"/>
      <c r="DP57" s="711"/>
      <c r="DQ57" s="711"/>
    </row>
    <row r="58" spans="1:121" s="560" customFormat="1">
      <c r="A58" s="569" t="s">
        <v>1111</v>
      </c>
      <c r="B58" s="613">
        <f>5*365*8</f>
        <v>14600</v>
      </c>
      <c r="C58" s="571">
        <v>0.5</v>
      </c>
      <c r="D58" s="572">
        <v>5</v>
      </c>
      <c r="E58" s="572">
        <f>D58*8</f>
        <v>40</v>
      </c>
      <c r="F58" s="572">
        <v>3826</v>
      </c>
      <c r="G58" s="570"/>
      <c r="H58" s="573">
        <v>10</v>
      </c>
      <c r="I58" s="572">
        <v>5265</v>
      </c>
      <c r="J58" s="574">
        <f>I58/161.7</f>
        <v>32.560296846011134</v>
      </c>
      <c r="K58" s="575">
        <v>38.5</v>
      </c>
      <c r="L58" s="574">
        <f>J58*C58</f>
        <v>16.280148423005567</v>
      </c>
      <c r="M58" s="572">
        <f t="shared" si="39"/>
        <v>5</v>
      </c>
      <c r="N58" s="576">
        <f>M58*8*Q52</f>
        <v>1240</v>
      </c>
      <c r="O58" s="629">
        <f>L58</f>
        <v>16.280148423005567</v>
      </c>
      <c r="P58" s="630">
        <f>N58*O58</f>
        <v>20187.384044526902</v>
      </c>
      <c r="Q58" s="630"/>
      <c r="R58" s="577">
        <f t="shared" si="31"/>
        <v>5265</v>
      </c>
      <c r="S58" s="575">
        <f>R58/161.7</f>
        <v>32.560296846011134</v>
      </c>
      <c r="T58" s="575">
        <v>38.5</v>
      </c>
      <c r="U58" s="574">
        <f>S58*C58</f>
        <v>16.280148423005567</v>
      </c>
      <c r="V58" s="572">
        <f t="shared" si="40"/>
        <v>5</v>
      </c>
      <c r="W58" s="576">
        <f>V58*8*Z52</f>
        <v>1120</v>
      </c>
      <c r="X58" s="629">
        <f>U58</f>
        <v>16.280148423005567</v>
      </c>
      <c r="Y58" s="630">
        <f>W58*X58</f>
        <v>18233.766233766237</v>
      </c>
      <c r="Z58" s="630"/>
      <c r="AA58" s="577">
        <f t="shared" si="32"/>
        <v>5265</v>
      </c>
      <c r="AB58" s="575">
        <f>AA58/154</f>
        <v>34.188311688311686</v>
      </c>
      <c r="AC58" s="575">
        <v>38.5</v>
      </c>
      <c r="AD58" s="574">
        <f>AB58*C58</f>
        <v>17.094155844155843</v>
      </c>
      <c r="AE58" s="572">
        <f t="shared" si="41"/>
        <v>5</v>
      </c>
      <c r="AF58" s="576">
        <f>AE58*8*AI52</f>
        <v>1240</v>
      </c>
      <c r="AG58" s="629">
        <f>AD58</f>
        <v>17.094155844155843</v>
      </c>
      <c r="AH58" s="630">
        <f>AF58*AG58</f>
        <v>21196.753246753244</v>
      </c>
      <c r="AI58" s="632"/>
      <c r="AJ58" s="577">
        <f t="shared" si="33"/>
        <v>5265</v>
      </c>
      <c r="AK58" s="575">
        <f>AJ58/161.7</f>
        <v>32.560296846011134</v>
      </c>
      <c r="AL58" s="575">
        <v>38.5</v>
      </c>
      <c r="AM58" s="574">
        <f>AK58*C58</f>
        <v>16.280148423005567</v>
      </c>
      <c r="AN58" s="572">
        <f t="shared" si="42"/>
        <v>5</v>
      </c>
      <c r="AO58" s="576">
        <f>AN58*8*AR52</f>
        <v>1200</v>
      </c>
      <c r="AP58" s="629">
        <f>AM58</f>
        <v>16.280148423005567</v>
      </c>
      <c r="AQ58" s="630">
        <f>AO58*AP58</f>
        <v>19536.17810760668</v>
      </c>
      <c r="AR58" s="632"/>
      <c r="AS58" s="577">
        <f t="shared" si="34"/>
        <v>5265</v>
      </c>
      <c r="AT58" s="575">
        <f>AS58/146.3</f>
        <v>35.987696514012299</v>
      </c>
      <c r="AU58" s="575">
        <v>38.5</v>
      </c>
      <c r="AV58" s="574">
        <f>AT58*C58</f>
        <v>17.99384825700615</v>
      </c>
      <c r="AW58" s="572">
        <f t="shared" si="43"/>
        <v>5</v>
      </c>
      <c r="AX58" s="576">
        <f>AW58*8*BA52</f>
        <v>1240</v>
      </c>
      <c r="AY58" s="629">
        <f>AV58</f>
        <v>17.99384825700615</v>
      </c>
      <c r="AZ58" s="630">
        <f>AX58*AY58</f>
        <v>22312.371838687624</v>
      </c>
      <c r="BA58" s="632"/>
      <c r="BB58" s="577">
        <f t="shared" si="35"/>
        <v>5265</v>
      </c>
      <c r="BC58" s="575">
        <f>BB58/146.3</f>
        <v>35.987696514012299</v>
      </c>
      <c r="BD58" s="575">
        <v>38.5</v>
      </c>
      <c r="BE58" s="574">
        <f>BC58*C58</f>
        <v>17.99384825700615</v>
      </c>
      <c r="BF58" s="572">
        <f t="shared" si="44"/>
        <v>5</v>
      </c>
      <c r="BG58" s="576">
        <f>BF58*8*BJ52</f>
        <v>1200</v>
      </c>
      <c r="BH58" s="629">
        <f>BE58</f>
        <v>17.99384825700615</v>
      </c>
      <c r="BI58" s="630">
        <f>BG58*BH58</f>
        <v>21592.617908407381</v>
      </c>
      <c r="BJ58" s="632"/>
      <c r="BK58" s="577">
        <f t="shared" si="45"/>
        <v>5265</v>
      </c>
      <c r="BL58" s="575">
        <f>BK58/177.1</f>
        <v>29.728966685488427</v>
      </c>
      <c r="BM58" s="575">
        <v>38.5</v>
      </c>
      <c r="BN58" s="574">
        <f>BL58*C58</f>
        <v>14.864483342744213</v>
      </c>
      <c r="BO58" s="572">
        <f t="shared" si="46"/>
        <v>5</v>
      </c>
      <c r="BP58" s="576">
        <f>BO58*8*BS52</f>
        <v>1240</v>
      </c>
      <c r="BQ58" s="629">
        <f>BN58</f>
        <v>14.864483342744213</v>
      </c>
      <c r="BR58" s="630">
        <f>BP58*BQ58</f>
        <v>18431.959345002826</v>
      </c>
      <c r="BS58" s="632"/>
      <c r="BT58" s="577">
        <f t="shared" si="36"/>
        <v>5265</v>
      </c>
      <c r="BU58" s="575">
        <f>BT58/154</f>
        <v>34.188311688311686</v>
      </c>
      <c r="BV58" s="575">
        <v>38.5</v>
      </c>
      <c r="BW58" s="574">
        <f>BU58*C58</f>
        <v>17.094155844155843</v>
      </c>
      <c r="BX58" s="572">
        <f t="shared" si="47"/>
        <v>5</v>
      </c>
      <c r="BY58" s="576">
        <f>BX58*8*CB52</f>
        <v>1240</v>
      </c>
      <c r="BZ58" s="629">
        <f>BW58</f>
        <v>17.094155844155843</v>
      </c>
      <c r="CA58" s="630">
        <f>BY58*BZ58</f>
        <v>21196.753246753244</v>
      </c>
      <c r="CB58" s="632"/>
      <c r="CC58" s="577">
        <f t="shared" si="48"/>
        <v>5265</v>
      </c>
      <c r="CD58" s="575">
        <f>CC58/169.4</f>
        <v>31.080283353010625</v>
      </c>
      <c r="CE58" s="575">
        <v>38.5</v>
      </c>
      <c r="CF58" s="574">
        <f>CD58*C58</f>
        <v>15.540141676505312</v>
      </c>
      <c r="CG58" s="572">
        <f t="shared" si="49"/>
        <v>5</v>
      </c>
      <c r="CH58" s="576">
        <f>CG58*8*CK52</f>
        <v>1200</v>
      </c>
      <c r="CI58" s="629">
        <f>CF58</f>
        <v>15.540141676505312</v>
      </c>
      <c r="CJ58" s="630">
        <f>CH58*CI58</f>
        <v>18648.170011806375</v>
      </c>
      <c r="CK58" s="632"/>
      <c r="CL58" s="577">
        <v>5427</v>
      </c>
      <c r="CM58" s="575">
        <f>CL58/177.1</f>
        <v>30.643704121964994</v>
      </c>
      <c r="CN58" s="575">
        <v>38.5</v>
      </c>
      <c r="CO58" s="574">
        <f>CM58*C58</f>
        <v>15.321852060982497</v>
      </c>
      <c r="CP58" s="572">
        <f t="shared" si="50"/>
        <v>5</v>
      </c>
      <c r="CQ58" s="576">
        <f>CP58*8*CT52</f>
        <v>1240</v>
      </c>
      <c r="CR58" s="629">
        <f>CO58</f>
        <v>15.321852060982497</v>
      </c>
      <c r="CS58" s="630">
        <f>CQ58*CR58</f>
        <v>18999.096555618296</v>
      </c>
      <c r="CT58" s="632"/>
      <c r="CU58" s="577">
        <f t="shared" si="37"/>
        <v>5427</v>
      </c>
      <c r="CV58" s="575">
        <f>CU58/154</f>
        <v>35.240259740259738</v>
      </c>
      <c r="CW58" s="575">
        <v>38.5</v>
      </c>
      <c r="CX58" s="574">
        <f>CV58*C58</f>
        <v>17.620129870129869</v>
      </c>
      <c r="CY58" s="572">
        <f t="shared" si="51"/>
        <v>5</v>
      </c>
      <c r="CZ58" s="576">
        <f>CY58*8*DC52</f>
        <v>1200</v>
      </c>
      <c r="DA58" s="629">
        <f>CX58</f>
        <v>17.620129870129869</v>
      </c>
      <c r="DB58" s="630">
        <f>CZ58*DA58</f>
        <v>21144.155844155845</v>
      </c>
      <c r="DC58" s="632"/>
      <c r="DD58" s="577">
        <f t="shared" si="38"/>
        <v>5427</v>
      </c>
      <c r="DE58" s="575">
        <f>DD58/177.1</f>
        <v>30.643704121964994</v>
      </c>
      <c r="DF58" s="575">
        <v>38.5</v>
      </c>
      <c r="DG58" s="574">
        <f>DE58*C58</f>
        <v>15.321852060982497</v>
      </c>
      <c r="DH58" s="572">
        <f t="shared" si="52"/>
        <v>5</v>
      </c>
      <c r="DI58" s="576">
        <f>DH58*8*DL52</f>
        <v>1240</v>
      </c>
      <c r="DJ58" s="629">
        <f>DG58</f>
        <v>15.321852060982497</v>
      </c>
      <c r="DK58" s="630">
        <f>DI58*DJ58</f>
        <v>18999.096555618296</v>
      </c>
      <c r="DL58" s="632"/>
      <c r="DM58" s="633">
        <f>N58+W58+AF58+AO58+AX58+BG58+BP58+BY58+CH58+CQ58+CZ58+DI58</f>
        <v>14600</v>
      </c>
      <c r="DN58" s="633">
        <f>P58+Y58+AH58+AQ58+AZ58+BI58+BR58+CA58+CJ58+CS58+DB58+DK58</f>
        <v>240478.30293870295</v>
      </c>
      <c r="DO58" s="711"/>
      <c r="DP58" s="711"/>
      <c r="DQ58" s="711"/>
    </row>
    <row r="59" spans="1:121" s="560" customFormat="1">
      <c r="A59" s="561" t="s">
        <v>1104</v>
      </c>
      <c r="B59" s="562"/>
      <c r="C59" s="563"/>
      <c r="D59" s="564"/>
      <c r="E59" s="564"/>
      <c r="F59" s="572">
        <f>C59</f>
        <v>0</v>
      </c>
      <c r="G59" s="565"/>
      <c r="H59" s="566"/>
      <c r="I59" s="572">
        <f>F59</f>
        <v>0</v>
      </c>
      <c r="J59" s="578"/>
      <c r="K59" s="567"/>
      <c r="L59" s="574"/>
      <c r="M59" s="572">
        <f t="shared" si="39"/>
        <v>0</v>
      </c>
      <c r="N59" s="579"/>
      <c r="O59" s="629"/>
      <c r="P59" s="630"/>
      <c r="Q59" s="630"/>
      <c r="R59" s="577">
        <f t="shared" si="31"/>
        <v>0</v>
      </c>
      <c r="S59" s="567"/>
      <c r="T59" s="567"/>
      <c r="U59" s="574"/>
      <c r="V59" s="572">
        <f t="shared" si="40"/>
        <v>0</v>
      </c>
      <c r="W59" s="579"/>
      <c r="X59" s="629"/>
      <c r="Y59" s="630"/>
      <c r="Z59" s="630"/>
      <c r="AA59" s="577">
        <f t="shared" si="32"/>
        <v>0</v>
      </c>
      <c r="AB59" s="567"/>
      <c r="AC59" s="567"/>
      <c r="AD59" s="574"/>
      <c r="AE59" s="572">
        <f t="shared" si="41"/>
        <v>0</v>
      </c>
      <c r="AF59" s="579"/>
      <c r="AG59" s="629"/>
      <c r="AH59" s="630"/>
      <c r="AI59" s="632"/>
      <c r="AJ59" s="577">
        <f t="shared" si="33"/>
        <v>0</v>
      </c>
      <c r="AK59" s="567"/>
      <c r="AL59" s="567"/>
      <c r="AM59" s="574"/>
      <c r="AN59" s="572">
        <f t="shared" si="42"/>
        <v>0</v>
      </c>
      <c r="AO59" s="579"/>
      <c r="AP59" s="629"/>
      <c r="AQ59" s="630"/>
      <c r="AR59" s="632"/>
      <c r="AS59" s="577">
        <f t="shared" si="34"/>
        <v>0</v>
      </c>
      <c r="AT59" s="567"/>
      <c r="AU59" s="567"/>
      <c r="AV59" s="574"/>
      <c r="AW59" s="572">
        <f t="shared" si="43"/>
        <v>0</v>
      </c>
      <c r="AX59" s="579"/>
      <c r="AY59" s="629"/>
      <c r="AZ59" s="630"/>
      <c r="BA59" s="632"/>
      <c r="BB59" s="577">
        <f t="shared" si="35"/>
        <v>0</v>
      </c>
      <c r="BC59" s="567"/>
      <c r="BD59" s="567"/>
      <c r="BE59" s="574"/>
      <c r="BF59" s="572">
        <f t="shared" si="44"/>
        <v>0</v>
      </c>
      <c r="BG59" s="579"/>
      <c r="BH59" s="629"/>
      <c r="BI59" s="630"/>
      <c r="BJ59" s="632"/>
      <c r="BK59" s="577">
        <f t="shared" si="45"/>
        <v>0</v>
      </c>
      <c r="BL59" s="567"/>
      <c r="BM59" s="567"/>
      <c r="BN59" s="574"/>
      <c r="BO59" s="572">
        <f t="shared" si="46"/>
        <v>0</v>
      </c>
      <c r="BP59" s="579"/>
      <c r="BQ59" s="629"/>
      <c r="BR59" s="630"/>
      <c r="BS59" s="632"/>
      <c r="BT59" s="577">
        <f t="shared" si="36"/>
        <v>0</v>
      </c>
      <c r="BU59" s="567"/>
      <c r="BV59" s="567"/>
      <c r="BW59" s="574"/>
      <c r="BX59" s="572">
        <f t="shared" si="47"/>
        <v>0</v>
      </c>
      <c r="BY59" s="579"/>
      <c r="BZ59" s="629"/>
      <c r="CA59" s="630"/>
      <c r="CB59" s="632"/>
      <c r="CC59" s="577">
        <f t="shared" si="48"/>
        <v>0</v>
      </c>
      <c r="CD59" s="567"/>
      <c r="CE59" s="567"/>
      <c r="CF59" s="574"/>
      <c r="CG59" s="572">
        <f t="shared" si="49"/>
        <v>0</v>
      </c>
      <c r="CH59" s="579"/>
      <c r="CI59" s="629"/>
      <c r="CJ59" s="630"/>
      <c r="CK59" s="632"/>
      <c r="CL59" s="577">
        <f t="shared" si="53"/>
        <v>0</v>
      </c>
      <c r="CM59" s="567"/>
      <c r="CN59" s="567"/>
      <c r="CO59" s="574"/>
      <c r="CP59" s="572">
        <f t="shared" si="50"/>
        <v>0</v>
      </c>
      <c r="CQ59" s="579"/>
      <c r="CR59" s="629"/>
      <c r="CS59" s="630"/>
      <c r="CT59" s="632"/>
      <c r="CU59" s="577">
        <f t="shared" si="37"/>
        <v>0</v>
      </c>
      <c r="CV59" s="567"/>
      <c r="CW59" s="567"/>
      <c r="CX59" s="574"/>
      <c r="CY59" s="572">
        <f t="shared" si="51"/>
        <v>0</v>
      </c>
      <c r="CZ59" s="579"/>
      <c r="DA59" s="629"/>
      <c r="DB59" s="630"/>
      <c r="DC59" s="632"/>
      <c r="DD59" s="577">
        <f t="shared" si="38"/>
        <v>0</v>
      </c>
      <c r="DE59" s="567"/>
      <c r="DF59" s="567"/>
      <c r="DG59" s="574"/>
      <c r="DH59" s="572">
        <f t="shared" si="52"/>
        <v>0</v>
      </c>
      <c r="DI59" s="579"/>
      <c r="DJ59" s="629"/>
      <c r="DK59" s="630"/>
      <c r="DL59" s="632"/>
      <c r="DM59" s="633"/>
      <c r="DN59" s="633"/>
      <c r="DO59" s="711"/>
      <c r="DP59" s="711"/>
      <c r="DQ59" s="711"/>
    </row>
    <row r="60" spans="1:121" s="560" customFormat="1">
      <c r="A60" s="569" t="s">
        <v>1112</v>
      </c>
      <c r="B60" s="613">
        <f>7*365*8</f>
        <v>20440</v>
      </c>
      <c r="C60" s="571">
        <v>0.35</v>
      </c>
      <c r="D60" s="572">
        <v>7</v>
      </c>
      <c r="E60" s="572">
        <f>D60*8</f>
        <v>56</v>
      </c>
      <c r="F60" s="572">
        <v>2480</v>
      </c>
      <c r="G60" s="570"/>
      <c r="H60" s="573">
        <v>3</v>
      </c>
      <c r="I60" s="572">
        <v>3414</v>
      </c>
      <c r="J60" s="574">
        <f>I60/168</f>
        <v>20.321428571428573</v>
      </c>
      <c r="K60" s="575">
        <v>40</v>
      </c>
      <c r="L60" s="574">
        <f>J60*C60</f>
        <v>7.1124999999999998</v>
      </c>
      <c r="M60" s="572">
        <f t="shared" si="39"/>
        <v>7</v>
      </c>
      <c r="N60" s="576">
        <f>M60*8*Q52</f>
        <v>1736</v>
      </c>
      <c r="O60" s="629">
        <f>L60</f>
        <v>7.1124999999999998</v>
      </c>
      <c r="P60" s="630">
        <f>N60*O60</f>
        <v>12347.3</v>
      </c>
      <c r="Q60" s="630"/>
      <c r="R60" s="577">
        <f t="shared" si="31"/>
        <v>3414</v>
      </c>
      <c r="S60" s="575">
        <f>R60/168</f>
        <v>20.321428571428573</v>
      </c>
      <c r="T60" s="575">
        <v>40</v>
      </c>
      <c r="U60" s="574">
        <f>S60*C60</f>
        <v>7.1124999999999998</v>
      </c>
      <c r="V60" s="572">
        <f t="shared" si="40"/>
        <v>7</v>
      </c>
      <c r="W60" s="576">
        <f>V60*8*Z52</f>
        <v>1568</v>
      </c>
      <c r="X60" s="629">
        <f>U60</f>
        <v>7.1124999999999998</v>
      </c>
      <c r="Y60" s="630">
        <f>W60*X60</f>
        <v>11152.4</v>
      </c>
      <c r="Z60" s="630"/>
      <c r="AA60" s="577">
        <f t="shared" si="32"/>
        <v>3414</v>
      </c>
      <c r="AB60" s="575">
        <f>AA60/159</f>
        <v>21.471698113207548</v>
      </c>
      <c r="AC60" s="575">
        <v>40</v>
      </c>
      <c r="AD60" s="574">
        <f>AB60*C60</f>
        <v>7.5150943396226415</v>
      </c>
      <c r="AE60" s="572">
        <f t="shared" si="41"/>
        <v>7</v>
      </c>
      <c r="AF60" s="576">
        <f>AE60*8*AI52</f>
        <v>1736</v>
      </c>
      <c r="AG60" s="629">
        <f>AD60</f>
        <v>7.5150943396226415</v>
      </c>
      <c r="AH60" s="630">
        <f>AF60*AG60</f>
        <v>13046.203773584906</v>
      </c>
      <c r="AI60" s="632"/>
      <c r="AJ60" s="577">
        <f t="shared" si="33"/>
        <v>3414</v>
      </c>
      <c r="AK60" s="575">
        <f>AJ60/167</f>
        <v>20.443113772455089</v>
      </c>
      <c r="AL60" s="575">
        <v>40</v>
      </c>
      <c r="AM60" s="574">
        <f>AK60*C60</f>
        <v>7.1550898203592803</v>
      </c>
      <c r="AN60" s="572">
        <f t="shared" si="42"/>
        <v>7</v>
      </c>
      <c r="AO60" s="576">
        <f>AN60*8*AR52</f>
        <v>1680</v>
      </c>
      <c r="AP60" s="629">
        <f>AM60</f>
        <v>7.1550898203592803</v>
      </c>
      <c r="AQ60" s="630">
        <f>AO60*AP60</f>
        <v>12020.550898203592</v>
      </c>
      <c r="AR60" s="632"/>
      <c r="AS60" s="577">
        <f t="shared" si="34"/>
        <v>3414</v>
      </c>
      <c r="AT60" s="575">
        <f>AS60/151</f>
        <v>22.609271523178808</v>
      </c>
      <c r="AU60" s="575">
        <v>40</v>
      </c>
      <c r="AV60" s="574">
        <f>AT60*C60</f>
        <v>7.9132450331125828</v>
      </c>
      <c r="AW60" s="572">
        <f t="shared" si="43"/>
        <v>7</v>
      </c>
      <c r="AX60" s="576">
        <f>AW60*8*BA52</f>
        <v>1736</v>
      </c>
      <c r="AY60" s="629">
        <f>AV60</f>
        <v>7.9132450331125828</v>
      </c>
      <c r="AZ60" s="630">
        <f>AX60*AY60</f>
        <v>13737.393377483444</v>
      </c>
      <c r="BA60" s="632"/>
      <c r="BB60" s="577">
        <f t="shared" si="35"/>
        <v>3414</v>
      </c>
      <c r="BC60" s="575">
        <f>BB60/151</f>
        <v>22.609271523178808</v>
      </c>
      <c r="BD60" s="575">
        <v>40</v>
      </c>
      <c r="BE60" s="574">
        <f>BC60*C60</f>
        <v>7.9132450331125828</v>
      </c>
      <c r="BF60" s="572">
        <f t="shared" si="44"/>
        <v>7</v>
      </c>
      <c r="BG60" s="576">
        <f>BF60*8*BJ52</f>
        <v>1680</v>
      </c>
      <c r="BH60" s="629">
        <f>BE60</f>
        <v>7.9132450331125828</v>
      </c>
      <c r="BI60" s="630">
        <f>BG60*BH60</f>
        <v>13294.251655629139</v>
      </c>
      <c r="BJ60" s="632"/>
      <c r="BK60" s="577">
        <f t="shared" si="45"/>
        <v>3414</v>
      </c>
      <c r="BL60" s="575">
        <f>BK60/184</f>
        <v>18.554347826086957</v>
      </c>
      <c r="BM60" s="575">
        <v>40</v>
      </c>
      <c r="BN60" s="574">
        <f>BL60*C60</f>
        <v>6.4940217391304342</v>
      </c>
      <c r="BO60" s="572">
        <f t="shared" si="46"/>
        <v>7</v>
      </c>
      <c r="BP60" s="576">
        <f>BO60*8*BS52</f>
        <v>1736</v>
      </c>
      <c r="BQ60" s="629">
        <f>BN60</f>
        <v>6.4940217391304342</v>
      </c>
      <c r="BR60" s="630">
        <f>BP60*BQ60</f>
        <v>11273.621739130434</v>
      </c>
      <c r="BS60" s="632"/>
      <c r="BT60" s="577">
        <f t="shared" si="36"/>
        <v>3414</v>
      </c>
      <c r="BU60" s="575">
        <f>BT60/160</f>
        <v>21.337499999999999</v>
      </c>
      <c r="BV60" s="575">
        <v>40</v>
      </c>
      <c r="BW60" s="574">
        <f>BU60*C60</f>
        <v>7.4681249999999988</v>
      </c>
      <c r="BX60" s="572">
        <f t="shared" si="47"/>
        <v>7</v>
      </c>
      <c r="BY60" s="576">
        <f>BX60*8*CB52</f>
        <v>1736</v>
      </c>
      <c r="BZ60" s="629">
        <f>BW60</f>
        <v>7.4681249999999988</v>
      </c>
      <c r="CA60" s="630">
        <f>BY60*BZ60</f>
        <v>12964.664999999997</v>
      </c>
      <c r="CB60" s="632"/>
      <c r="CC60" s="577">
        <f t="shared" si="48"/>
        <v>3414</v>
      </c>
      <c r="CD60" s="575">
        <f>CC60/176</f>
        <v>19.397727272727273</v>
      </c>
      <c r="CE60" s="575">
        <v>40</v>
      </c>
      <c r="CF60" s="574">
        <f>CD60*C60</f>
        <v>6.7892045454545453</v>
      </c>
      <c r="CG60" s="572">
        <f t="shared" si="49"/>
        <v>7</v>
      </c>
      <c r="CH60" s="576">
        <f>CG60*8*CK52</f>
        <v>1680</v>
      </c>
      <c r="CI60" s="629">
        <f>CF60</f>
        <v>6.7892045454545453</v>
      </c>
      <c r="CJ60" s="630">
        <f>CH60*CI60</f>
        <v>11405.863636363636</v>
      </c>
      <c r="CK60" s="632"/>
      <c r="CL60" s="577">
        <v>3519</v>
      </c>
      <c r="CM60" s="575">
        <f>CL60/184</f>
        <v>19.125</v>
      </c>
      <c r="CN60" s="575">
        <v>40</v>
      </c>
      <c r="CO60" s="574">
        <f>CM60*C60</f>
        <v>6.6937499999999996</v>
      </c>
      <c r="CP60" s="572">
        <f t="shared" si="50"/>
        <v>7</v>
      </c>
      <c r="CQ60" s="576">
        <f>CP60*8*CT52</f>
        <v>1736</v>
      </c>
      <c r="CR60" s="629">
        <f>CO60</f>
        <v>6.6937499999999996</v>
      </c>
      <c r="CS60" s="630">
        <f>CQ60*CR60</f>
        <v>11620.349999999999</v>
      </c>
      <c r="CT60" s="632"/>
      <c r="CU60" s="577">
        <f t="shared" si="37"/>
        <v>3519</v>
      </c>
      <c r="CV60" s="575">
        <f>CU60/160</f>
        <v>21.993749999999999</v>
      </c>
      <c r="CW60" s="575">
        <v>40</v>
      </c>
      <c r="CX60" s="574">
        <f>CV60*C60</f>
        <v>7.6978124999999986</v>
      </c>
      <c r="CY60" s="572">
        <f t="shared" si="51"/>
        <v>7</v>
      </c>
      <c r="CZ60" s="576">
        <f>CY60*8*DC52</f>
        <v>1680</v>
      </c>
      <c r="DA60" s="629">
        <f>CX60</f>
        <v>7.6978124999999986</v>
      </c>
      <c r="DB60" s="630">
        <f>CZ60*DA60</f>
        <v>12932.324999999997</v>
      </c>
      <c r="DC60" s="632"/>
      <c r="DD60" s="577">
        <f t="shared" si="38"/>
        <v>3519</v>
      </c>
      <c r="DE60" s="575">
        <f>DD60/183</f>
        <v>19.229508196721312</v>
      </c>
      <c r="DF60" s="575">
        <v>40</v>
      </c>
      <c r="DG60" s="574">
        <f>DE60*C60</f>
        <v>6.7303278688524593</v>
      </c>
      <c r="DH60" s="572">
        <f t="shared" si="52"/>
        <v>7</v>
      </c>
      <c r="DI60" s="576">
        <f>DH60*8*DL52</f>
        <v>1736</v>
      </c>
      <c r="DJ60" s="629">
        <f>DG60</f>
        <v>6.7303278688524593</v>
      </c>
      <c r="DK60" s="630">
        <f>DI60*DJ60</f>
        <v>11683.849180327868</v>
      </c>
      <c r="DL60" s="632"/>
      <c r="DM60" s="633">
        <f>N60+W60+AF60+AO60+AX60+BG60+BP60+BY60+CH60+CQ60+CZ60+DI60</f>
        <v>20440</v>
      </c>
      <c r="DN60" s="633">
        <f>P60+Y60+AH60+AQ60+AZ60+BI60+BR60+CA60+CJ60+CS60+DB60+DK60</f>
        <v>147478.774260723</v>
      </c>
      <c r="DO60" s="711"/>
      <c r="DP60" s="711"/>
      <c r="DQ60" s="711"/>
    </row>
    <row r="61" spans="1:121" s="560" customFormat="1">
      <c r="A61" s="569" t="s">
        <v>1140</v>
      </c>
      <c r="B61" s="613">
        <f>2*365*8</f>
        <v>5840</v>
      </c>
      <c r="C61" s="571">
        <v>0.5</v>
      </c>
      <c r="D61" s="572">
        <v>2</v>
      </c>
      <c r="E61" s="572">
        <f>D61*8</f>
        <v>16</v>
      </c>
      <c r="F61" s="572">
        <v>2480</v>
      </c>
      <c r="G61" s="570"/>
      <c r="H61" s="573">
        <v>3</v>
      </c>
      <c r="I61" s="572">
        <v>3414</v>
      </c>
      <c r="J61" s="574">
        <f>I61/168</f>
        <v>20.321428571428573</v>
      </c>
      <c r="K61" s="575">
        <v>40</v>
      </c>
      <c r="L61" s="574">
        <f>J61*C61</f>
        <v>10.160714285714286</v>
      </c>
      <c r="M61" s="572">
        <f t="shared" si="39"/>
        <v>2</v>
      </c>
      <c r="N61" s="576">
        <f>M61*8*Q52</f>
        <v>496</v>
      </c>
      <c r="O61" s="629">
        <f>L61</f>
        <v>10.160714285714286</v>
      </c>
      <c r="P61" s="630">
        <f>N61*O61</f>
        <v>5039.7142857142862</v>
      </c>
      <c r="Q61" s="630"/>
      <c r="R61" s="577">
        <f t="shared" si="31"/>
        <v>3414</v>
      </c>
      <c r="S61" s="575">
        <f>R61/168</f>
        <v>20.321428571428573</v>
      </c>
      <c r="T61" s="575">
        <v>40</v>
      </c>
      <c r="U61" s="574">
        <f>S61*C61</f>
        <v>10.160714285714286</v>
      </c>
      <c r="V61" s="572">
        <f t="shared" si="40"/>
        <v>2</v>
      </c>
      <c r="W61" s="576">
        <f>V61*8*Z52</f>
        <v>448</v>
      </c>
      <c r="X61" s="629">
        <f>U61</f>
        <v>10.160714285714286</v>
      </c>
      <c r="Y61" s="630">
        <f>W61*X61</f>
        <v>4552</v>
      </c>
      <c r="Z61" s="630"/>
      <c r="AA61" s="577">
        <f t="shared" si="32"/>
        <v>3414</v>
      </c>
      <c r="AB61" s="575">
        <f>AA61/159</f>
        <v>21.471698113207548</v>
      </c>
      <c r="AC61" s="575">
        <v>40</v>
      </c>
      <c r="AD61" s="574">
        <f>AB61*C61</f>
        <v>10.735849056603774</v>
      </c>
      <c r="AE61" s="572">
        <f t="shared" si="41"/>
        <v>2</v>
      </c>
      <c r="AF61" s="576">
        <f>AE61*8*AI52</f>
        <v>496</v>
      </c>
      <c r="AG61" s="629">
        <f>AD61</f>
        <v>10.735849056603774</v>
      </c>
      <c r="AH61" s="630">
        <f>AF61*AG61</f>
        <v>5324.9811320754716</v>
      </c>
      <c r="AI61" s="632"/>
      <c r="AJ61" s="577">
        <f t="shared" si="33"/>
        <v>3414</v>
      </c>
      <c r="AK61" s="575">
        <f>AJ61/167</f>
        <v>20.443113772455089</v>
      </c>
      <c r="AL61" s="575">
        <v>40</v>
      </c>
      <c r="AM61" s="574">
        <f>AK61*C61</f>
        <v>10.221556886227544</v>
      </c>
      <c r="AN61" s="572">
        <f t="shared" si="42"/>
        <v>2</v>
      </c>
      <c r="AO61" s="576">
        <f>AN61*8*AR52</f>
        <v>480</v>
      </c>
      <c r="AP61" s="629">
        <f>AM61</f>
        <v>10.221556886227544</v>
      </c>
      <c r="AQ61" s="630">
        <f>AO61*AP61</f>
        <v>4906.3473053892212</v>
      </c>
      <c r="AR61" s="632"/>
      <c r="AS61" s="577">
        <f t="shared" si="34"/>
        <v>3414</v>
      </c>
      <c r="AT61" s="575">
        <f>AS61/151</f>
        <v>22.609271523178808</v>
      </c>
      <c r="AU61" s="575">
        <v>40</v>
      </c>
      <c r="AV61" s="574">
        <f>AT61*C61</f>
        <v>11.304635761589404</v>
      </c>
      <c r="AW61" s="572">
        <f t="shared" si="43"/>
        <v>2</v>
      </c>
      <c r="AX61" s="576">
        <f>AW61*8*BA52</f>
        <v>496</v>
      </c>
      <c r="AY61" s="629">
        <f>AV61</f>
        <v>11.304635761589404</v>
      </c>
      <c r="AZ61" s="630">
        <f>AX61*AY61</f>
        <v>5607.0993377483446</v>
      </c>
      <c r="BA61" s="632"/>
      <c r="BB61" s="577">
        <f t="shared" si="35"/>
        <v>3414</v>
      </c>
      <c r="BC61" s="575">
        <f>BB61/167</f>
        <v>20.443113772455089</v>
      </c>
      <c r="BD61" s="575">
        <v>40</v>
      </c>
      <c r="BE61" s="574">
        <f>BC61*C61</f>
        <v>10.221556886227544</v>
      </c>
      <c r="BF61" s="572">
        <f t="shared" si="44"/>
        <v>2</v>
      </c>
      <c r="BG61" s="576">
        <f>BF61*8*BJ52</f>
        <v>480</v>
      </c>
      <c r="BH61" s="629">
        <f>BE61</f>
        <v>10.221556886227544</v>
      </c>
      <c r="BI61" s="630">
        <f>BG61*BH61</f>
        <v>4906.3473053892212</v>
      </c>
      <c r="BJ61" s="632"/>
      <c r="BK61" s="577">
        <f t="shared" si="45"/>
        <v>3414</v>
      </c>
      <c r="BL61" s="575">
        <f>BK61/184</f>
        <v>18.554347826086957</v>
      </c>
      <c r="BM61" s="575">
        <v>40</v>
      </c>
      <c r="BN61" s="574">
        <f>BL61*C61</f>
        <v>9.2771739130434785</v>
      </c>
      <c r="BO61" s="572">
        <f t="shared" si="46"/>
        <v>2</v>
      </c>
      <c r="BP61" s="576">
        <f>BO61*8*BS52</f>
        <v>496</v>
      </c>
      <c r="BQ61" s="629">
        <f>BN61</f>
        <v>9.2771739130434785</v>
      </c>
      <c r="BR61" s="630">
        <f>BP61*BQ61</f>
        <v>4601.478260869565</v>
      </c>
      <c r="BS61" s="632"/>
      <c r="BT61" s="577">
        <f t="shared" si="36"/>
        <v>3414</v>
      </c>
      <c r="BU61" s="575">
        <f>BT61/160</f>
        <v>21.337499999999999</v>
      </c>
      <c r="BV61" s="575">
        <v>40</v>
      </c>
      <c r="BW61" s="574">
        <f>BU61*C61</f>
        <v>10.668749999999999</v>
      </c>
      <c r="BX61" s="572">
        <f t="shared" si="47"/>
        <v>2</v>
      </c>
      <c r="BY61" s="576">
        <f>BX61*8*CB52</f>
        <v>496</v>
      </c>
      <c r="BZ61" s="629">
        <f>BW61</f>
        <v>10.668749999999999</v>
      </c>
      <c r="CA61" s="630">
        <f>BY61*BZ61</f>
        <v>5291.7</v>
      </c>
      <c r="CB61" s="632"/>
      <c r="CC61" s="577">
        <f t="shared" si="48"/>
        <v>3414</v>
      </c>
      <c r="CD61" s="575">
        <f>CC61/176</f>
        <v>19.397727272727273</v>
      </c>
      <c r="CE61" s="575">
        <v>40</v>
      </c>
      <c r="CF61" s="574">
        <f>CD61*C61</f>
        <v>9.6988636363636367</v>
      </c>
      <c r="CG61" s="572">
        <f t="shared" si="49"/>
        <v>2</v>
      </c>
      <c r="CH61" s="576">
        <f>CG61*8*CK52</f>
        <v>480</v>
      </c>
      <c r="CI61" s="629">
        <f>CF61</f>
        <v>9.6988636363636367</v>
      </c>
      <c r="CJ61" s="630">
        <f>CH61*CI61</f>
        <v>4655.454545454546</v>
      </c>
      <c r="CK61" s="632"/>
      <c r="CL61" s="577">
        <v>3519</v>
      </c>
      <c r="CM61" s="575">
        <f>CL61/184</f>
        <v>19.125</v>
      </c>
      <c r="CN61" s="575">
        <v>40</v>
      </c>
      <c r="CO61" s="574">
        <f>CM61*C61</f>
        <v>9.5625</v>
      </c>
      <c r="CP61" s="572">
        <f t="shared" si="50"/>
        <v>2</v>
      </c>
      <c r="CQ61" s="576">
        <f>CP61*8*CT52</f>
        <v>496</v>
      </c>
      <c r="CR61" s="629">
        <f>CO61</f>
        <v>9.5625</v>
      </c>
      <c r="CS61" s="630">
        <f>CQ61*CR61</f>
        <v>4743</v>
      </c>
      <c r="CT61" s="632"/>
      <c r="CU61" s="577">
        <f t="shared" si="37"/>
        <v>3519</v>
      </c>
      <c r="CV61" s="575">
        <f>CU61/160</f>
        <v>21.993749999999999</v>
      </c>
      <c r="CW61" s="575">
        <v>40</v>
      </c>
      <c r="CX61" s="574">
        <f>CV61*C61</f>
        <v>10.996874999999999</v>
      </c>
      <c r="CY61" s="572">
        <f t="shared" si="51"/>
        <v>2</v>
      </c>
      <c r="CZ61" s="576">
        <f>CY61*8*DC52</f>
        <v>480</v>
      </c>
      <c r="DA61" s="629">
        <f>CX61</f>
        <v>10.996874999999999</v>
      </c>
      <c r="DB61" s="630">
        <f>CZ61*DA61</f>
        <v>5278.5</v>
      </c>
      <c r="DC61" s="632"/>
      <c r="DD61" s="577">
        <f t="shared" si="38"/>
        <v>3519</v>
      </c>
      <c r="DE61" s="575">
        <f>DD61/183</f>
        <v>19.229508196721312</v>
      </c>
      <c r="DF61" s="575">
        <v>40</v>
      </c>
      <c r="DG61" s="574">
        <f>DE61*C61</f>
        <v>9.6147540983606561</v>
      </c>
      <c r="DH61" s="572">
        <f t="shared" si="52"/>
        <v>2</v>
      </c>
      <c r="DI61" s="576">
        <f>DH61*8*DL52</f>
        <v>496</v>
      </c>
      <c r="DJ61" s="629">
        <f>DG61</f>
        <v>9.6147540983606561</v>
      </c>
      <c r="DK61" s="630">
        <f>DI61*DJ61</f>
        <v>4768.9180327868853</v>
      </c>
      <c r="DL61" s="632"/>
      <c r="DM61" s="633">
        <f>N61+W61+AF61+AO61+AX61+BG61+BP61+BY61+CH61+CQ61+CZ61+DI61</f>
        <v>5840</v>
      </c>
      <c r="DN61" s="633">
        <f>P61+Y61+AH61+AQ61+AZ61+BI61+BR61+CA61+CJ61+CS61+DB61+DK61</f>
        <v>59675.540205427547</v>
      </c>
      <c r="DO61" s="711"/>
      <c r="DP61" s="711"/>
      <c r="DQ61" s="711"/>
    </row>
    <row r="62" spans="1:121" s="560" customFormat="1">
      <c r="A62" s="561" t="s">
        <v>1105</v>
      </c>
      <c r="B62" s="562"/>
      <c r="C62" s="563"/>
      <c r="D62" s="572"/>
      <c r="E62" s="564"/>
      <c r="F62" s="572">
        <f>C62</f>
        <v>0</v>
      </c>
      <c r="G62" s="565"/>
      <c r="H62" s="566"/>
      <c r="I62" s="572">
        <f>F62</f>
        <v>0</v>
      </c>
      <c r="J62" s="578"/>
      <c r="K62" s="567"/>
      <c r="L62" s="574"/>
      <c r="M62" s="572">
        <f t="shared" si="39"/>
        <v>0</v>
      </c>
      <c r="N62" s="579"/>
      <c r="O62" s="629"/>
      <c r="P62" s="630"/>
      <c r="Q62" s="630"/>
      <c r="R62" s="577">
        <f t="shared" si="31"/>
        <v>0</v>
      </c>
      <c r="S62" s="567"/>
      <c r="T62" s="567"/>
      <c r="U62" s="574"/>
      <c r="V62" s="572">
        <f t="shared" si="40"/>
        <v>0</v>
      </c>
      <c r="W62" s="579"/>
      <c r="X62" s="629"/>
      <c r="Y62" s="630"/>
      <c r="Z62" s="630"/>
      <c r="AA62" s="577">
        <f t="shared" si="32"/>
        <v>0</v>
      </c>
      <c r="AB62" s="567"/>
      <c r="AC62" s="567"/>
      <c r="AD62" s="574"/>
      <c r="AE62" s="572">
        <f t="shared" si="41"/>
        <v>0</v>
      </c>
      <c r="AF62" s="579"/>
      <c r="AG62" s="629"/>
      <c r="AH62" s="630"/>
      <c r="AI62" s="632"/>
      <c r="AJ62" s="577">
        <f t="shared" si="33"/>
        <v>0</v>
      </c>
      <c r="AK62" s="567"/>
      <c r="AL62" s="567"/>
      <c r="AM62" s="574"/>
      <c r="AN62" s="572">
        <f t="shared" si="42"/>
        <v>0</v>
      </c>
      <c r="AO62" s="579"/>
      <c r="AP62" s="629"/>
      <c r="AQ62" s="630"/>
      <c r="AR62" s="632"/>
      <c r="AS62" s="577">
        <f t="shared" si="34"/>
        <v>0</v>
      </c>
      <c r="AT62" s="567"/>
      <c r="AU62" s="567"/>
      <c r="AV62" s="574"/>
      <c r="AW62" s="572">
        <f t="shared" si="43"/>
        <v>0</v>
      </c>
      <c r="AX62" s="579"/>
      <c r="AY62" s="629"/>
      <c r="AZ62" s="630"/>
      <c r="BA62" s="632"/>
      <c r="BB62" s="577">
        <f t="shared" si="35"/>
        <v>0</v>
      </c>
      <c r="BC62" s="567"/>
      <c r="BD62" s="567"/>
      <c r="BE62" s="574"/>
      <c r="BF62" s="572">
        <f t="shared" si="44"/>
        <v>0</v>
      </c>
      <c r="BG62" s="579"/>
      <c r="BH62" s="629"/>
      <c r="BI62" s="630"/>
      <c r="BJ62" s="632"/>
      <c r="BK62" s="577">
        <f t="shared" si="45"/>
        <v>0</v>
      </c>
      <c r="BL62" s="567"/>
      <c r="BM62" s="567"/>
      <c r="BN62" s="574"/>
      <c r="BO62" s="572">
        <f t="shared" si="46"/>
        <v>0</v>
      </c>
      <c r="BP62" s="579"/>
      <c r="BQ62" s="629"/>
      <c r="BR62" s="630"/>
      <c r="BS62" s="632"/>
      <c r="BT62" s="577">
        <f t="shared" si="36"/>
        <v>0</v>
      </c>
      <c r="BU62" s="567"/>
      <c r="BV62" s="567"/>
      <c r="BW62" s="574"/>
      <c r="BX62" s="572">
        <f t="shared" si="47"/>
        <v>0</v>
      </c>
      <c r="BY62" s="579"/>
      <c r="BZ62" s="629"/>
      <c r="CA62" s="630"/>
      <c r="CB62" s="632"/>
      <c r="CC62" s="577">
        <f t="shared" si="48"/>
        <v>0</v>
      </c>
      <c r="CD62" s="567"/>
      <c r="CE62" s="567"/>
      <c r="CF62" s="574"/>
      <c r="CG62" s="572">
        <f t="shared" si="49"/>
        <v>0</v>
      </c>
      <c r="CH62" s="579"/>
      <c r="CI62" s="629"/>
      <c r="CJ62" s="630"/>
      <c r="CK62" s="632"/>
      <c r="CL62" s="577">
        <f t="shared" si="53"/>
        <v>0</v>
      </c>
      <c r="CM62" s="567"/>
      <c r="CN62" s="567"/>
      <c r="CO62" s="574"/>
      <c r="CP62" s="572">
        <f t="shared" si="50"/>
        <v>0</v>
      </c>
      <c r="CQ62" s="579"/>
      <c r="CR62" s="629"/>
      <c r="CS62" s="630"/>
      <c r="CT62" s="632"/>
      <c r="CU62" s="577">
        <f t="shared" si="37"/>
        <v>0</v>
      </c>
      <c r="CV62" s="567"/>
      <c r="CW62" s="567"/>
      <c r="CX62" s="574"/>
      <c r="CY62" s="572">
        <f t="shared" si="51"/>
        <v>0</v>
      </c>
      <c r="CZ62" s="579"/>
      <c r="DA62" s="629"/>
      <c r="DB62" s="630"/>
      <c r="DC62" s="632"/>
      <c r="DD62" s="577">
        <f t="shared" si="38"/>
        <v>0</v>
      </c>
      <c r="DE62" s="567"/>
      <c r="DF62" s="567"/>
      <c r="DG62" s="574"/>
      <c r="DH62" s="572">
        <f t="shared" si="52"/>
        <v>0</v>
      </c>
      <c r="DI62" s="579"/>
      <c r="DJ62" s="629"/>
      <c r="DK62" s="630"/>
      <c r="DL62" s="632"/>
      <c r="DM62" s="633"/>
      <c r="DN62" s="633"/>
      <c r="DO62" s="711"/>
      <c r="DP62" s="711"/>
      <c r="DQ62" s="711"/>
    </row>
    <row r="63" spans="1:121" s="560" customFormat="1">
      <c r="A63" s="569" t="s">
        <v>1113</v>
      </c>
      <c r="B63" s="613">
        <f>2*182.5*8</f>
        <v>2920</v>
      </c>
      <c r="C63" s="571">
        <v>0.35</v>
      </c>
      <c r="D63" s="564">
        <v>2</v>
      </c>
      <c r="E63" s="572">
        <f>D63*8</f>
        <v>16</v>
      </c>
      <c r="F63" s="572">
        <v>2480</v>
      </c>
      <c r="G63" s="570"/>
      <c r="H63" s="573">
        <v>3</v>
      </c>
      <c r="I63" s="572">
        <v>3414</v>
      </c>
      <c r="J63" s="574">
        <f>I63/168</f>
        <v>20.321428571428573</v>
      </c>
      <c r="K63" s="575">
        <v>40</v>
      </c>
      <c r="L63" s="574">
        <f>J63*C63</f>
        <v>7.1124999999999998</v>
      </c>
      <c r="M63" s="572">
        <f t="shared" si="39"/>
        <v>2</v>
      </c>
      <c r="N63" s="576">
        <f>M63*8*Q52</f>
        <v>496</v>
      </c>
      <c r="O63" s="629">
        <f>L63</f>
        <v>7.1124999999999998</v>
      </c>
      <c r="P63" s="630">
        <f>N63*O63</f>
        <v>3527.7999999999997</v>
      </c>
      <c r="Q63" s="630"/>
      <c r="R63" s="577">
        <f t="shared" si="31"/>
        <v>3414</v>
      </c>
      <c r="S63" s="575">
        <f>R63/168</f>
        <v>20.321428571428573</v>
      </c>
      <c r="T63" s="575">
        <v>40</v>
      </c>
      <c r="U63" s="574">
        <f>S63*C63</f>
        <v>7.1124999999999998</v>
      </c>
      <c r="V63" s="572">
        <f t="shared" si="40"/>
        <v>2</v>
      </c>
      <c r="W63" s="576">
        <f>V63*8*Z52</f>
        <v>448</v>
      </c>
      <c r="X63" s="629">
        <f>U63</f>
        <v>7.1124999999999998</v>
      </c>
      <c r="Y63" s="630">
        <f>W63*X63</f>
        <v>3186.4</v>
      </c>
      <c r="Z63" s="630"/>
      <c r="AA63" s="577">
        <f t="shared" si="32"/>
        <v>3414</v>
      </c>
      <c r="AB63" s="575">
        <f>AA63/159</f>
        <v>21.471698113207548</v>
      </c>
      <c r="AC63" s="575">
        <v>40</v>
      </c>
      <c r="AD63" s="574">
        <f>AB63*C63</f>
        <v>7.5150943396226415</v>
      </c>
      <c r="AE63" s="572">
        <f t="shared" si="41"/>
        <v>2</v>
      </c>
      <c r="AF63" s="576">
        <f>AE63*8*AI52</f>
        <v>496</v>
      </c>
      <c r="AG63" s="629">
        <f>AD63</f>
        <v>7.5150943396226415</v>
      </c>
      <c r="AH63" s="630">
        <f>AF63*AG63</f>
        <v>3727.4867924528303</v>
      </c>
      <c r="AI63" s="632"/>
      <c r="AJ63" s="577">
        <f t="shared" si="33"/>
        <v>3414</v>
      </c>
      <c r="AK63" s="575">
        <f>AJ63/167</f>
        <v>20.443113772455089</v>
      </c>
      <c r="AL63" s="575">
        <v>40</v>
      </c>
      <c r="AM63" s="574">
        <f>AK63*C63</f>
        <v>7.1550898203592803</v>
      </c>
      <c r="AN63" s="572">
        <f t="shared" si="42"/>
        <v>2</v>
      </c>
      <c r="AO63" s="576">
        <f>AN63*8*AR52</f>
        <v>480</v>
      </c>
      <c r="AP63" s="629">
        <f>AM63</f>
        <v>7.1550898203592803</v>
      </c>
      <c r="AQ63" s="630">
        <f>AO63*AP63</f>
        <v>3434.4431137724546</v>
      </c>
      <c r="AR63" s="632"/>
      <c r="AS63" s="577">
        <f t="shared" si="34"/>
        <v>3414</v>
      </c>
      <c r="AT63" s="575">
        <f>AS63/151</f>
        <v>22.609271523178808</v>
      </c>
      <c r="AU63" s="575">
        <v>40</v>
      </c>
      <c r="AV63" s="574">
        <f>AT63*C63</f>
        <v>7.9132450331125828</v>
      </c>
      <c r="AW63" s="572">
        <f t="shared" si="43"/>
        <v>2</v>
      </c>
      <c r="AX63" s="576">
        <f>AW63*8*BA50</f>
        <v>0</v>
      </c>
      <c r="AY63" s="629">
        <f>AV63</f>
        <v>7.9132450331125828</v>
      </c>
      <c r="AZ63" s="630">
        <f>AX63*AY63</f>
        <v>0</v>
      </c>
      <c r="BA63" s="632"/>
      <c r="BB63" s="577">
        <f t="shared" si="35"/>
        <v>3414</v>
      </c>
      <c r="BC63" s="575">
        <f>BB63/167</f>
        <v>20.443113772455089</v>
      </c>
      <c r="BD63" s="575">
        <v>40</v>
      </c>
      <c r="BE63" s="574">
        <f>BC63*C63</f>
        <v>7.1550898203592803</v>
      </c>
      <c r="BF63" s="572">
        <f t="shared" si="44"/>
        <v>2</v>
      </c>
      <c r="BG63" s="576">
        <f>BF63*8*BJ50</f>
        <v>0</v>
      </c>
      <c r="BH63" s="629">
        <f>BE63</f>
        <v>7.1550898203592803</v>
      </c>
      <c r="BI63" s="630">
        <f>BG63*BH63</f>
        <v>0</v>
      </c>
      <c r="BJ63" s="632"/>
      <c r="BK63" s="577">
        <f t="shared" si="45"/>
        <v>3414</v>
      </c>
      <c r="BL63" s="575">
        <f>BK63/184</f>
        <v>18.554347826086957</v>
      </c>
      <c r="BM63" s="575">
        <v>40</v>
      </c>
      <c r="BN63" s="574">
        <f>BL63*C63</f>
        <v>6.4940217391304342</v>
      </c>
      <c r="BO63" s="572">
        <f t="shared" si="46"/>
        <v>2</v>
      </c>
      <c r="BP63" s="576">
        <f>BO63*8*BS50</f>
        <v>0</v>
      </c>
      <c r="BQ63" s="629">
        <f>BN63</f>
        <v>6.4940217391304342</v>
      </c>
      <c r="BR63" s="630">
        <f>BP63*BQ63</f>
        <v>0</v>
      </c>
      <c r="BS63" s="632"/>
      <c r="BT63" s="577">
        <f t="shared" si="36"/>
        <v>3414</v>
      </c>
      <c r="BU63" s="575">
        <f>BT63/160</f>
        <v>21.337499999999999</v>
      </c>
      <c r="BV63" s="575">
        <v>40</v>
      </c>
      <c r="BW63" s="574">
        <f>BU63*C63</f>
        <v>7.4681249999999988</v>
      </c>
      <c r="BX63" s="572">
        <f t="shared" si="47"/>
        <v>2</v>
      </c>
      <c r="BY63" s="576">
        <f>BX63*8*CB50</f>
        <v>0</v>
      </c>
      <c r="BZ63" s="629">
        <f>BW63</f>
        <v>7.4681249999999988</v>
      </c>
      <c r="CA63" s="630">
        <f>BY63*BZ63</f>
        <v>0</v>
      </c>
      <c r="CB63" s="632"/>
      <c r="CC63" s="577">
        <f t="shared" si="48"/>
        <v>3414</v>
      </c>
      <c r="CD63" s="575">
        <f>CC63/176</f>
        <v>19.397727272727273</v>
      </c>
      <c r="CE63" s="575">
        <v>40</v>
      </c>
      <c r="CF63" s="574">
        <f>CD63*C63</f>
        <v>6.7892045454545453</v>
      </c>
      <c r="CG63" s="572">
        <f t="shared" si="49"/>
        <v>2</v>
      </c>
      <c r="CH63" s="576">
        <f>CG63*8*CK50</f>
        <v>0</v>
      </c>
      <c r="CI63" s="629">
        <f>CF63</f>
        <v>6.7892045454545453</v>
      </c>
      <c r="CJ63" s="630">
        <f>CH63*CI63</f>
        <v>0</v>
      </c>
      <c r="CK63" s="632"/>
      <c r="CL63" s="577">
        <v>3519</v>
      </c>
      <c r="CM63" s="575">
        <f>CL63/184</f>
        <v>19.125</v>
      </c>
      <c r="CN63" s="575">
        <v>40</v>
      </c>
      <c r="CO63" s="574">
        <f>CM63*C63</f>
        <v>6.6937499999999996</v>
      </c>
      <c r="CP63" s="572">
        <f t="shared" si="50"/>
        <v>2</v>
      </c>
      <c r="CQ63" s="576">
        <f>CP63*8*CT52</f>
        <v>496</v>
      </c>
      <c r="CR63" s="629">
        <f>CO63</f>
        <v>6.6937499999999996</v>
      </c>
      <c r="CS63" s="630">
        <f>CQ63*CR63</f>
        <v>3320.1</v>
      </c>
      <c r="CT63" s="632"/>
      <c r="CU63" s="577">
        <f t="shared" si="37"/>
        <v>3519</v>
      </c>
      <c r="CV63" s="575">
        <f>CU63/160</f>
        <v>21.993749999999999</v>
      </c>
      <c r="CW63" s="575">
        <v>40</v>
      </c>
      <c r="CX63" s="574">
        <f>CV63*C63</f>
        <v>7.6978124999999986</v>
      </c>
      <c r="CY63" s="572">
        <f t="shared" si="51"/>
        <v>2</v>
      </c>
      <c r="CZ63" s="576">
        <f>CY63*8*DC52</f>
        <v>480</v>
      </c>
      <c r="DA63" s="629">
        <f>CX63</f>
        <v>7.6978124999999986</v>
      </c>
      <c r="DB63" s="630">
        <f>CZ63*DA63</f>
        <v>3694.9499999999994</v>
      </c>
      <c r="DC63" s="632"/>
      <c r="DD63" s="577">
        <f t="shared" si="38"/>
        <v>3519</v>
      </c>
      <c r="DE63" s="575">
        <f>DD63/183</f>
        <v>19.229508196721312</v>
      </c>
      <c r="DF63" s="575">
        <v>40</v>
      </c>
      <c r="DG63" s="574">
        <f>DE63*C63</f>
        <v>6.7303278688524593</v>
      </c>
      <c r="DH63" s="572">
        <f t="shared" si="52"/>
        <v>2</v>
      </c>
      <c r="DI63" s="576">
        <f>DH63*8*DL52</f>
        <v>496</v>
      </c>
      <c r="DJ63" s="629">
        <f>DG63</f>
        <v>6.7303278688524593</v>
      </c>
      <c r="DK63" s="630">
        <f>DI63*DJ63</f>
        <v>3338.2426229508196</v>
      </c>
      <c r="DL63" s="632"/>
      <c r="DM63" s="633">
        <f>N63+W63+AF63+AO63+AX63+BG63+BP63+BY63+CH63+CQ63+CZ63+DI63</f>
        <v>3392</v>
      </c>
      <c r="DN63" s="633">
        <f>P63+Y63+AH63+AQ63+AZ63+BI63+BR63+CA63+CJ63+CS63+DB63+DK63</f>
        <v>24229.422529176107</v>
      </c>
      <c r="DO63" s="711"/>
      <c r="DP63" s="711"/>
      <c r="DQ63" s="711"/>
    </row>
    <row r="64" spans="1:121" s="560" customFormat="1">
      <c r="A64" s="561" t="s">
        <v>1114</v>
      </c>
      <c r="B64" s="562"/>
      <c r="C64" s="563"/>
      <c r="D64" s="572"/>
      <c r="E64" s="564"/>
      <c r="F64" s="572">
        <f>C64</f>
        <v>0</v>
      </c>
      <c r="G64" s="565"/>
      <c r="H64" s="566"/>
      <c r="I64" s="572">
        <f>F64</f>
        <v>0</v>
      </c>
      <c r="J64" s="578"/>
      <c r="K64" s="567"/>
      <c r="L64" s="574"/>
      <c r="M64" s="572">
        <f t="shared" si="39"/>
        <v>0</v>
      </c>
      <c r="N64" s="579"/>
      <c r="O64" s="629"/>
      <c r="P64" s="630"/>
      <c r="Q64" s="630"/>
      <c r="R64" s="577">
        <f t="shared" si="31"/>
        <v>0</v>
      </c>
      <c r="S64" s="567"/>
      <c r="T64" s="567"/>
      <c r="U64" s="574"/>
      <c r="V64" s="572">
        <f t="shared" si="40"/>
        <v>0</v>
      </c>
      <c r="W64" s="579"/>
      <c r="X64" s="629"/>
      <c r="Y64" s="630"/>
      <c r="Z64" s="630"/>
      <c r="AA64" s="577">
        <f t="shared" si="32"/>
        <v>0</v>
      </c>
      <c r="AB64" s="567"/>
      <c r="AC64" s="567"/>
      <c r="AD64" s="574"/>
      <c r="AE64" s="572">
        <f t="shared" si="41"/>
        <v>0</v>
      </c>
      <c r="AF64" s="579"/>
      <c r="AG64" s="629"/>
      <c r="AH64" s="630"/>
      <c r="AI64" s="632"/>
      <c r="AJ64" s="577">
        <f t="shared" si="33"/>
        <v>0</v>
      </c>
      <c r="AK64" s="567"/>
      <c r="AL64" s="567"/>
      <c r="AM64" s="574"/>
      <c r="AN64" s="572">
        <f t="shared" si="42"/>
        <v>0</v>
      </c>
      <c r="AO64" s="579"/>
      <c r="AP64" s="629"/>
      <c r="AQ64" s="630"/>
      <c r="AR64" s="632"/>
      <c r="AS64" s="577">
        <f t="shared" si="34"/>
        <v>0</v>
      </c>
      <c r="AT64" s="567"/>
      <c r="AU64" s="567"/>
      <c r="AV64" s="574"/>
      <c r="AW64" s="572">
        <f t="shared" si="43"/>
        <v>0</v>
      </c>
      <c r="AX64" s="579"/>
      <c r="AY64" s="629"/>
      <c r="AZ64" s="630"/>
      <c r="BA64" s="632"/>
      <c r="BB64" s="577">
        <f t="shared" si="35"/>
        <v>0</v>
      </c>
      <c r="BC64" s="567"/>
      <c r="BD64" s="567"/>
      <c r="BE64" s="574"/>
      <c r="BF64" s="572">
        <f t="shared" si="44"/>
        <v>0</v>
      </c>
      <c r="BG64" s="579"/>
      <c r="BH64" s="629"/>
      <c r="BI64" s="630"/>
      <c r="BJ64" s="632"/>
      <c r="BK64" s="577">
        <f t="shared" si="45"/>
        <v>0</v>
      </c>
      <c r="BL64" s="567"/>
      <c r="BM64" s="567"/>
      <c r="BN64" s="574"/>
      <c r="BO64" s="572">
        <f t="shared" si="46"/>
        <v>0</v>
      </c>
      <c r="BP64" s="579"/>
      <c r="BQ64" s="629"/>
      <c r="BR64" s="630"/>
      <c r="BS64" s="632"/>
      <c r="BT64" s="577">
        <f t="shared" si="36"/>
        <v>0</v>
      </c>
      <c r="BU64" s="567"/>
      <c r="BV64" s="567"/>
      <c r="BW64" s="574"/>
      <c r="BX64" s="572">
        <f t="shared" si="47"/>
        <v>0</v>
      </c>
      <c r="BY64" s="579"/>
      <c r="BZ64" s="629"/>
      <c r="CA64" s="630"/>
      <c r="CB64" s="632"/>
      <c r="CC64" s="577">
        <f t="shared" si="48"/>
        <v>0</v>
      </c>
      <c r="CD64" s="567"/>
      <c r="CE64" s="567"/>
      <c r="CF64" s="574"/>
      <c r="CG64" s="572">
        <f t="shared" si="49"/>
        <v>0</v>
      </c>
      <c r="CH64" s="579"/>
      <c r="CI64" s="629"/>
      <c r="CJ64" s="630"/>
      <c r="CK64" s="632"/>
      <c r="CL64" s="577">
        <f t="shared" si="53"/>
        <v>0</v>
      </c>
      <c r="CM64" s="567"/>
      <c r="CN64" s="567"/>
      <c r="CO64" s="574"/>
      <c r="CP64" s="572">
        <f t="shared" si="50"/>
        <v>0</v>
      </c>
      <c r="CQ64" s="579"/>
      <c r="CR64" s="629"/>
      <c r="CS64" s="630"/>
      <c r="CT64" s="632"/>
      <c r="CU64" s="577">
        <f t="shared" si="37"/>
        <v>0</v>
      </c>
      <c r="CV64" s="567"/>
      <c r="CW64" s="567"/>
      <c r="CX64" s="574"/>
      <c r="CY64" s="572">
        <f t="shared" si="51"/>
        <v>0</v>
      </c>
      <c r="CZ64" s="579"/>
      <c r="DA64" s="629"/>
      <c r="DB64" s="630"/>
      <c r="DC64" s="632"/>
      <c r="DD64" s="577">
        <f t="shared" si="38"/>
        <v>0</v>
      </c>
      <c r="DE64" s="567"/>
      <c r="DF64" s="567"/>
      <c r="DG64" s="574"/>
      <c r="DH64" s="572">
        <f t="shared" si="52"/>
        <v>0</v>
      </c>
      <c r="DI64" s="579"/>
      <c r="DJ64" s="629"/>
      <c r="DK64" s="630"/>
      <c r="DL64" s="632"/>
      <c r="DM64" s="633"/>
      <c r="DN64" s="633"/>
      <c r="DO64" s="711"/>
      <c r="DP64" s="711"/>
      <c r="DQ64" s="711"/>
    </row>
    <row r="65" spans="1:121" s="560" customFormat="1">
      <c r="A65" s="569" t="s">
        <v>1115</v>
      </c>
      <c r="B65" s="613">
        <f>1*365*8</f>
        <v>2920</v>
      </c>
      <c r="C65" s="571">
        <v>0.35</v>
      </c>
      <c r="D65" s="564">
        <v>1</v>
      </c>
      <c r="E65" s="572">
        <f>D65*8</f>
        <v>8</v>
      </c>
      <c r="F65" s="572">
        <v>2102</v>
      </c>
      <c r="G65" s="570"/>
      <c r="H65" s="573">
        <v>1</v>
      </c>
      <c r="I65" s="572">
        <v>2893</v>
      </c>
      <c r="J65" s="574">
        <f>I65/168</f>
        <v>17.220238095238095</v>
      </c>
      <c r="K65" s="575">
        <v>40</v>
      </c>
      <c r="L65" s="574">
        <f>J65*C65</f>
        <v>6.0270833333333327</v>
      </c>
      <c r="M65" s="572">
        <f t="shared" si="39"/>
        <v>1</v>
      </c>
      <c r="N65" s="576">
        <f>M65*8*Q52</f>
        <v>248</v>
      </c>
      <c r="O65" s="629">
        <f>L65</f>
        <v>6.0270833333333327</v>
      </c>
      <c r="P65" s="630">
        <f>N65*O65</f>
        <v>1494.7166666666665</v>
      </c>
      <c r="Q65" s="630"/>
      <c r="R65" s="577">
        <f t="shared" si="31"/>
        <v>2893</v>
      </c>
      <c r="S65" s="575">
        <f>R65/168</f>
        <v>17.220238095238095</v>
      </c>
      <c r="T65" s="575">
        <v>40</v>
      </c>
      <c r="U65" s="574">
        <f>S65*C65</f>
        <v>6.0270833333333327</v>
      </c>
      <c r="V65" s="572">
        <f t="shared" si="40"/>
        <v>1</v>
      </c>
      <c r="W65" s="576">
        <f>V65*8*Z52</f>
        <v>224</v>
      </c>
      <c r="X65" s="629">
        <f>U65</f>
        <v>6.0270833333333327</v>
      </c>
      <c r="Y65" s="630">
        <f>W65*X65</f>
        <v>1350.0666666666666</v>
      </c>
      <c r="Z65" s="630"/>
      <c r="AA65" s="577">
        <f t="shared" si="32"/>
        <v>2893</v>
      </c>
      <c r="AB65" s="575">
        <f>AA65/159</f>
        <v>18.19496855345912</v>
      </c>
      <c r="AC65" s="575">
        <v>40</v>
      </c>
      <c r="AD65" s="574">
        <f>AB65*C65</f>
        <v>6.3682389937106914</v>
      </c>
      <c r="AE65" s="572">
        <f t="shared" si="41"/>
        <v>1</v>
      </c>
      <c r="AF65" s="576">
        <f>AE65*8*AI52</f>
        <v>248</v>
      </c>
      <c r="AG65" s="629">
        <f>AD65</f>
        <v>6.3682389937106914</v>
      </c>
      <c r="AH65" s="630">
        <f>AF65*AG65</f>
        <v>1579.3232704402515</v>
      </c>
      <c r="AI65" s="632"/>
      <c r="AJ65" s="577">
        <f t="shared" si="33"/>
        <v>2893</v>
      </c>
      <c r="AK65" s="575">
        <f>AJ65/167</f>
        <v>17.323353293413174</v>
      </c>
      <c r="AL65" s="575">
        <v>40</v>
      </c>
      <c r="AM65" s="574">
        <f>AK65*C65</f>
        <v>6.0631736526946103</v>
      </c>
      <c r="AN65" s="572">
        <f t="shared" si="42"/>
        <v>1</v>
      </c>
      <c r="AO65" s="576">
        <f>AN65*8*AR52</f>
        <v>240</v>
      </c>
      <c r="AP65" s="629">
        <f>AM65</f>
        <v>6.0631736526946103</v>
      </c>
      <c r="AQ65" s="630">
        <f>AO65*AP65</f>
        <v>1455.1616766467064</v>
      </c>
      <c r="AR65" s="632"/>
      <c r="AS65" s="577">
        <f t="shared" si="34"/>
        <v>2893</v>
      </c>
      <c r="AT65" s="575">
        <f>AS65/151</f>
        <v>19.158940397350992</v>
      </c>
      <c r="AU65" s="575">
        <v>40</v>
      </c>
      <c r="AV65" s="574">
        <f>AT65*C65</f>
        <v>6.7056291390728466</v>
      </c>
      <c r="AW65" s="572">
        <f t="shared" si="43"/>
        <v>1</v>
      </c>
      <c r="AX65" s="576">
        <f>AW65*8*BA52</f>
        <v>248</v>
      </c>
      <c r="AY65" s="629">
        <f>AV65</f>
        <v>6.7056291390728466</v>
      </c>
      <c r="AZ65" s="630">
        <f>AX65*AY65</f>
        <v>1662.996026490066</v>
      </c>
      <c r="BA65" s="632"/>
      <c r="BB65" s="577">
        <f t="shared" si="35"/>
        <v>2893</v>
      </c>
      <c r="BC65" s="575">
        <f>BB65/167</f>
        <v>17.323353293413174</v>
      </c>
      <c r="BD65" s="575">
        <v>40</v>
      </c>
      <c r="BE65" s="574">
        <f>BC65*C65</f>
        <v>6.0631736526946103</v>
      </c>
      <c r="BF65" s="572">
        <f t="shared" si="44"/>
        <v>1</v>
      </c>
      <c r="BG65" s="576">
        <f>BF65*8*BJ52</f>
        <v>240</v>
      </c>
      <c r="BH65" s="629">
        <f>BE65</f>
        <v>6.0631736526946103</v>
      </c>
      <c r="BI65" s="630">
        <f>BG65*BH65</f>
        <v>1455.1616766467064</v>
      </c>
      <c r="BJ65" s="632"/>
      <c r="BK65" s="577">
        <f t="shared" si="45"/>
        <v>2893</v>
      </c>
      <c r="BL65" s="575">
        <f>BK65/184</f>
        <v>15.722826086956522</v>
      </c>
      <c r="BM65" s="575">
        <v>40</v>
      </c>
      <c r="BN65" s="574">
        <f>BL65*C65</f>
        <v>5.5029891304347824</v>
      </c>
      <c r="BO65" s="572">
        <f t="shared" si="46"/>
        <v>1</v>
      </c>
      <c r="BP65" s="576">
        <f>BO65*8*BS52</f>
        <v>248</v>
      </c>
      <c r="BQ65" s="629">
        <f>BN65</f>
        <v>5.5029891304347824</v>
      </c>
      <c r="BR65" s="630">
        <f>BP65*BQ65</f>
        <v>1364.7413043478261</v>
      </c>
      <c r="BS65" s="632"/>
      <c r="BT65" s="577">
        <f t="shared" si="36"/>
        <v>2893</v>
      </c>
      <c r="BU65" s="575">
        <f>BT65/160</f>
        <v>18.081250000000001</v>
      </c>
      <c r="BV65" s="575">
        <v>40</v>
      </c>
      <c r="BW65" s="574">
        <f>BU65*C65</f>
        <v>6.3284374999999997</v>
      </c>
      <c r="BX65" s="572">
        <f t="shared" si="47"/>
        <v>1</v>
      </c>
      <c r="BY65" s="576">
        <f>BX65*8*CB52</f>
        <v>248</v>
      </c>
      <c r="BZ65" s="629">
        <f>BW65</f>
        <v>6.3284374999999997</v>
      </c>
      <c r="CA65" s="630">
        <f>BY65*BZ65</f>
        <v>1569.4524999999999</v>
      </c>
      <c r="CB65" s="632"/>
      <c r="CC65" s="577">
        <f t="shared" si="48"/>
        <v>2893</v>
      </c>
      <c r="CD65" s="575">
        <f>CC65/176</f>
        <v>16.4375</v>
      </c>
      <c r="CE65" s="575">
        <v>40</v>
      </c>
      <c r="CF65" s="574">
        <f>CD65*C65</f>
        <v>5.7531249999999998</v>
      </c>
      <c r="CG65" s="572">
        <f t="shared" si="49"/>
        <v>1</v>
      </c>
      <c r="CH65" s="576">
        <f>CG65*8*CK52</f>
        <v>240</v>
      </c>
      <c r="CI65" s="629">
        <f>CF65</f>
        <v>5.7531249999999998</v>
      </c>
      <c r="CJ65" s="630">
        <f>CH65*CI65</f>
        <v>1380.75</v>
      </c>
      <c r="CK65" s="632"/>
      <c r="CL65" s="577">
        <v>2982</v>
      </c>
      <c r="CM65" s="575">
        <f>CL65/184</f>
        <v>16.206521739130434</v>
      </c>
      <c r="CN65" s="575">
        <v>40</v>
      </c>
      <c r="CO65" s="574">
        <f>CM65*C65</f>
        <v>5.6722826086956513</v>
      </c>
      <c r="CP65" s="572">
        <f t="shared" si="50"/>
        <v>1</v>
      </c>
      <c r="CQ65" s="576">
        <f>CP65*8*CT52</f>
        <v>248</v>
      </c>
      <c r="CR65" s="629">
        <f>CO65</f>
        <v>5.6722826086956513</v>
      </c>
      <c r="CS65" s="630">
        <f>CQ65*CR65</f>
        <v>1406.7260869565216</v>
      </c>
      <c r="CT65" s="632"/>
      <c r="CU65" s="577">
        <f t="shared" si="37"/>
        <v>2982</v>
      </c>
      <c r="CV65" s="575">
        <f>CU65/160</f>
        <v>18.637499999999999</v>
      </c>
      <c r="CW65" s="575">
        <v>40</v>
      </c>
      <c r="CX65" s="574">
        <f>CV65*C65</f>
        <v>6.5231249999999994</v>
      </c>
      <c r="CY65" s="572">
        <f t="shared" si="51"/>
        <v>1</v>
      </c>
      <c r="CZ65" s="576">
        <f>CY65*8*DC52</f>
        <v>240</v>
      </c>
      <c r="DA65" s="629">
        <f>CX65</f>
        <v>6.5231249999999994</v>
      </c>
      <c r="DB65" s="630">
        <f>CZ65*DA65</f>
        <v>1565.55</v>
      </c>
      <c r="DC65" s="632"/>
      <c r="DD65" s="577">
        <f t="shared" si="38"/>
        <v>2982</v>
      </c>
      <c r="DE65" s="575">
        <f>DD65/183</f>
        <v>16.295081967213115</v>
      </c>
      <c r="DF65" s="575">
        <v>40</v>
      </c>
      <c r="DG65" s="574">
        <f>DE65*C65</f>
        <v>5.7032786885245894</v>
      </c>
      <c r="DH65" s="572">
        <f t="shared" si="52"/>
        <v>1</v>
      </c>
      <c r="DI65" s="576">
        <f>DH65*8*DL52</f>
        <v>248</v>
      </c>
      <c r="DJ65" s="629">
        <f>DG65</f>
        <v>5.7032786885245894</v>
      </c>
      <c r="DK65" s="630">
        <f>DI65*DJ65</f>
        <v>1414.4131147540982</v>
      </c>
      <c r="DL65" s="632"/>
      <c r="DM65" s="633">
        <f>N65+W65+AF65+AO65+AX65+BG65+BP65+BY65+CH65+CQ65+CZ65+DI65</f>
        <v>2920</v>
      </c>
      <c r="DN65" s="633">
        <f>P65+Y65+AH65+AQ65+AZ65+BI65+BR65+CA65+CJ65+CS65+DB65+DK65</f>
        <v>17699.058989615507</v>
      </c>
      <c r="DO65" s="711"/>
      <c r="DP65" s="711"/>
      <c r="DQ65" s="711"/>
    </row>
    <row r="66" spans="1:121" s="560" customFormat="1" ht="19.5">
      <c r="A66" s="580" t="s">
        <v>1107</v>
      </c>
      <c r="B66" s="614"/>
      <c r="C66" s="581"/>
      <c r="D66" s="582">
        <f>SUM(D54:D65)</f>
        <v>28</v>
      </c>
      <c r="E66" s="582">
        <f>SUM(E54:E65)</f>
        <v>224</v>
      </c>
      <c r="F66" s="582"/>
      <c r="G66" s="634"/>
      <c r="H66" s="573"/>
      <c r="I66" s="577"/>
      <c r="J66" s="582"/>
      <c r="K66" s="582"/>
      <c r="L66" s="582"/>
      <c r="M66" s="572">
        <f t="shared" si="39"/>
        <v>28</v>
      </c>
      <c r="N66" s="630">
        <f>SUM(N54:N65)</f>
        <v>6944</v>
      </c>
      <c r="O66" s="630"/>
      <c r="P66" s="630">
        <f>SUM(P54:P65)</f>
        <v>79157.155772005775</v>
      </c>
      <c r="Q66" s="630"/>
      <c r="R66" s="630"/>
      <c r="S66" s="630"/>
      <c r="T66" s="630"/>
      <c r="U66" s="630"/>
      <c r="V66" s="572">
        <f t="shared" si="40"/>
        <v>28</v>
      </c>
      <c r="W66" s="630">
        <f>SUM(W54:W65)</f>
        <v>6272</v>
      </c>
      <c r="X66" s="630"/>
      <c r="Y66" s="630">
        <f>SUM(Y54:Y65)</f>
        <v>71496.785858585863</v>
      </c>
      <c r="Z66" s="630"/>
      <c r="AA66" s="630"/>
      <c r="AB66" s="630"/>
      <c r="AC66" s="630"/>
      <c r="AD66" s="630"/>
      <c r="AE66" s="572">
        <f t="shared" si="41"/>
        <v>28</v>
      </c>
      <c r="AF66" s="630">
        <f>SUM(AF54:AF65)</f>
        <v>6944</v>
      </c>
      <c r="AG66" s="630"/>
      <c r="AH66" s="630">
        <f>SUM(AH54:AH65)</f>
        <v>83263.00102915951</v>
      </c>
      <c r="AI66" s="630"/>
      <c r="AJ66" s="630"/>
      <c r="AK66" s="630"/>
      <c r="AL66" s="630"/>
      <c r="AM66" s="630"/>
      <c r="AN66" s="572">
        <f t="shared" si="42"/>
        <v>28</v>
      </c>
      <c r="AO66" s="630">
        <f>SUM(AO54:AO65)</f>
        <v>6720</v>
      </c>
      <c r="AP66" s="630"/>
      <c r="AQ66" s="630">
        <f>SUM(AQ54:AQ65)</f>
        <v>76733.559271068269</v>
      </c>
      <c r="AR66" s="630"/>
      <c r="AS66" s="630"/>
      <c r="AT66" s="630"/>
      <c r="AU66" s="630"/>
      <c r="AV66" s="630"/>
      <c r="AW66" s="572">
        <f t="shared" si="43"/>
        <v>28</v>
      </c>
      <c r="AX66" s="630">
        <f>SUM(AX54:AX65)</f>
        <v>6448</v>
      </c>
      <c r="AY66" s="630"/>
      <c r="AZ66" s="630">
        <f>SUM(AZ54:AZ65)</f>
        <v>83728.547752886123</v>
      </c>
      <c r="BA66" s="630"/>
      <c r="BB66" s="630"/>
      <c r="BC66" s="630"/>
      <c r="BD66" s="630"/>
      <c r="BE66" s="630"/>
      <c r="BF66" s="572">
        <f t="shared" si="44"/>
        <v>28</v>
      </c>
      <c r="BG66" s="630">
        <f>SUM(BG54:BG65)</f>
        <v>6240</v>
      </c>
      <c r="BH66" s="630"/>
      <c r="BI66" s="630">
        <f>SUM(BI54:BI65)</f>
        <v>80353.559680727267</v>
      </c>
      <c r="BJ66" s="630"/>
      <c r="BK66" s="630"/>
      <c r="BL66" s="630"/>
      <c r="BM66" s="630"/>
      <c r="BN66" s="630"/>
      <c r="BO66" s="572">
        <f t="shared" si="46"/>
        <v>28</v>
      </c>
      <c r="BP66" s="630">
        <f>SUM(BP54:BP65)</f>
        <v>6448</v>
      </c>
      <c r="BQ66" s="630"/>
      <c r="BR66" s="630">
        <f>SUM(BR54:BR65)</f>
        <v>69052.890052700925</v>
      </c>
      <c r="BS66" s="630"/>
      <c r="BT66" s="630"/>
      <c r="BU66" s="630"/>
      <c r="BV66" s="630"/>
      <c r="BW66" s="630"/>
      <c r="BX66" s="572">
        <f t="shared" si="47"/>
        <v>28</v>
      </c>
      <c r="BY66" s="630">
        <f>SUM(BY54:BY65)</f>
        <v>6448</v>
      </c>
      <c r="BZ66" s="630"/>
      <c r="CA66" s="630">
        <f>SUM(CA54:CA65)</f>
        <v>79410.823560606048</v>
      </c>
      <c r="CB66" s="630"/>
      <c r="CC66" s="630"/>
      <c r="CD66" s="630"/>
      <c r="CE66" s="630"/>
      <c r="CF66" s="630"/>
      <c r="CG66" s="572">
        <f t="shared" si="49"/>
        <v>28</v>
      </c>
      <c r="CH66" s="630">
        <f>SUM(CH54:CH65)</f>
        <v>6240</v>
      </c>
      <c r="CI66" s="630"/>
      <c r="CJ66" s="630">
        <f>SUM(CJ54:CJ65)</f>
        <v>69862.894628099166</v>
      </c>
      <c r="CK66" s="630"/>
      <c r="CL66" s="630"/>
      <c r="CM66" s="630"/>
      <c r="CN66" s="630"/>
      <c r="CO66" s="630"/>
      <c r="CP66" s="572">
        <f t="shared" si="50"/>
        <v>28</v>
      </c>
      <c r="CQ66" s="630">
        <f>SUM(CQ54:CQ65)</f>
        <v>6944</v>
      </c>
      <c r="CR66" s="630"/>
      <c r="CS66" s="630">
        <f>SUM(CS54:CS65)</f>
        <v>74497.720600414075</v>
      </c>
      <c r="CT66" s="630"/>
      <c r="CU66" s="630"/>
      <c r="CV66" s="630"/>
      <c r="CW66" s="630"/>
      <c r="CX66" s="630"/>
      <c r="CY66" s="572">
        <f t="shared" si="51"/>
        <v>28</v>
      </c>
      <c r="CZ66" s="630">
        <f>SUM(CZ54:CZ65)</f>
        <v>6720</v>
      </c>
      <c r="DA66" s="630"/>
      <c r="DB66" s="630">
        <f>SUM(DB54:DB65)</f>
        <v>82908.753571428562</v>
      </c>
      <c r="DC66" s="630"/>
      <c r="DD66" s="630"/>
      <c r="DE66" s="630"/>
      <c r="DF66" s="630"/>
      <c r="DG66" s="630"/>
      <c r="DH66" s="572">
        <f t="shared" si="52"/>
        <v>28</v>
      </c>
      <c r="DI66" s="630">
        <f>SUM(DI54:DI65)</f>
        <v>6944</v>
      </c>
      <c r="DJ66" s="630"/>
      <c r="DK66" s="630">
        <f>SUM(DK54:DK65)</f>
        <v>74612.96746427723</v>
      </c>
      <c r="DL66" s="630"/>
      <c r="DM66" s="633">
        <f>SUM(DM54:DM65)</f>
        <v>79312</v>
      </c>
      <c r="DN66" s="664">
        <f>SUM(DN54:DN65)</f>
        <v>925078.65924195899</v>
      </c>
      <c r="DO66" s="715">
        <f>[38]ФОП!$N$8/10*12</f>
        <v>901461</v>
      </c>
      <c r="DP66" s="713">
        <f>DN66-DO66</f>
        <v>23617.659241958987</v>
      </c>
      <c r="DQ66" s="710" t="s">
        <v>1146</v>
      </c>
    </row>
    <row r="67" spans="1:121" s="583" customFormat="1">
      <c r="A67" s="665"/>
      <c r="B67" s="666"/>
      <c r="C67" s="667"/>
      <c r="D67" s="668"/>
      <c r="E67" s="668"/>
      <c r="F67" s="668"/>
      <c r="G67" s="669"/>
      <c r="H67" s="670"/>
      <c r="I67" s="671"/>
      <c r="J67" s="600"/>
      <c r="K67" s="600"/>
      <c r="L67" s="600"/>
      <c r="M67" s="598"/>
      <c r="N67" s="672"/>
      <c r="O67" s="672"/>
      <c r="P67" s="672"/>
      <c r="Q67" s="672"/>
      <c r="R67" s="672"/>
      <c r="S67" s="672"/>
      <c r="T67" s="672"/>
      <c r="U67" s="672"/>
      <c r="V67" s="672"/>
      <c r="W67" s="672"/>
      <c r="X67" s="672"/>
      <c r="Y67" s="672"/>
      <c r="Z67" s="673"/>
      <c r="AA67" s="673"/>
      <c r="AB67" s="673"/>
      <c r="AC67" s="673"/>
      <c r="AD67" s="673"/>
      <c r="AE67" s="673"/>
      <c r="AF67" s="672"/>
      <c r="AG67" s="672"/>
      <c r="AH67" s="672"/>
      <c r="AI67" s="673"/>
      <c r="AJ67" s="672"/>
      <c r="AK67" s="672"/>
      <c r="AL67" s="672"/>
      <c r="AM67" s="672"/>
      <c r="AN67" s="672"/>
      <c r="AO67" s="672"/>
      <c r="AP67" s="672"/>
      <c r="AQ67" s="672"/>
      <c r="AR67" s="673"/>
      <c r="AS67" s="673"/>
      <c r="AT67" s="673"/>
      <c r="AU67" s="673"/>
      <c r="AV67" s="673"/>
      <c r="AW67" s="673"/>
      <c r="AX67" s="672"/>
      <c r="AY67" s="672"/>
      <c r="AZ67" s="672"/>
      <c r="BA67" s="673"/>
      <c r="BB67" s="673"/>
      <c r="BC67" s="673"/>
      <c r="BD67" s="673"/>
      <c r="BE67" s="673"/>
      <c r="BF67" s="673"/>
      <c r="BG67" s="672"/>
      <c r="BH67" s="672"/>
      <c r="BI67" s="672"/>
      <c r="BJ67" s="673"/>
      <c r="BK67" s="673"/>
      <c r="BL67" s="673"/>
      <c r="BM67" s="673"/>
      <c r="BN67" s="673"/>
      <c r="BO67" s="673"/>
      <c r="BP67" s="673"/>
      <c r="BQ67" s="673"/>
      <c r="BR67" s="673"/>
      <c r="BS67" s="673"/>
      <c r="BT67" s="673"/>
      <c r="BU67" s="673"/>
      <c r="BV67" s="673"/>
      <c r="BW67" s="673"/>
      <c r="BX67" s="673"/>
      <c r="BY67" s="673"/>
      <c r="BZ67" s="673"/>
      <c r="CA67" s="673"/>
      <c r="CB67" s="673"/>
      <c r="CC67" s="673"/>
      <c r="CD67" s="673"/>
      <c r="CE67" s="673"/>
      <c r="CF67" s="673"/>
      <c r="CG67" s="673"/>
      <c r="CH67" s="673"/>
      <c r="CI67" s="673"/>
      <c r="CJ67" s="673"/>
      <c r="CK67" s="673"/>
      <c r="CL67" s="673"/>
      <c r="CM67" s="673"/>
      <c r="CN67" s="673"/>
      <c r="CO67" s="673"/>
      <c r="CP67" s="673"/>
      <c r="CQ67" s="673"/>
      <c r="CR67" s="673"/>
      <c r="CS67" s="673"/>
      <c r="CT67" s="673"/>
      <c r="CU67" s="673"/>
      <c r="CV67" s="673"/>
      <c r="CW67" s="673"/>
      <c r="CX67" s="673"/>
      <c r="CY67" s="673"/>
      <c r="CZ67" s="673"/>
      <c r="DA67" s="673"/>
      <c r="DB67" s="673"/>
      <c r="DC67" s="673"/>
      <c r="DD67" s="673"/>
      <c r="DE67" s="673"/>
      <c r="DF67" s="673"/>
      <c r="DG67" s="673"/>
      <c r="DH67" s="673"/>
      <c r="DI67" s="673"/>
      <c r="DJ67" s="673"/>
      <c r="DK67" s="673"/>
      <c r="DL67" s="673"/>
      <c r="DM67" s="601"/>
      <c r="DO67" s="710"/>
      <c r="DP67" s="710"/>
      <c r="DQ67" s="710"/>
    </row>
    <row r="68" spans="1:121" s="666" customFormat="1">
      <c r="A68" s="675"/>
      <c r="B68" s="676"/>
      <c r="C68" s="1179" t="s">
        <v>1090</v>
      </c>
      <c r="D68" s="1180"/>
      <c r="E68" s="1180"/>
      <c r="F68" s="1180"/>
      <c r="G68" s="1181"/>
      <c r="H68" s="670"/>
      <c r="I68" s="677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78"/>
      <c r="AH68" s="601"/>
      <c r="DM68" s="601"/>
      <c r="DN68" s="674"/>
      <c r="DO68" s="669"/>
      <c r="DP68" s="669"/>
      <c r="DQ68" s="669"/>
    </row>
    <row r="69" spans="1:121" s="688" customFormat="1" ht="39">
      <c r="A69" s="679" t="s">
        <v>1134</v>
      </c>
      <c r="B69" s="680" t="s">
        <v>1116</v>
      </c>
      <c r="C69" s="681" t="s">
        <v>1117</v>
      </c>
      <c r="D69" s="681" t="s">
        <v>101</v>
      </c>
      <c r="E69" s="681" t="s">
        <v>102</v>
      </c>
      <c r="F69" s="681" t="s">
        <v>1118</v>
      </c>
      <c r="G69" s="682" t="s">
        <v>871</v>
      </c>
      <c r="H69" s="683"/>
      <c r="I69" s="684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85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86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66"/>
      <c r="DN69" s="687"/>
      <c r="DO69" s="710"/>
      <c r="DP69" s="710"/>
      <c r="DQ69" s="710"/>
    </row>
    <row r="70" spans="1:121" s="694" customFormat="1">
      <c r="A70" s="689" t="s">
        <v>1119</v>
      </c>
      <c r="B70" s="690">
        <v>15</v>
      </c>
      <c r="C70" s="691">
        <v>1</v>
      </c>
      <c r="D70" s="691">
        <v>2</v>
      </c>
      <c r="E70" s="691">
        <v>1</v>
      </c>
      <c r="F70" s="691"/>
      <c r="G70" s="682">
        <f t="shared" ref="G70:G80" si="54">C70+D70+E70+F70</f>
        <v>4</v>
      </c>
      <c r="H70" s="692"/>
      <c r="I70" s="693"/>
      <c r="J70" s="685"/>
      <c r="K70" s="685"/>
      <c r="L70" s="685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685"/>
      <c r="AJ70" s="685"/>
      <c r="AK70" s="685"/>
      <c r="AL70" s="685"/>
      <c r="AM70" s="685"/>
      <c r="AN70" s="685"/>
      <c r="AO70" s="685"/>
      <c r="AP70" s="685"/>
      <c r="AQ70" s="685"/>
      <c r="AR70" s="685"/>
      <c r="AS70" s="685"/>
      <c r="AT70" s="685"/>
      <c r="AU70" s="685"/>
      <c r="AV70" s="685"/>
      <c r="AW70" s="685"/>
      <c r="AX70" s="685"/>
      <c r="AY70" s="685"/>
      <c r="AZ70" s="685"/>
      <c r="BA70" s="685"/>
      <c r="BB70" s="685"/>
      <c r="BC70" s="685"/>
      <c r="BD70" s="685"/>
      <c r="BE70" s="685"/>
      <c r="BF70" s="685"/>
      <c r="BG70" s="685"/>
      <c r="BH70" s="685"/>
      <c r="BI70" s="685"/>
      <c r="BJ70" s="685"/>
      <c r="BK70" s="685"/>
      <c r="BL70" s="685"/>
      <c r="BM70" s="685"/>
      <c r="BN70" s="685"/>
      <c r="BO70" s="685"/>
      <c r="BP70" s="685"/>
      <c r="BQ70" s="685"/>
      <c r="BR70" s="685"/>
      <c r="BS70" s="685"/>
      <c r="BT70" s="685"/>
      <c r="BU70" s="685"/>
      <c r="BV70" s="685"/>
      <c r="BW70" s="685"/>
      <c r="BX70" s="685"/>
      <c r="BY70" s="685"/>
      <c r="BZ70" s="685"/>
      <c r="CA70" s="685"/>
      <c r="CB70" s="685"/>
      <c r="CC70" s="685"/>
      <c r="CD70" s="685"/>
      <c r="CE70" s="685"/>
      <c r="CF70" s="685"/>
      <c r="CG70" s="685"/>
      <c r="CH70" s="685"/>
      <c r="CI70" s="685"/>
      <c r="CJ70" s="685"/>
      <c r="CK70" s="685"/>
      <c r="CL70" s="685"/>
      <c r="CM70" s="685"/>
      <c r="CN70" s="685"/>
      <c r="CO70" s="685"/>
      <c r="CP70" s="685"/>
      <c r="CQ70" s="685"/>
      <c r="CR70" s="685"/>
      <c r="CS70" s="685"/>
      <c r="CT70" s="685"/>
      <c r="CU70" s="685"/>
      <c r="CV70" s="685"/>
      <c r="CW70" s="685"/>
      <c r="CX70" s="685"/>
      <c r="CY70" s="685"/>
      <c r="CZ70" s="685"/>
      <c r="DA70" s="685"/>
      <c r="DB70" s="685"/>
      <c r="DC70" s="685"/>
      <c r="DD70" s="685"/>
      <c r="DE70" s="685"/>
      <c r="DF70" s="685"/>
      <c r="DG70" s="685"/>
      <c r="DH70" s="685"/>
      <c r="DI70" s="685"/>
      <c r="DJ70" s="685"/>
      <c r="DK70" s="685"/>
      <c r="DL70" s="685"/>
      <c r="DM70" s="678"/>
      <c r="DN70" s="678"/>
      <c r="DO70" s="710"/>
      <c r="DP70" s="710"/>
      <c r="DQ70" s="710"/>
    </row>
    <row r="71" spans="1:121" s="694" customFormat="1">
      <c r="A71" s="689" t="s">
        <v>1120</v>
      </c>
      <c r="B71" s="690">
        <v>40</v>
      </c>
      <c r="C71" s="691"/>
      <c r="D71" s="691">
        <v>1</v>
      </c>
      <c r="E71" s="691">
        <v>1</v>
      </c>
      <c r="F71" s="691"/>
      <c r="G71" s="682">
        <f t="shared" si="54"/>
        <v>2</v>
      </c>
      <c r="H71" s="692"/>
      <c r="I71" s="693"/>
      <c r="J71" s="685"/>
      <c r="K71" s="685"/>
      <c r="L71" s="685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685"/>
      <c r="AJ71" s="685"/>
      <c r="AK71" s="685"/>
      <c r="AL71" s="685"/>
      <c r="AM71" s="685"/>
      <c r="AN71" s="685"/>
      <c r="AO71" s="685"/>
      <c r="AP71" s="685"/>
      <c r="AQ71" s="685"/>
      <c r="AR71" s="685"/>
      <c r="AS71" s="685"/>
      <c r="AT71" s="685"/>
      <c r="AU71" s="685"/>
      <c r="AV71" s="685"/>
      <c r="AW71" s="685"/>
      <c r="AX71" s="685"/>
      <c r="AY71" s="685"/>
      <c r="AZ71" s="685"/>
      <c r="BA71" s="685"/>
      <c r="BB71" s="685"/>
      <c r="BC71" s="685"/>
      <c r="BD71" s="685"/>
      <c r="BE71" s="685"/>
      <c r="BF71" s="685"/>
      <c r="BG71" s="685"/>
      <c r="BH71" s="685"/>
      <c r="BI71" s="685"/>
      <c r="BJ71" s="685"/>
      <c r="BK71" s="685"/>
      <c r="BL71" s="685"/>
      <c r="BM71" s="685"/>
      <c r="BN71" s="685"/>
      <c r="BO71" s="685"/>
      <c r="BP71" s="685"/>
      <c r="BQ71" s="685"/>
      <c r="BR71" s="685"/>
      <c r="BS71" s="685"/>
      <c r="BT71" s="685"/>
      <c r="BU71" s="685"/>
      <c r="BV71" s="685"/>
      <c r="BW71" s="685"/>
      <c r="BX71" s="685"/>
      <c r="BY71" s="685"/>
      <c r="BZ71" s="685"/>
      <c r="CA71" s="685"/>
      <c r="CB71" s="685"/>
      <c r="CC71" s="685"/>
      <c r="CD71" s="685"/>
      <c r="CE71" s="685"/>
      <c r="CF71" s="685"/>
      <c r="CG71" s="685"/>
      <c r="CH71" s="685"/>
      <c r="CI71" s="685"/>
      <c r="CJ71" s="685"/>
      <c r="CK71" s="685"/>
      <c r="CL71" s="685"/>
      <c r="CM71" s="685"/>
      <c r="CN71" s="685"/>
      <c r="CO71" s="685"/>
      <c r="CP71" s="685"/>
      <c r="CQ71" s="685"/>
      <c r="CR71" s="685"/>
      <c r="CS71" s="685"/>
      <c r="CT71" s="685"/>
      <c r="CU71" s="685"/>
      <c r="CV71" s="685"/>
      <c r="CW71" s="685"/>
      <c r="CX71" s="685"/>
      <c r="CY71" s="685"/>
      <c r="CZ71" s="685"/>
      <c r="DA71" s="685"/>
      <c r="DB71" s="685"/>
      <c r="DC71" s="685"/>
      <c r="DD71" s="685"/>
      <c r="DE71" s="685"/>
      <c r="DF71" s="685"/>
      <c r="DG71" s="685"/>
      <c r="DH71" s="685"/>
      <c r="DI71" s="685"/>
      <c r="DJ71" s="685"/>
      <c r="DK71" s="685"/>
      <c r="DL71" s="685"/>
      <c r="DM71" s="678"/>
      <c r="DN71" s="678"/>
      <c r="DO71" s="710"/>
      <c r="DP71" s="710"/>
      <c r="DQ71" s="710"/>
    </row>
    <row r="72" spans="1:121" s="694" customFormat="1">
      <c r="A72" s="689" t="s">
        <v>1121</v>
      </c>
      <c r="B72" s="690">
        <v>25</v>
      </c>
      <c r="C72" s="691"/>
      <c r="D72" s="691">
        <v>1</v>
      </c>
      <c r="E72" s="691">
        <v>1</v>
      </c>
      <c r="F72" s="691"/>
      <c r="G72" s="682">
        <f t="shared" si="54"/>
        <v>2</v>
      </c>
      <c r="H72" s="692"/>
      <c r="I72" s="693"/>
      <c r="J72" s="685"/>
      <c r="K72" s="685"/>
      <c r="L72" s="685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685"/>
      <c r="AJ72" s="685"/>
      <c r="AK72" s="685"/>
      <c r="AL72" s="685"/>
      <c r="AM72" s="685"/>
      <c r="AN72" s="685"/>
      <c r="AO72" s="685"/>
      <c r="AP72" s="685"/>
      <c r="AQ72" s="685"/>
      <c r="AR72" s="685"/>
      <c r="AS72" s="685"/>
      <c r="AT72" s="685"/>
      <c r="AU72" s="685"/>
      <c r="AV72" s="685"/>
      <c r="AW72" s="685"/>
      <c r="AX72" s="685"/>
      <c r="AY72" s="685"/>
      <c r="AZ72" s="685"/>
      <c r="BA72" s="685"/>
      <c r="BB72" s="685"/>
      <c r="BC72" s="685"/>
      <c r="BD72" s="685"/>
      <c r="BE72" s="685"/>
      <c r="BF72" s="685"/>
      <c r="BG72" s="685"/>
      <c r="BH72" s="685"/>
      <c r="BI72" s="685"/>
      <c r="BJ72" s="685"/>
      <c r="BK72" s="685"/>
      <c r="BL72" s="685"/>
      <c r="BM72" s="685"/>
      <c r="BN72" s="685"/>
      <c r="BO72" s="685"/>
      <c r="BP72" s="685"/>
      <c r="BQ72" s="685"/>
      <c r="BR72" s="685"/>
      <c r="BS72" s="685"/>
      <c r="BT72" s="685"/>
      <c r="BU72" s="685"/>
      <c r="BV72" s="685"/>
      <c r="BW72" s="685"/>
      <c r="BX72" s="685"/>
      <c r="BY72" s="685"/>
      <c r="BZ72" s="685"/>
      <c r="CA72" s="685"/>
      <c r="CB72" s="685"/>
      <c r="CC72" s="685"/>
      <c r="CD72" s="685"/>
      <c r="CE72" s="685"/>
      <c r="CF72" s="685"/>
      <c r="CG72" s="685"/>
      <c r="CH72" s="685"/>
      <c r="CI72" s="685"/>
      <c r="CJ72" s="685"/>
      <c r="CK72" s="685"/>
      <c r="CL72" s="685"/>
      <c r="CM72" s="685"/>
      <c r="CN72" s="685"/>
      <c r="CO72" s="685"/>
      <c r="CP72" s="685"/>
      <c r="CQ72" s="685"/>
      <c r="CR72" s="685"/>
      <c r="CS72" s="685"/>
      <c r="CT72" s="685"/>
      <c r="CU72" s="685"/>
      <c r="CV72" s="685"/>
      <c r="CW72" s="685"/>
      <c r="CX72" s="685"/>
      <c r="CY72" s="685"/>
      <c r="CZ72" s="685"/>
      <c r="DA72" s="685"/>
      <c r="DB72" s="685"/>
      <c r="DC72" s="685"/>
      <c r="DD72" s="685"/>
      <c r="DE72" s="685"/>
      <c r="DF72" s="685"/>
      <c r="DG72" s="685"/>
      <c r="DH72" s="685"/>
      <c r="DI72" s="685"/>
      <c r="DJ72" s="685"/>
      <c r="DK72" s="685"/>
      <c r="DL72" s="685"/>
      <c r="DM72" s="678"/>
      <c r="DN72" s="678"/>
      <c r="DO72" s="710"/>
      <c r="DP72" s="710"/>
      <c r="DQ72" s="710"/>
    </row>
    <row r="73" spans="1:121" s="694" customFormat="1">
      <c r="A73" s="689" t="s">
        <v>1122</v>
      </c>
      <c r="B73" s="690">
        <v>25</v>
      </c>
      <c r="C73" s="691"/>
      <c r="D73" s="691">
        <v>1</v>
      </c>
      <c r="E73" s="691">
        <v>1</v>
      </c>
      <c r="F73" s="691"/>
      <c r="G73" s="682">
        <f t="shared" si="54"/>
        <v>2</v>
      </c>
      <c r="H73" s="692"/>
      <c r="I73" s="693"/>
      <c r="J73" s="685"/>
      <c r="K73" s="685"/>
      <c r="L73" s="685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685"/>
      <c r="AJ73" s="685"/>
      <c r="AK73" s="685"/>
      <c r="AL73" s="685"/>
      <c r="AM73" s="685"/>
      <c r="AN73" s="685"/>
      <c r="AO73" s="685"/>
      <c r="AP73" s="685"/>
      <c r="AQ73" s="685"/>
      <c r="AR73" s="685"/>
      <c r="AS73" s="685"/>
      <c r="AT73" s="685"/>
      <c r="AU73" s="685"/>
      <c r="AV73" s="685"/>
      <c r="AW73" s="685"/>
      <c r="AX73" s="685"/>
      <c r="AY73" s="685"/>
      <c r="AZ73" s="685"/>
      <c r="BA73" s="685"/>
      <c r="BB73" s="685"/>
      <c r="BC73" s="685"/>
      <c r="BD73" s="685"/>
      <c r="BE73" s="685"/>
      <c r="BF73" s="685"/>
      <c r="BG73" s="685"/>
      <c r="BH73" s="685"/>
      <c r="BI73" s="685"/>
      <c r="BJ73" s="685"/>
      <c r="BK73" s="685"/>
      <c r="BL73" s="685"/>
      <c r="BM73" s="685"/>
      <c r="BN73" s="685"/>
      <c r="BO73" s="685"/>
      <c r="BP73" s="685"/>
      <c r="BQ73" s="685"/>
      <c r="BR73" s="685"/>
      <c r="BS73" s="685"/>
      <c r="BT73" s="685"/>
      <c r="BU73" s="685"/>
      <c r="BV73" s="685"/>
      <c r="BW73" s="685"/>
      <c r="BX73" s="685"/>
      <c r="BY73" s="685"/>
      <c r="BZ73" s="685"/>
      <c r="CA73" s="685"/>
      <c r="CB73" s="685"/>
      <c r="CC73" s="685"/>
      <c r="CD73" s="685"/>
      <c r="CE73" s="685"/>
      <c r="CF73" s="685"/>
      <c r="CG73" s="685"/>
      <c r="CH73" s="685"/>
      <c r="CI73" s="685"/>
      <c r="CJ73" s="685"/>
      <c r="CK73" s="685"/>
      <c r="CL73" s="685"/>
      <c r="CM73" s="685"/>
      <c r="CN73" s="685"/>
      <c r="CO73" s="685"/>
      <c r="CP73" s="685"/>
      <c r="CQ73" s="685"/>
      <c r="CR73" s="685"/>
      <c r="CS73" s="685"/>
      <c r="CT73" s="685"/>
      <c r="CU73" s="685"/>
      <c r="CV73" s="685"/>
      <c r="CW73" s="685"/>
      <c r="CX73" s="685"/>
      <c r="CY73" s="685"/>
      <c r="CZ73" s="685"/>
      <c r="DA73" s="685"/>
      <c r="DB73" s="685"/>
      <c r="DC73" s="685"/>
      <c r="DD73" s="685"/>
      <c r="DE73" s="685"/>
      <c r="DF73" s="685"/>
      <c r="DG73" s="685"/>
      <c r="DH73" s="685"/>
      <c r="DI73" s="685"/>
      <c r="DJ73" s="685"/>
      <c r="DK73" s="685"/>
      <c r="DL73" s="685"/>
      <c r="DM73" s="678"/>
      <c r="DN73" s="678"/>
      <c r="DO73" s="710"/>
      <c r="DP73" s="710"/>
      <c r="DQ73" s="710"/>
    </row>
    <row r="74" spans="1:121" s="694" customFormat="1">
      <c r="A74" s="689" t="s">
        <v>1123</v>
      </c>
      <c r="B74" s="690">
        <v>0</v>
      </c>
      <c r="C74" s="691"/>
      <c r="D74" s="691">
        <v>1</v>
      </c>
      <c r="E74" s="691">
        <v>1</v>
      </c>
      <c r="F74" s="691"/>
      <c r="G74" s="682">
        <f t="shared" si="54"/>
        <v>2</v>
      </c>
      <c r="H74" s="692"/>
      <c r="I74" s="693"/>
      <c r="J74" s="685"/>
      <c r="K74" s="685"/>
      <c r="L74" s="685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685"/>
      <c r="AJ74" s="685"/>
      <c r="AK74" s="685"/>
      <c r="AL74" s="685"/>
      <c r="AM74" s="685"/>
      <c r="AN74" s="685"/>
      <c r="AO74" s="685"/>
      <c r="AP74" s="685"/>
      <c r="AQ74" s="685"/>
      <c r="AR74" s="685"/>
      <c r="AS74" s="685"/>
      <c r="AT74" s="685"/>
      <c r="AU74" s="685"/>
      <c r="AV74" s="685"/>
      <c r="AW74" s="685"/>
      <c r="AX74" s="685"/>
      <c r="AY74" s="685"/>
      <c r="AZ74" s="685"/>
      <c r="BA74" s="685"/>
      <c r="BB74" s="685"/>
      <c r="BC74" s="685"/>
      <c r="BD74" s="685"/>
      <c r="BE74" s="685"/>
      <c r="BF74" s="685"/>
      <c r="BG74" s="685"/>
      <c r="BH74" s="685"/>
      <c r="BI74" s="685"/>
      <c r="BJ74" s="685"/>
      <c r="BK74" s="685"/>
      <c r="BL74" s="685"/>
      <c r="BM74" s="685"/>
      <c r="BN74" s="685"/>
      <c r="BO74" s="685"/>
      <c r="BP74" s="685"/>
      <c r="BQ74" s="685"/>
      <c r="BR74" s="685"/>
      <c r="BS74" s="685"/>
      <c r="BT74" s="685"/>
      <c r="BU74" s="685"/>
      <c r="BV74" s="685"/>
      <c r="BW74" s="685"/>
      <c r="BX74" s="685"/>
      <c r="BY74" s="685"/>
      <c r="BZ74" s="685"/>
      <c r="CA74" s="685"/>
      <c r="CB74" s="685"/>
      <c r="CC74" s="685"/>
      <c r="CD74" s="685"/>
      <c r="CE74" s="685"/>
      <c r="CF74" s="685"/>
      <c r="CG74" s="685"/>
      <c r="CH74" s="685"/>
      <c r="CI74" s="685"/>
      <c r="CJ74" s="685"/>
      <c r="CK74" s="685"/>
      <c r="CL74" s="685"/>
      <c r="CM74" s="685"/>
      <c r="CN74" s="685"/>
      <c r="CO74" s="685"/>
      <c r="CP74" s="685"/>
      <c r="CQ74" s="685"/>
      <c r="CR74" s="685"/>
      <c r="CS74" s="685"/>
      <c r="CT74" s="685"/>
      <c r="CU74" s="685"/>
      <c r="CV74" s="685"/>
      <c r="CW74" s="685"/>
      <c r="CX74" s="685"/>
      <c r="CY74" s="685"/>
      <c r="CZ74" s="685"/>
      <c r="DA74" s="685"/>
      <c r="DB74" s="685"/>
      <c r="DC74" s="685"/>
      <c r="DD74" s="685"/>
      <c r="DE74" s="685"/>
      <c r="DF74" s="685"/>
      <c r="DG74" s="685"/>
      <c r="DH74" s="685"/>
      <c r="DI74" s="685"/>
      <c r="DJ74" s="685"/>
      <c r="DK74" s="685"/>
      <c r="DL74" s="685"/>
      <c r="DM74" s="678"/>
      <c r="DN74" s="678"/>
      <c r="DO74" s="710"/>
      <c r="DP74" s="710"/>
      <c r="DQ74" s="710"/>
    </row>
    <row r="75" spans="1:121" s="694" customFormat="1">
      <c r="A75" s="689" t="s">
        <v>1124</v>
      </c>
      <c r="B75" s="690">
        <v>25</v>
      </c>
      <c r="C75" s="691">
        <v>1</v>
      </c>
      <c r="D75" s="691">
        <v>1</v>
      </c>
      <c r="E75" s="691">
        <v>1</v>
      </c>
      <c r="F75" s="691"/>
      <c r="G75" s="682">
        <f t="shared" si="54"/>
        <v>3</v>
      </c>
      <c r="H75" s="692"/>
      <c r="I75" s="693"/>
      <c r="J75" s="685"/>
      <c r="K75" s="685"/>
      <c r="L75" s="685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685"/>
      <c r="AJ75" s="685"/>
      <c r="AK75" s="685"/>
      <c r="AL75" s="685"/>
      <c r="AM75" s="685"/>
      <c r="AN75" s="685"/>
      <c r="AO75" s="685"/>
      <c r="AP75" s="685"/>
      <c r="AQ75" s="685"/>
      <c r="AR75" s="685"/>
      <c r="AS75" s="685"/>
      <c r="AT75" s="685"/>
      <c r="AU75" s="685"/>
      <c r="AV75" s="685"/>
      <c r="AW75" s="685"/>
      <c r="AX75" s="685"/>
      <c r="AY75" s="685"/>
      <c r="AZ75" s="685"/>
      <c r="BA75" s="685"/>
      <c r="BB75" s="685"/>
      <c r="BC75" s="685"/>
      <c r="BD75" s="685"/>
      <c r="BE75" s="685"/>
      <c r="BF75" s="685"/>
      <c r="BG75" s="685"/>
      <c r="BH75" s="685"/>
      <c r="BI75" s="685"/>
      <c r="BJ75" s="685"/>
      <c r="BK75" s="685"/>
      <c r="BL75" s="685"/>
      <c r="BM75" s="685"/>
      <c r="BN75" s="685"/>
      <c r="BO75" s="685"/>
      <c r="BP75" s="685"/>
      <c r="BQ75" s="685"/>
      <c r="BR75" s="685"/>
      <c r="BS75" s="685"/>
      <c r="BT75" s="685"/>
      <c r="BU75" s="685"/>
      <c r="BV75" s="685"/>
      <c r="BW75" s="685"/>
      <c r="BX75" s="685"/>
      <c r="BY75" s="685"/>
      <c r="BZ75" s="685"/>
      <c r="CA75" s="685"/>
      <c r="CB75" s="685"/>
      <c r="CC75" s="685"/>
      <c r="CD75" s="685"/>
      <c r="CE75" s="685"/>
      <c r="CF75" s="685"/>
      <c r="CG75" s="685"/>
      <c r="CH75" s="685"/>
      <c r="CI75" s="685"/>
      <c r="CJ75" s="685"/>
      <c r="CK75" s="685"/>
      <c r="CL75" s="685"/>
      <c r="CM75" s="685"/>
      <c r="CN75" s="685"/>
      <c r="CO75" s="685"/>
      <c r="CP75" s="685"/>
      <c r="CQ75" s="685"/>
      <c r="CR75" s="685"/>
      <c r="CS75" s="685"/>
      <c r="CT75" s="685"/>
      <c r="CU75" s="685"/>
      <c r="CV75" s="685"/>
      <c r="CW75" s="685"/>
      <c r="CX75" s="685"/>
      <c r="CY75" s="685"/>
      <c r="CZ75" s="685"/>
      <c r="DA75" s="685"/>
      <c r="DB75" s="685"/>
      <c r="DC75" s="685"/>
      <c r="DD75" s="685"/>
      <c r="DE75" s="685"/>
      <c r="DF75" s="685"/>
      <c r="DG75" s="685"/>
      <c r="DH75" s="685"/>
      <c r="DI75" s="685"/>
      <c r="DJ75" s="685"/>
      <c r="DK75" s="685"/>
      <c r="DL75" s="685"/>
      <c r="DM75" s="678"/>
      <c r="DN75" s="678"/>
      <c r="DO75" s="710"/>
      <c r="DP75" s="710"/>
      <c r="DQ75" s="710"/>
    </row>
    <row r="76" spans="1:121" s="694" customFormat="1">
      <c r="A76" s="689" t="s">
        <v>1125</v>
      </c>
      <c r="B76" s="690"/>
      <c r="C76" s="691"/>
      <c r="D76" s="691">
        <v>1</v>
      </c>
      <c r="E76" s="691">
        <v>1</v>
      </c>
      <c r="F76" s="691"/>
      <c r="G76" s="682">
        <f t="shared" si="54"/>
        <v>2</v>
      </c>
      <c r="H76" s="692"/>
      <c r="I76" s="693"/>
      <c r="J76" s="685"/>
      <c r="K76" s="685"/>
      <c r="L76" s="685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685"/>
      <c r="AJ76" s="685"/>
      <c r="AK76" s="685"/>
      <c r="AL76" s="685"/>
      <c r="AM76" s="685"/>
      <c r="AN76" s="685"/>
      <c r="AO76" s="685"/>
      <c r="AP76" s="685"/>
      <c r="AQ76" s="685"/>
      <c r="AR76" s="685"/>
      <c r="AS76" s="685"/>
      <c r="AT76" s="685"/>
      <c r="AU76" s="685"/>
      <c r="AV76" s="685"/>
      <c r="AW76" s="685"/>
      <c r="AX76" s="685"/>
      <c r="AY76" s="685"/>
      <c r="AZ76" s="685"/>
      <c r="BA76" s="685"/>
      <c r="BB76" s="685"/>
      <c r="BC76" s="685"/>
      <c r="BD76" s="685"/>
      <c r="BE76" s="685"/>
      <c r="BF76" s="685"/>
      <c r="BG76" s="685"/>
      <c r="BH76" s="685"/>
      <c r="BI76" s="685"/>
      <c r="BJ76" s="685"/>
      <c r="BK76" s="685"/>
      <c r="BL76" s="685"/>
      <c r="BM76" s="685"/>
      <c r="BN76" s="685"/>
      <c r="BO76" s="685"/>
      <c r="BP76" s="685"/>
      <c r="BQ76" s="685"/>
      <c r="BR76" s="685"/>
      <c r="BS76" s="685"/>
      <c r="BT76" s="685"/>
      <c r="BU76" s="685"/>
      <c r="BV76" s="685"/>
      <c r="BW76" s="685"/>
      <c r="BX76" s="685"/>
      <c r="BY76" s="685"/>
      <c r="BZ76" s="685"/>
      <c r="CA76" s="685"/>
      <c r="CB76" s="685"/>
      <c r="CC76" s="685"/>
      <c r="CD76" s="685"/>
      <c r="CE76" s="685"/>
      <c r="CF76" s="685"/>
      <c r="CG76" s="685"/>
      <c r="CH76" s="685"/>
      <c r="CI76" s="685"/>
      <c r="CJ76" s="685"/>
      <c r="CK76" s="685"/>
      <c r="CL76" s="685"/>
      <c r="CM76" s="685"/>
      <c r="CN76" s="685"/>
      <c r="CO76" s="685"/>
      <c r="CP76" s="685"/>
      <c r="CQ76" s="685"/>
      <c r="CR76" s="685"/>
      <c r="CS76" s="685"/>
      <c r="CT76" s="685"/>
      <c r="CU76" s="685"/>
      <c r="CV76" s="685"/>
      <c r="CW76" s="685"/>
      <c r="CX76" s="685"/>
      <c r="CY76" s="685"/>
      <c r="CZ76" s="685"/>
      <c r="DA76" s="685"/>
      <c r="DB76" s="685"/>
      <c r="DC76" s="685"/>
      <c r="DD76" s="685"/>
      <c r="DE76" s="685"/>
      <c r="DF76" s="685"/>
      <c r="DG76" s="685"/>
      <c r="DH76" s="685"/>
      <c r="DI76" s="685"/>
      <c r="DJ76" s="685"/>
      <c r="DK76" s="685"/>
      <c r="DL76" s="685"/>
      <c r="DM76" s="678"/>
      <c r="DN76" s="678"/>
      <c r="DO76" s="710"/>
      <c r="DP76" s="710"/>
      <c r="DQ76" s="710"/>
    </row>
    <row r="77" spans="1:121" s="694" customFormat="1">
      <c r="A77" s="689" t="s">
        <v>1126</v>
      </c>
      <c r="B77" s="690">
        <v>6</v>
      </c>
      <c r="C77" s="691">
        <v>1</v>
      </c>
      <c r="D77" s="691">
        <v>2</v>
      </c>
      <c r="E77" s="691">
        <v>1</v>
      </c>
      <c r="F77" s="691"/>
      <c r="G77" s="682">
        <f t="shared" si="54"/>
        <v>4</v>
      </c>
      <c r="H77" s="692"/>
      <c r="I77" s="693"/>
      <c r="J77" s="685"/>
      <c r="K77" s="685"/>
      <c r="L77" s="685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685"/>
      <c r="AJ77" s="685"/>
      <c r="AK77" s="685"/>
      <c r="AL77" s="685"/>
      <c r="AM77" s="685"/>
      <c r="AN77" s="685"/>
      <c r="AO77" s="685"/>
      <c r="AP77" s="685"/>
      <c r="AQ77" s="685"/>
      <c r="AR77" s="685"/>
      <c r="AS77" s="685"/>
      <c r="AT77" s="685"/>
      <c r="AU77" s="685"/>
      <c r="AV77" s="685"/>
      <c r="AW77" s="685"/>
      <c r="AX77" s="685"/>
      <c r="AY77" s="685"/>
      <c r="AZ77" s="685"/>
      <c r="BA77" s="685"/>
      <c r="BB77" s="685"/>
      <c r="BC77" s="685"/>
      <c r="BD77" s="685"/>
      <c r="BE77" s="685"/>
      <c r="BF77" s="685"/>
      <c r="BG77" s="685"/>
      <c r="BH77" s="685"/>
      <c r="BI77" s="685"/>
      <c r="BJ77" s="685"/>
      <c r="BK77" s="685"/>
      <c r="BL77" s="685"/>
      <c r="BM77" s="685"/>
      <c r="BN77" s="685"/>
      <c r="BO77" s="685"/>
      <c r="BP77" s="685"/>
      <c r="BQ77" s="685"/>
      <c r="BR77" s="685"/>
      <c r="BS77" s="685"/>
      <c r="BT77" s="685"/>
      <c r="BU77" s="685"/>
      <c r="BV77" s="685"/>
      <c r="BW77" s="685"/>
      <c r="BX77" s="685"/>
      <c r="BY77" s="685"/>
      <c r="BZ77" s="685"/>
      <c r="CA77" s="685"/>
      <c r="CB77" s="685"/>
      <c r="CC77" s="685"/>
      <c r="CD77" s="685"/>
      <c r="CE77" s="685"/>
      <c r="CF77" s="685"/>
      <c r="CG77" s="685"/>
      <c r="CH77" s="685"/>
      <c r="CI77" s="685"/>
      <c r="CJ77" s="685"/>
      <c r="CK77" s="685"/>
      <c r="CL77" s="685"/>
      <c r="CM77" s="685"/>
      <c r="CN77" s="685"/>
      <c r="CO77" s="685"/>
      <c r="CP77" s="685"/>
      <c r="CQ77" s="685"/>
      <c r="CR77" s="685"/>
      <c r="CS77" s="685"/>
      <c r="CT77" s="685"/>
      <c r="CU77" s="685"/>
      <c r="CV77" s="685"/>
      <c r="CW77" s="685"/>
      <c r="CX77" s="685"/>
      <c r="CY77" s="685"/>
      <c r="CZ77" s="685"/>
      <c r="DA77" s="685"/>
      <c r="DB77" s="685"/>
      <c r="DC77" s="685"/>
      <c r="DD77" s="685"/>
      <c r="DE77" s="685"/>
      <c r="DF77" s="685"/>
      <c r="DG77" s="685"/>
      <c r="DH77" s="685"/>
      <c r="DI77" s="685"/>
      <c r="DJ77" s="685"/>
      <c r="DK77" s="685"/>
      <c r="DL77" s="685"/>
      <c r="DM77" s="678"/>
      <c r="DN77" s="678"/>
      <c r="DO77" s="710"/>
      <c r="DP77" s="710"/>
      <c r="DQ77" s="710"/>
    </row>
    <row r="78" spans="1:121" s="694" customFormat="1">
      <c r="A78" s="689" t="s">
        <v>1127</v>
      </c>
      <c r="B78" s="690"/>
      <c r="C78" s="691"/>
      <c r="D78" s="691">
        <v>1</v>
      </c>
      <c r="E78" s="691"/>
      <c r="F78" s="691"/>
      <c r="G78" s="682">
        <f t="shared" si="54"/>
        <v>1</v>
      </c>
      <c r="H78" s="692"/>
      <c r="I78" s="693"/>
      <c r="J78" s="685"/>
      <c r="K78" s="685"/>
      <c r="L78" s="685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685"/>
      <c r="AJ78" s="685"/>
      <c r="AK78" s="685"/>
      <c r="AL78" s="685"/>
      <c r="AM78" s="685"/>
      <c r="AN78" s="685"/>
      <c r="AO78" s="685"/>
      <c r="AP78" s="685"/>
      <c r="AQ78" s="685"/>
      <c r="AR78" s="685"/>
      <c r="AS78" s="685"/>
      <c r="AT78" s="685"/>
      <c r="AU78" s="685"/>
      <c r="AV78" s="685"/>
      <c r="AW78" s="685"/>
      <c r="AX78" s="685"/>
      <c r="AY78" s="685"/>
      <c r="AZ78" s="685"/>
      <c r="BA78" s="685"/>
      <c r="BB78" s="685"/>
      <c r="BC78" s="685"/>
      <c r="BD78" s="685"/>
      <c r="BE78" s="685"/>
      <c r="BF78" s="685"/>
      <c r="BG78" s="685"/>
      <c r="BH78" s="685"/>
      <c r="BI78" s="685"/>
      <c r="BJ78" s="685"/>
      <c r="BK78" s="685"/>
      <c r="BL78" s="685"/>
      <c r="BM78" s="685"/>
      <c r="BN78" s="685"/>
      <c r="BO78" s="685"/>
      <c r="BP78" s="685"/>
      <c r="BQ78" s="685"/>
      <c r="BR78" s="685"/>
      <c r="BS78" s="685"/>
      <c r="BT78" s="685"/>
      <c r="BU78" s="685"/>
      <c r="BV78" s="685"/>
      <c r="BW78" s="685"/>
      <c r="BX78" s="685"/>
      <c r="BY78" s="685"/>
      <c r="BZ78" s="685"/>
      <c r="CA78" s="685"/>
      <c r="CB78" s="685"/>
      <c r="CC78" s="685"/>
      <c r="CD78" s="685"/>
      <c r="CE78" s="685"/>
      <c r="CF78" s="685"/>
      <c r="CG78" s="685"/>
      <c r="CH78" s="685"/>
      <c r="CI78" s="685"/>
      <c r="CJ78" s="685"/>
      <c r="CK78" s="685"/>
      <c r="CL78" s="685"/>
      <c r="CM78" s="685"/>
      <c r="CN78" s="685"/>
      <c r="CO78" s="685"/>
      <c r="CP78" s="685"/>
      <c r="CQ78" s="685"/>
      <c r="CR78" s="685"/>
      <c r="CS78" s="685"/>
      <c r="CT78" s="685"/>
      <c r="CU78" s="685"/>
      <c r="CV78" s="685"/>
      <c r="CW78" s="685"/>
      <c r="CX78" s="685"/>
      <c r="CY78" s="685"/>
      <c r="CZ78" s="685"/>
      <c r="DA78" s="685"/>
      <c r="DB78" s="685"/>
      <c r="DC78" s="685"/>
      <c r="DD78" s="685"/>
      <c r="DE78" s="685"/>
      <c r="DF78" s="685"/>
      <c r="DG78" s="685"/>
      <c r="DH78" s="685"/>
      <c r="DI78" s="685"/>
      <c r="DJ78" s="685"/>
      <c r="DK78" s="685"/>
      <c r="DL78" s="685"/>
      <c r="DM78" s="678"/>
      <c r="DN78" s="678"/>
      <c r="DO78" s="710"/>
      <c r="DP78" s="710"/>
      <c r="DQ78" s="710"/>
    </row>
    <row r="79" spans="1:121" s="694" customFormat="1">
      <c r="A79" s="689" t="s">
        <v>1128</v>
      </c>
      <c r="B79" s="690"/>
      <c r="C79" s="691">
        <v>1</v>
      </c>
      <c r="D79" s="691">
        <v>1</v>
      </c>
      <c r="E79" s="691">
        <v>1</v>
      </c>
      <c r="F79" s="691"/>
      <c r="G79" s="682">
        <f t="shared" si="54"/>
        <v>3</v>
      </c>
      <c r="H79" s="692"/>
      <c r="I79" s="693"/>
      <c r="J79" s="685"/>
      <c r="K79" s="685"/>
      <c r="L79" s="685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685"/>
      <c r="AJ79" s="685"/>
      <c r="AK79" s="685"/>
      <c r="AL79" s="685"/>
      <c r="AM79" s="685"/>
      <c r="AN79" s="685"/>
      <c r="AO79" s="685"/>
      <c r="AP79" s="685"/>
      <c r="AQ79" s="685"/>
      <c r="AR79" s="685"/>
      <c r="AS79" s="685"/>
      <c r="AT79" s="685"/>
      <c r="AU79" s="685"/>
      <c r="AV79" s="685"/>
      <c r="AW79" s="685"/>
      <c r="AX79" s="685"/>
      <c r="AY79" s="685"/>
      <c r="AZ79" s="685"/>
      <c r="BA79" s="685"/>
      <c r="BB79" s="685"/>
      <c r="BC79" s="685"/>
      <c r="BD79" s="685"/>
      <c r="BE79" s="685"/>
      <c r="BF79" s="685"/>
      <c r="BG79" s="685"/>
      <c r="BH79" s="685"/>
      <c r="BI79" s="685"/>
      <c r="BJ79" s="685"/>
      <c r="BK79" s="685"/>
      <c r="BL79" s="685"/>
      <c r="BM79" s="685"/>
      <c r="BN79" s="685"/>
      <c r="BO79" s="685"/>
      <c r="BP79" s="685"/>
      <c r="BQ79" s="685"/>
      <c r="BR79" s="685"/>
      <c r="BS79" s="685"/>
      <c r="BT79" s="685"/>
      <c r="BU79" s="685"/>
      <c r="BV79" s="685"/>
      <c r="BW79" s="685"/>
      <c r="BX79" s="685"/>
      <c r="BY79" s="685"/>
      <c r="BZ79" s="685"/>
      <c r="CA79" s="685"/>
      <c r="CB79" s="685"/>
      <c r="CC79" s="685"/>
      <c r="CD79" s="685"/>
      <c r="CE79" s="685"/>
      <c r="CF79" s="685"/>
      <c r="CG79" s="685"/>
      <c r="CH79" s="685"/>
      <c r="CI79" s="685"/>
      <c r="CJ79" s="685"/>
      <c r="CK79" s="685"/>
      <c r="CL79" s="685"/>
      <c r="CM79" s="685"/>
      <c r="CN79" s="685"/>
      <c r="CO79" s="685"/>
      <c r="CP79" s="685"/>
      <c r="CQ79" s="685"/>
      <c r="CR79" s="685"/>
      <c r="CS79" s="685"/>
      <c r="CT79" s="685"/>
      <c r="CU79" s="685"/>
      <c r="CV79" s="685"/>
      <c r="CW79" s="685"/>
      <c r="CX79" s="685"/>
      <c r="CY79" s="685"/>
      <c r="CZ79" s="685"/>
      <c r="DA79" s="685"/>
      <c r="DB79" s="685"/>
      <c r="DC79" s="685"/>
      <c r="DD79" s="685"/>
      <c r="DE79" s="685"/>
      <c r="DF79" s="685"/>
      <c r="DG79" s="685"/>
      <c r="DH79" s="685"/>
      <c r="DI79" s="685"/>
      <c r="DJ79" s="685"/>
      <c r="DK79" s="685"/>
      <c r="DL79" s="685"/>
      <c r="DM79" s="678"/>
      <c r="DN79" s="678"/>
      <c r="DO79" s="710"/>
      <c r="DP79" s="710"/>
      <c r="DQ79" s="710"/>
    </row>
    <row r="80" spans="1:121" s="694" customFormat="1">
      <c r="A80" s="689" t="s">
        <v>1129</v>
      </c>
      <c r="B80" s="690"/>
      <c r="C80" s="691"/>
      <c r="D80" s="691"/>
      <c r="E80" s="691"/>
      <c r="F80" s="691">
        <v>3</v>
      </c>
      <c r="G80" s="682">
        <f t="shared" si="54"/>
        <v>3</v>
      </c>
      <c r="H80" s="692"/>
      <c r="I80" s="693"/>
      <c r="J80" s="685"/>
      <c r="K80" s="685"/>
      <c r="L80" s="685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685"/>
      <c r="AJ80" s="685"/>
      <c r="AK80" s="685"/>
      <c r="AL80" s="685"/>
      <c r="AM80" s="685"/>
      <c r="AN80" s="685"/>
      <c r="AO80" s="685"/>
      <c r="AP80" s="685"/>
      <c r="AQ80" s="685"/>
      <c r="AR80" s="685"/>
      <c r="AS80" s="685"/>
      <c r="AT80" s="685"/>
      <c r="AU80" s="685"/>
      <c r="AV80" s="685"/>
      <c r="AW80" s="685"/>
      <c r="AX80" s="685"/>
      <c r="AY80" s="685"/>
      <c r="AZ80" s="685"/>
      <c r="BA80" s="685"/>
      <c r="BB80" s="685"/>
      <c r="BC80" s="685"/>
      <c r="BD80" s="685"/>
      <c r="BE80" s="685"/>
      <c r="BF80" s="685"/>
      <c r="BG80" s="685"/>
      <c r="BH80" s="685"/>
      <c r="BI80" s="685"/>
      <c r="BJ80" s="685"/>
      <c r="BK80" s="685"/>
      <c r="BL80" s="685"/>
      <c r="BM80" s="685"/>
      <c r="BN80" s="685"/>
      <c r="BO80" s="685"/>
      <c r="BP80" s="685"/>
      <c r="BQ80" s="685"/>
      <c r="BR80" s="685"/>
      <c r="BS80" s="685"/>
      <c r="BT80" s="685"/>
      <c r="BU80" s="685"/>
      <c r="BV80" s="685"/>
      <c r="BW80" s="685"/>
      <c r="BX80" s="685"/>
      <c r="BY80" s="685"/>
      <c r="BZ80" s="685"/>
      <c r="CA80" s="685"/>
      <c r="CB80" s="685"/>
      <c r="CC80" s="685"/>
      <c r="CD80" s="685"/>
      <c r="CE80" s="685"/>
      <c r="CF80" s="685"/>
      <c r="CG80" s="685"/>
      <c r="CH80" s="685"/>
      <c r="CI80" s="685"/>
      <c r="CJ80" s="685"/>
      <c r="CK80" s="685"/>
      <c r="CL80" s="685"/>
      <c r="CM80" s="685"/>
      <c r="CN80" s="685"/>
      <c r="CO80" s="685"/>
      <c r="CP80" s="685"/>
      <c r="CQ80" s="685"/>
      <c r="CR80" s="685"/>
      <c r="CS80" s="685"/>
      <c r="CT80" s="685"/>
      <c r="CU80" s="685"/>
      <c r="CV80" s="685"/>
      <c r="CW80" s="685"/>
      <c r="CX80" s="685"/>
      <c r="CY80" s="685"/>
      <c r="CZ80" s="685"/>
      <c r="DA80" s="685"/>
      <c r="DB80" s="685"/>
      <c r="DC80" s="685"/>
      <c r="DD80" s="685"/>
      <c r="DE80" s="685"/>
      <c r="DF80" s="685"/>
      <c r="DG80" s="685"/>
      <c r="DH80" s="685"/>
      <c r="DI80" s="685"/>
      <c r="DJ80" s="685"/>
      <c r="DK80" s="685"/>
      <c r="DL80" s="685"/>
      <c r="DM80" s="678"/>
      <c r="DN80" s="678"/>
      <c r="DO80" s="710"/>
      <c r="DP80" s="710"/>
      <c r="DQ80" s="710"/>
    </row>
    <row r="81" spans="1:121" s="584" customFormat="1">
      <c r="A81" s="695"/>
      <c r="B81" s="696">
        <f>SUM(B70:B75)</f>
        <v>130</v>
      </c>
      <c r="C81" s="695">
        <f>SUM(C70:C80)</f>
        <v>4</v>
      </c>
      <c r="D81" s="695">
        <f>SUM(D70:D80)</f>
        <v>12</v>
      </c>
      <c r="E81" s="695">
        <f>SUM(E70:E80)</f>
        <v>9</v>
      </c>
      <c r="F81" s="695">
        <f>SUM(F70:F80)</f>
        <v>3</v>
      </c>
      <c r="G81" s="695">
        <f>SUM(G70:G80)</f>
        <v>28</v>
      </c>
      <c r="H81" s="704"/>
      <c r="I81" s="677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78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  <c r="CO81" s="601"/>
      <c r="CP81" s="601"/>
      <c r="CQ81" s="601"/>
      <c r="CR81" s="601"/>
      <c r="CS81" s="601"/>
      <c r="CT81" s="601"/>
      <c r="CU81" s="601"/>
      <c r="CV81" s="601"/>
      <c r="CW81" s="601"/>
      <c r="CX81" s="601"/>
      <c r="CY81" s="601"/>
      <c r="CZ81" s="601"/>
      <c r="DA81" s="601"/>
      <c r="DB81" s="601"/>
      <c r="DC81" s="601"/>
      <c r="DD81" s="601"/>
      <c r="DE81" s="601"/>
      <c r="DF81" s="601"/>
      <c r="DG81" s="601"/>
      <c r="DH81" s="601"/>
      <c r="DI81" s="601"/>
      <c r="DJ81" s="601"/>
      <c r="DK81" s="601"/>
      <c r="DL81" s="601"/>
      <c r="DM81" s="601"/>
      <c r="DN81" s="601"/>
      <c r="DO81" s="669"/>
      <c r="DP81" s="669"/>
      <c r="DQ81" s="669"/>
    </row>
    <row r="82" spans="1:121" s="615" customFormat="1">
      <c r="A82" s="666"/>
      <c r="B82" s="666"/>
      <c r="C82" s="666">
        <f>C81-D54-D55</f>
        <v>0</v>
      </c>
      <c r="D82" s="666">
        <f>D81-D57-D58</f>
        <v>0</v>
      </c>
      <c r="E82" s="666">
        <f>E81-D60-D61</f>
        <v>0</v>
      </c>
      <c r="F82" s="666">
        <f>F81-D63-D65</f>
        <v>0</v>
      </c>
      <c r="G82" s="705">
        <f>G81-D66</f>
        <v>0</v>
      </c>
      <c r="H82" s="706"/>
      <c r="I82" s="620"/>
      <c r="J82" s="666"/>
      <c r="K82" s="666"/>
      <c r="L82" s="666"/>
      <c r="M82" s="666"/>
      <c r="N82" s="666"/>
      <c r="O82" s="666"/>
      <c r="P82" s="666"/>
      <c r="Q82" s="666"/>
      <c r="R82" s="666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6"/>
      <c r="AE82" s="666"/>
      <c r="AF82" s="666"/>
      <c r="AG82" s="666"/>
      <c r="AH82" s="666"/>
      <c r="AI82" s="666"/>
      <c r="AJ82" s="666"/>
      <c r="AK82" s="666"/>
      <c r="AL82" s="666"/>
      <c r="AM82" s="666"/>
      <c r="AN82" s="666"/>
      <c r="AO82" s="666"/>
      <c r="AP82" s="666"/>
      <c r="AQ82" s="666"/>
      <c r="AR82" s="666"/>
      <c r="AS82" s="666"/>
      <c r="AT82" s="666"/>
      <c r="AU82" s="666"/>
      <c r="AV82" s="666"/>
      <c r="AW82" s="666"/>
      <c r="AX82" s="666"/>
      <c r="AY82" s="666"/>
      <c r="AZ82" s="666"/>
      <c r="BA82" s="666"/>
      <c r="BB82" s="666"/>
      <c r="BC82" s="666"/>
      <c r="BD82" s="666"/>
      <c r="BE82" s="666"/>
      <c r="BF82" s="666"/>
      <c r="BG82" s="666"/>
      <c r="BH82" s="666"/>
      <c r="BI82" s="666"/>
      <c r="BJ82" s="666"/>
      <c r="BK82" s="666"/>
      <c r="BL82" s="666"/>
      <c r="BM82" s="666"/>
      <c r="BN82" s="666"/>
      <c r="BO82" s="666"/>
      <c r="BP82" s="666"/>
      <c r="BQ82" s="666"/>
      <c r="BR82" s="666"/>
      <c r="BS82" s="666"/>
      <c r="BT82" s="666"/>
      <c r="BU82" s="666"/>
      <c r="BV82" s="666"/>
      <c r="BW82" s="666"/>
      <c r="BX82" s="666"/>
      <c r="BY82" s="666"/>
      <c r="BZ82" s="666"/>
      <c r="CA82" s="666"/>
      <c r="CB82" s="666"/>
      <c r="CC82" s="666"/>
      <c r="CD82" s="666"/>
      <c r="CE82" s="666"/>
      <c r="CF82" s="666"/>
      <c r="CG82" s="666"/>
      <c r="CH82" s="666"/>
      <c r="CI82" s="666"/>
      <c r="CJ82" s="666"/>
      <c r="CK82" s="666"/>
      <c r="CL82" s="666"/>
      <c r="CM82" s="666"/>
      <c r="CN82" s="666"/>
      <c r="CO82" s="666"/>
      <c r="CP82" s="666"/>
      <c r="CQ82" s="666"/>
      <c r="CR82" s="666"/>
      <c r="CS82" s="666"/>
      <c r="CT82" s="666"/>
      <c r="CU82" s="666"/>
      <c r="CV82" s="666"/>
      <c r="CW82" s="666"/>
      <c r="CX82" s="666"/>
      <c r="CY82" s="666"/>
      <c r="CZ82" s="666"/>
      <c r="DA82" s="666"/>
      <c r="DB82" s="666"/>
      <c r="DC82" s="666"/>
      <c r="DD82" s="666"/>
      <c r="DE82" s="666"/>
      <c r="DF82" s="666"/>
      <c r="DG82" s="666"/>
      <c r="DH82" s="666"/>
      <c r="DI82" s="666"/>
      <c r="DJ82" s="666"/>
      <c r="DK82" s="666"/>
      <c r="DL82" s="666"/>
      <c r="DM82" s="666"/>
      <c r="DN82" s="666"/>
      <c r="DO82" s="669"/>
      <c r="DP82" s="669"/>
      <c r="DQ82" s="669"/>
    </row>
    <row r="83" spans="1:121" s="583" customFormat="1">
      <c r="A83" s="594" t="s">
        <v>1302</v>
      </c>
      <c r="B83" s="595">
        <v>1</v>
      </c>
      <c r="C83" s="595">
        <v>2</v>
      </c>
      <c r="D83" s="595">
        <v>3</v>
      </c>
      <c r="E83" s="595">
        <v>4</v>
      </c>
      <c r="F83" s="595">
        <v>5</v>
      </c>
      <c r="G83" s="595">
        <v>6</v>
      </c>
      <c r="H83" s="595">
        <v>7</v>
      </c>
      <c r="I83" s="596">
        <v>8</v>
      </c>
      <c r="J83" s="595">
        <v>9</v>
      </c>
      <c r="K83" s="595">
        <v>10</v>
      </c>
      <c r="L83" s="595">
        <v>11</v>
      </c>
      <c r="M83" s="595">
        <v>12</v>
      </c>
      <c r="N83" s="597" t="s">
        <v>1136</v>
      </c>
      <c r="O83" s="597" t="s">
        <v>1137</v>
      </c>
      <c r="P83" s="597" t="s">
        <v>1138</v>
      </c>
      <c r="Q83" s="597" t="s">
        <v>1139</v>
      </c>
      <c r="R83" s="597" t="s">
        <v>110</v>
      </c>
      <c r="S83" s="598"/>
      <c r="T83" s="598"/>
      <c r="U83" s="598"/>
      <c r="V83" s="598"/>
      <c r="W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9"/>
      <c r="AH83" s="598"/>
      <c r="AI83" s="600"/>
      <c r="AJ83" s="600"/>
      <c r="AK83" s="600"/>
      <c r="AL83" s="600"/>
      <c r="AM83" s="600"/>
      <c r="AN83" s="600"/>
      <c r="AO83" s="600"/>
      <c r="AP83" s="600"/>
      <c r="AQ83" s="600"/>
      <c r="AR83" s="600"/>
      <c r="AS83" s="600"/>
      <c r="AT83" s="600"/>
      <c r="AU83" s="600"/>
      <c r="AV83" s="600"/>
      <c r="AW83" s="600"/>
      <c r="AX83" s="600"/>
      <c r="AY83" s="600"/>
      <c r="AZ83" s="600"/>
      <c r="BA83" s="600"/>
      <c r="BB83" s="600"/>
      <c r="BC83" s="600"/>
      <c r="BD83" s="600"/>
      <c r="BE83" s="600"/>
      <c r="BF83" s="600"/>
      <c r="BG83" s="600"/>
      <c r="BH83" s="600"/>
      <c r="BI83" s="600"/>
      <c r="BJ83" s="600"/>
      <c r="BK83" s="600"/>
      <c r="BL83" s="600"/>
      <c r="BM83" s="600"/>
      <c r="BN83" s="600"/>
      <c r="BO83" s="600"/>
      <c r="BP83" s="600"/>
      <c r="BQ83" s="600"/>
      <c r="BR83" s="600"/>
      <c r="BS83" s="600"/>
      <c r="BT83" s="600"/>
      <c r="BU83" s="600"/>
      <c r="BV83" s="600"/>
      <c r="BW83" s="600"/>
      <c r="BX83" s="600"/>
      <c r="BY83" s="600"/>
      <c r="BZ83" s="600"/>
      <c r="CA83" s="600"/>
      <c r="CB83" s="600"/>
      <c r="CC83" s="600"/>
      <c r="CD83" s="600"/>
      <c r="CE83" s="600"/>
      <c r="CF83" s="600"/>
      <c r="CG83" s="600"/>
      <c r="CH83" s="600"/>
      <c r="CI83" s="600"/>
      <c r="CJ83" s="600"/>
      <c r="CK83" s="600"/>
      <c r="CL83" s="600"/>
      <c r="CM83" s="600"/>
      <c r="CN83" s="600"/>
      <c r="CO83" s="600"/>
      <c r="CP83" s="600"/>
      <c r="CQ83" s="600"/>
      <c r="CR83" s="600"/>
      <c r="CS83" s="600"/>
      <c r="CT83" s="600"/>
      <c r="CU83" s="600"/>
      <c r="CV83" s="600"/>
      <c r="CW83" s="600"/>
      <c r="CX83" s="600"/>
      <c r="CY83" s="600"/>
      <c r="CZ83" s="600"/>
      <c r="DA83" s="600"/>
      <c r="DB83" s="600"/>
      <c r="DC83" s="600"/>
      <c r="DD83" s="600"/>
      <c r="DE83" s="600"/>
      <c r="DF83" s="600"/>
      <c r="DG83" s="600"/>
      <c r="DH83" s="600"/>
      <c r="DI83" s="600"/>
      <c r="DJ83" s="600"/>
      <c r="DK83" s="600"/>
      <c r="DL83" s="600"/>
      <c r="DM83" s="601"/>
      <c r="DN83" s="601"/>
      <c r="DO83" s="710"/>
      <c r="DP83" s="710"/>
      <c r="DQ83" s="710"/>
    </row>
    <row r="84" spans="1:121" s="583" customFormat="1">
      <c r="A84" s="602" t="s">
        <v>1227</v>
      </c>
      <c r="B84" s="595"/>
      <c r="C84" s="595"/>
      <c r="D84" s="595"/>
      <c r="E84" s="595"/>
      <c r="F84" s="595"/>
      <c r="G84" s="595"/>
      <c r="H84" s="595"/>
      <c r="I84" s="596"/>
      <c r="J84" s="595"/>
      <c r="K84" s="595"/>
      <c r="L84" s="595"/>
      <c r="M84" s="595"/>
      <c r="N84" s="603">
        <f t="shared" ref="N84:N90" si="55">B84+C84+D84</f>
        <v>0</v>
      </c>
      <c r="O84" s="603">
        <f>E84+F84+G84</f>
        <v>0</v>
      </c>
      <c r="P84" s="603">
        <f>H84+I84+J84</f>
        <v>0</v>
      </c>
      <c r="Q84" s="603">
        <f>K84+L84+M84</f>
        <v>0</v>
      </c>
      <c r="R84" s="603">
        <f>SUM(N84:Q84)</f>
        <v>0</v>
      </c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9"/>
      <c r="AH84" s="598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0"/>
      <c r="BI84" s="600"/>
      <c r="BJ84" s="600"/>
      <c r="BK84" s="600"/>
      <c r="BL84" s="600"/>
      <c r="BM84" s="600"/>
      <c r="BN84" s="600"/>
      <c r="BO84" s="600"/>
      <c r="BP84" s="600"/>
      <c r="BQ84" s="600"/>
      <c r="BR84" s="600"/>
      <c r="BS84" s="600"/>
      <c r="BT84" s="600"/>
      <c r="BU84" s="600"/>
      <c r="BV84" s="600"/>
      <c r="BW84" s="600"/>
      <c r="BX84" s="600"/>
      <c r="BY84" s="600"/>
      <c r="BZ84" s="600"/>
      <c r="CA84" s="600"/>
      <c r="CB84" s="600"/>
      <c r="CC84" s="600"/>
      <c r="CD84" s="600"/>
      <c r="CE84" s="600"/>
      <c r="CF84" s="600"/>
      <c r="CG84" s="600"/>
      <c r="CH84" s="600"/>
      <c r="CI84" s="600"/>
      <c r="CJ84" s="600"/>
      <c r="CK84" s="600"/>
      <c r="CL84" s="600"/>
      <c r="CM84" s="600"/>
      <c r="CN84" s="600"/>
      <c r="CO84" s="600"/>
      <c r="CP84" s="600"/>
      <c r="CQ84" s="600"/>
      <c r="CR84" s="600"/>
      <c r="CS84" s="600"/>
      <c r="CT84" s="600"/>
      <c r="CU84" s="600"/>
      <c r="CV84" s="600"/>
      <c r="CW84" s="600"/>
      <c r="CX84" s="600"/>
      <c r="CY84" s="600"/>
      <c r="CZ84" s="600"/>
      <c r="DA84" s="600"/>
      <c r="DB84" s="600"/>
      <c r="DC84" s="600"/>
      <c r="DD84" s="600"/>
      <c r="DE84" s="600"/>
      <c r="DF84" s="600"/>
      <c r="DG84" s="600"/>
      <c r="DH84" s="600"/>
      <c r="DI84" s="600"/>
      <c r="DJ84" s="600"/>
      <c r="DK84" s="600"/>
      <c r="DL84" s="600"/>
      <c r="DM84" s="601"/>
      <c r="DN84" s="601"/>
      <c r="DO84" s="710"/>
      <c r="DP84" s="710"/>
      <c r="DQ84" s="710"/>
    </row>
    <row r="85" spans="1:121" s="583" customFormat="1">
      <c r="A85" s="602" t="s">
        <v>1224</v>
      </c>
      <c r="B85" s="595"/>
      <c r="C85" s="595"/>
      <c r="D85" s="595"/>
      <c r="E85" s="595"/>
      <c r="F85" s="595"/>
      <c r="G85" s="595"/>
      <c r="H85" s="595"/>
      <c r="I85" s="596"/>
      <c r="J85" s="595"/>
      <c r="K85" s="595"/>
      <c r="L85" s="595"/>
      <c r="M85" s="595"/>
      <c r="N85" s="603">
        <f t="shared" si="55"/>
        <v>0</v>
      </c>
      <c r="O85" s="603">
        <f t="shared" ref="O85:O90" si="56">E85+F85+G85</f>
        <v>0</v>
      </c>
      <c r="P85" s="603">
        <f t="shared" ref="P85:P90" si="57">H85+I85+J85</f>
        <v>0</v>
      </c>
      <c r="Q85" s="603">
        <f t="shared" ref="Q85:Q90" si="58">K85+L85+M85</f>
        <v>0</v>
      </c>
      <c r="R85" s="603">
        <f t="shared" ref="R85:R90" si="59">SUM(N85:Q85)</f>
        <v>0</v>
      </c>
      <c r="S85" s="598"/>
      <c r="T85" s="598"/>
      <c r="U85" s="598"/>
      <c r="V85" s="598"/>
      <c r="W85" s="598"/>
      <c r="X85" s="598"/>
      <c r="Y85" s="598"/>
      <c r="Z85" s="598"/>
      <c r="AA85" s="598"/>
      <c r="AB85" s="598"/>
      <c r="AC85" s="598"/>
      <c r="AD85" s="598"/>
      <c r="AE85" s="598"/>
      <c r="AF85" s="598"/>
      <c r="AG85" s="599"/>
      <c r="AH85" s="598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600"/>
      <c r="BG85" s="600"/>
      <c r="BH85" s="600"/>
      <c r="BI85" s="600"/>
      <c r="BJ85" s="600"/>
      <c r="BK85" s="600"/>
      <c r="BL85" s="600"/>
      <c r="BM85" s="600"/>
      <c r="BN85" s="600"/>
      <c r="BO85" s="600"/>
      <c r="BP85" s="600"/>
      <c r="BQ85" s="600"/>
      <c r="BR85" s="600"/>
      <c r="BS85" s="600"/>
      <c r="BT85" s="600"/>
      <c r="BU85" s="600"/>
      <c r="BV85" s="600"/>
      <c r="BW85" s="600"/>
      <c r="BX85" s="600"/>
      <c r="BY85" s="600"/>
      <c r="BZ85" s="600"/>
      <c r="CA85" s="600"/>
      <c r="CB85" s="600"/>
      <c r="CC85" s="600"/>
      <c r="CD85" s="600"/>
      <c r="CE85" s="600"/>
      <c r="CF85" s="600"/>
      <c r="CG85" s="600"/>
      <c r="CH85" s="600"/>
      <c r="CI85" s="600"/>
      <c r="CJ85" s="600"/>
      <c r="CK85" s="600"/>
      <c r="CL85" s="600"/>
      <c r="CM85" s="600"/>
      <c r="CN85" s="600"/>
      <c r="CO85" s="600"/>
      <c r="CP85" s="600"/>
      <c r="CQ85" s="600"/>
      <c r="CR85" s="600"/>
      <c r="CS85" s="600"/>
      <c r="CT85" s="600"/>
      <c r="CU85" s="600"/>
      <c r="CV85" s="600"/>
      <c r="CW85" s="600"/>
      <c r="CX85" s="600"/>
      <c r="CY85" s="600"/>
      <c r="CZ85" s="600"/>
      <c r="DA85" s="600"/>
      <c r="DB85" s="600"/>
      <c r="DC85" s="600"/>
      <c r="DD85" s="600"/>
      <c r="DE85" s="600"/>
      <c r="DF85" s="600"/>
      <c r="DG85" s="600"/>
      <c r="DH85" s="600"/>
      <c r="DI85" s="600"/>
      <c r="DJ85" s="600"/>
      <c r="DK85" s="600"/>
      <c r="DL85" s="600"/>
      <c r="DM85" s="601"/>
      <c r="DN85" s="601"/>
      <c r="DO85" s="710"/>
      <c r="DP85" s="710"/>
      <c r="DQ85" s="710"/>
    </row>
    <row r="86" spans="1:121" s="583" customFormat="1">
      <c r="A86" s="602" t="s">
        <v>16</v>
      </c>
      <c r="B86" s="604">
        <f>P54+P55</f>
        <v>17753.57410843125</v>
      </c>
      <c r="C86" s="604">
        <f>Y54+Y55</f>
        <v>16035.486291486293</v>
      </c>
      <c r="D86" s="604">
        <f>AH54+AH55</f>
        <v>18641.252813852814</v>
      </c>
      <c r="E86" s="604">
        <f>AQ54+AQ55</f>
        <v>17180.878169449599</v>
      </c>
      <c r="F86" s="604">
        <f>AZ54+AZ55</f>
        <v>19622.371383002959</v>
      </c>
      <c r="G86" s="604">
        <f>BI54+BI55</f>
        <v>18989.391660970607</v>
      </c>
      <c r="H86" s="604">
        <f>BR54+BR55</f>
        <v>16209.785055524186</v>
      </c>
      <c r="I86" s="605">
        <f>CA54+CA55</f>
        <v>18641.252813852814</v>
      </c>
      <c r="J86" s="604">
        <f>CJ54+CJ55</f>
        <v>16399.929161747343</v>
      </c>
      <c r="K86" s="604">
        <f>CS54+CS55</f>
        <v>16708.79578392622</v>
      </c>
      <c r="L86" s="604">
        <f>DB54+DB55</f>
        <v>18595.272727272728</v>
      </c>
      <c r="M86" s="604">
        <f>DK54+DK55</f>
        <v>16708.79578392622</v>
      </c>
      <c r="N86" s="603">
        <f t="shared" si="55"/>
        <v>52430.313213770358</v>
      </c>
      <c r="O86" s="603">
        <f>E86+F86+G86</f>
        <v>55792.641213423165</v>
      </c>
      <c r="P86" s="603">
        <f t="shared" si="57"/>
        <v>51250.967031124346</v>
      </c>
      <c r="Q86" s="603">
        <f t="shared" si="58"/>
        <v>52012.864295125168</v>
      </c>
      <c r="R86" s="603">
        <f t="shared" si="59"/>
        <v>211486.78575344302</v>
      </c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598"/>
      <c r="AD86" s="598"/>
      <c r="AE86" s="598"/>
      <c r="AF86" s="598"/>
      <c r="AG86" s="599"/>
      <c r="AH86" s="598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00"/>
      <c r="AT86" s="600"/>
      <c r="AU86" s="600"/>
      <c r="AV86" s="600"/>
      <c r="AW86" s="600"/>
      <c r="AX86" s="600"/>
      <c r="AY86" s="600"/>
      <c r="AZ86" s="600"/>
      <c r="BA86" s="600"/>
      <c r="BB86" s="600"/>
      <c r="BC86" s="600"/>
      <c r="BD86" s="600"/>
      <c r="BE86" s="600"/>
      <c r="BF86" s="600"/>
      <c r="BG86" s="600"/>
      <c r="BH86" s="600"/>
      <c r="BI86" s="600"/>
      <c r="BJ86" s="600"/>
      <c r="BK86" s="600"/>
      <c r="BL86" s="600"/>
      <c r="BM86" s="600"/>
      <c r="BN86" s="600"/>
      <c r="BO86" s="600"/>
      <c r="BP86" s="600"/>
      <c r="BQ86" s="600"/>
      <c r="BR86" s="600"/>
      <c r="BS86" s="600"/>
      <c r="BT86" s="600"/>
      <c r="BU86" s="600"/>
      <c r="BV86" s="600"/>
      <c r="BW86" s="600"/>
      <c r="BX86" s="600"/>
      <c r="BY86" s="600"/>
      <c r="BZ86" s="600"/>
      <c r="CA86" s="600"/>
      <c r="CB86" s="600"/>
      <c r="CC86" s="600"/>
      <c r="CD86" s="600"/>
      <c r="CE86" s="600"/>
      <c r="CF86" s="600"/>
      <c r="CG86" s="600"/>
      <c r="CH86" s="600"/>
      <c r="CI86" s="600"/>
      <c r="CJ86" s="600"/>
      <c r="CK86" s="600"/>
      <c r="CL86" s="600"/>
      <c r="CM86" s="600"/>
      <c r="CN86" s="600"/>
      <c r="CO86" s="600"/>
      <c r="CP86" s="600"/>
      <c r="CQ86" s="600"/>
      <c r="CR86" s="600"/>
      <c r="CS86" s="600"/>
      <c r="CT86" s="600"/>
      <c r="CU86" s="600"/>
      <c r="CV86" s="600"/>
      <c r="CW86" s="600"/>
      <c r="CX86" s="600"/>
      <c r="CY86" s="600"/>
      <c r="CZ86" s="600"/>
      <c r="DA86" s="600"/>
      <c r="DB86" s="600"/>
      <c r="DC86" s="600"/>
      <c r="DD86" s="600"/>
      <c r="DE86" s="600"/>
      <c r="DF86" s="600"/>
      <c r="DG86" s="600"/>
      <c r="DH86" s="600"/>
      <c r="DI86" s="600"/>
      <c r="DJ86" s="600"/>
      <c r="DK86" s="600"/>
      <c r="DL86" s="600"/>
      <c r="DM86" s="601"/>
      <c r="DN86" s="601"/>
      <c r="DO86" s="710"/>
      <c r="DP86" s="710"/>
      <c r="DQ86" s="710"/>
    </row>
    <row r="87" spans="1:121" s="583" customFormat="1">
      <c r="A87" s="602" t="s">
        <v>1228</v>
      </c>
      <c r="B87" s="604">
        <f>P57+P58</f>
        <v>38994.050711193573</v>
      </c>
      <c r="C87" s="604">
        <f>Y57+Y58</f>
        <v>35220.432900432905</v>
      </c>
      <c r="D87" s="604">
        <f>AH57+AH58</f>
        <v>40943.753246753244</v>
      </c>
      <c r="E87" s="604">
        <f>AQ57+AQ58</f>
        <v>37736.178107606684</v>
      </c>
      <c r="F87" s="604">
        <f>AZ57+AZ58</f>
        <v>43098.687628161308</v>
      </c>
      <c r="G87" s="604">
        <f>BI57+BI58</f>
        <v>41708.407382091595</v>
      </c>
      <c r="H87" s="604">
        <f>BR57+BR58</f>
        <v>35603.263692828914</v>
      </c>
      <c r="I87" s="605">
        <f>CA57+CA58</f>
        <v>40943.753246753244</v>
      </c>
      <c r="J87" s="604">
        <f>CJ57+CJ58</f>
        <v>36020.897284533647</v>
      </c>
      <c r="K87" s="604">
        <f>CS57+CS58</f>
        <v>36698.74872953134</v>
      </c>
      <c r="L87" s="604">
        <f>DB57+DB58</f>
        <v>40842.155844155845</v>
      </c>
      <c r="M87" s="604">
        <f>DK57+DK58</f>
        <v>36698.74872953134</v>
      </c>
      <c r="N87" s="603">
        <f t="shared" si="55"/>
        <v>115158.23685837972</v>
      </c>
      <c r="O87" s="603">
        <f t="shared" si="56"/>
        <v>122543.27311785959</v>
      </c>
      <c r="P87" s="603">
        <f t="shared" si="57"/>
        <v>112567.91422411581</v>
      </c>
      <c r="Q87" s="603">
        <f t="shared" si="58"/>
        <v>114239.65330321851</v>
      </c>
      <c r="R87" s="603">
        <f t="shared" si="59"/>
        <v>464509.07750357362</v>
      </c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598"/>
      <c r="AG87" s="599"/>
      <c r="AH87" s="598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0"/>
      <c r="BF87" s="600"/>
      <c r="BG87" s="600"/>
      <c r="BH87" s="600"/>
      <c r="BI87" s="600"/>
      <c r="BJ87" s="600"/>
      <c r="BK87" s="600"/>
      <c r="BL87" s="600"/>
      <c r="BM87" s="600"/>
      <c r="BN87" s="600"/>
      <c r="BO87" s="600"/>
      <c r="BP87" s="600"/>
      <c r="BQ87" s="600"/>
      <c r="BR87" s="600"/>
      <c r="BS87" s="600"/>
      <c r="BT87" s="600"/>
      <c r="BU87" s="600"/>
      <c r="BV87" s="600"/>
      <c r="BW87" s="600"/>
      <c r="BX87" s="600"/>
      <c r="BY87" s="600"/>
      <c r="BZ87" s="600"/>
      <c r="CA87" s="600"/>
      <c r="CB87" s="600"/>
      <c r="CC87" s="600"/>
      <c r="CD87" s="600"/>
      <c r="CE87" s="600"/>
      <c r="CF87" s="600"/>
      <c r="CG87" s="600"/>
      <c r="CH87" s="600"/>
      <c r="CI87" s="600"/>
      <c r="CJ87" s="600"/>
      <c r="CK87" s="600"/>
      <c r="CL87" s="600"/>
      <c r="CM87" s="600"/>
      <c r="CN87" s="600"/>
      <c r="CO87" s="600"/>
      <c r="CP87" s="600"/>
      <c r="CQ87" s="600"/>
      <c r="CR87" s="600"/>
      <c r="CS87" s="600"/>
      <c r="CT87" s="600"/>
      <c r="CU87" s="600"/>
      <c r="CV87" s="600"/>
      <c r="CW87" s="600"/>
      <c r="CX87" s="600"/>
      <c r="CY87" s="600"/>
      <c r="CZ87" s="600"/>
      <c r="DA87" s="600"/>
      <c r="DB87" s="600"/>
      <c r="DC87" s="600"/>
      <c r="DD87" s="600"/>
      <c r="DE87" s="600"/>
      <c r="DF87" s="600"/>
      <c r="DG87" s="600"/>
      <c r="DH87" s="600"/>
      <c r="DI87" s="600"/>
      <c r="DJ87" s="600"/>
      <c r="DK87" s="600"/>
      <c r="DL87" s="600"/>
      <c r="DM87" s="601"/>
      <c r="DN87" s="601"/>
      <c r="DO87" s="710"/>
      <c r="DP87" s="710"/>
      <c r="DQ87" s="710"/>
    </row>
    <row r="88" spans="1:121" s="583" customFormat="1">
      <c r="A88" s="602" t="s">
        <v>102</v>
      </c>
      <c r="B88" s="604">
        <f>P60+P61</f>
        <v>17387.014285714286</v>
      </c>
      <c r="C88" s="604">
        <f>Y60+Y61</f>
        <v>15704.4</v>
      </c>
      <c r="D88" s="604">
        <f>AH60+AH61</f>
        <v>18371.184905660379</v>
      </c>
      <c r="E88" s="604">
        <f>AQ60+AQ61</f>
        <v>16926.898203592813</v>
      </c>
      <c r="F88" s="604">
        <f>AZ60+AZ61</f>
        <v>19344.49271523179</v>
      </c>
      <c r="G88" s="604">
        <f>BI60+BI61</f>
        <v>18200.598961018361</v>
      </c>
      <c r="H88" s="604">
        <f>BR60+BR61</f>
        <v>15875.099999999999</v>
      </c>
      <c r="I88" s="605">
        <f>CA60+CA61</f>
        <v>18256.364999999998</v>
      </c>
      <c r="J88" s="604">
        <f>CJ60+CJ61</f>
        <v>16061.318181818182</v>
      </c>
      <c r="K88" s="604">
        <f>CS60+CS61</f>
        <v>16363.349999999999</v>
      </c>
      <c r="L88" s="604">
        <f>DB60+DB61</f>
        <v>18210.824999999997</v>
      </c>
      <c r="M88" s="604">
        <f>DK60+DK61</f>
        <v>16452.767213114756</v>
      </c>
      <c r="N88" s="603">
        <f t="shared" si="55"/>
        <v>51462.599191374669</v>
      </c>
      <c r="O88" s="603">
        <f t="shared" si="56"/>
        <v>54471.989879842964</v>
      </c>
      <c r="P88" s="603">
        <f t="shared" si="57"/>
        <v>50192.78318181818</v>
      </c>
      <c r="Q88" s="603">
        <f t="shared" si="58"/>
        <v>51026.942213114751</v>
      </c>
      <c r="R88" s="603">
        <f t="shared" si="59"/>
        <v>207154.31446615056</v>
      </c>
      <c r="S88" s="598"/>
      <c r="T88" s="598"/>
      <c r="U88" s="598"/>
      <c r="V88" s="598"/>
      <c r="W88" s="598"/>
      <c r="X88" s="598"/>
      <c r="Y88" s="598"/>
      <c r="Z88" s="598"/>
      <c r="AA88" s="598"/>
      <c r="AB88" s="598"/>
      <c r="AC88" s="598"/>
      <c r="AD88" s="598"/>
      <c r="AE88" s="598"/>
      <c r="AF88" s="598"/>
      <c r="AG88" s="599"/>
      <c r="AH88" s="598"/>
      <c r="AI88" s="600"/>
      <c r="AJ88" s="600"/>
      <c r="AK88" s="600"/>
      <c r="AL88" s="600"/>
      <c r="AM88" s="600"/>
      <c r="AN88" s="600"/>
      <c r="AO88" s="600"/>
      <c r="AP88" s="600"/>
      <c r="AQ88" s="600"/>
      <c r="AR88" s="600"/>
      <c r="AS88" s="600"/>
      <c r="AT88" s="600"/>
      <c r="AU88" s="600"/>
      <c r="AV88" s="600"/>
      <c r="AW88" s="600"/>
      <c r="AX88" s="600"/>
      <c r="AY88" s="600"/>
      <c r="AZ88" s="600"/>
      <c r="BA88" s="600"/>
      <c r="BB88" s="600"/>
      <c r="BC88" s="600"/>
      <c r="BD88" s="600"/>
      <c r="BE88" s="600"/>
      <c r="BF88" s="600"/>
      <c r="BG88" s="600"/>
      <c r="BH88" s="600"/>
      <c r="BI88" s="600"/>
      <c r="BJ88" s="600"/>
      <c r="BK88" s="600"/>
      <c r="BL88" s="600"/>
      <c r="BM88" s="600"/>
      <c r="BN88" s="600"/>
      <c r="BO88" s="600"/>
      <c r="BP88" s="600"/>
      <c r="BQ88" s="600"/>
      <c r="BR88" s="600"/>
      <c r="BS88" s="600"/>
      <c r="BT88" s="600"/>
      <c r="BU88" s="600"/>
      <c r="BV88" s="600"/>
      <c r="BW88" s="600"/>
      <c r="BX88" s="600"/>
      <c r="BY88" s="600"/>
      <c r="BZ88" s="600"/>
      <c r="CA88" s="600"/>
      <c r="CB88" s="600"/>
      <c r="CC88" s="600"/>
      <c r="CD88" s="600"/>
      <c r="CE88" s="600"/>
      <c r="CF88" s="600"/>
      <c r="CG88" s="600"/>
      <c r="CH88" s="600"/>
      <c r="CI88" s="600"/>
      <c r="CJ88" s="600"/>
      <c r="CK88" s="600"/>
      <c r="CL88" s="600"/>
      <c r="CM88" s="600"/>
      <c r="CN88" s="600"/>
      <c r="CO88" s="600"/>
      <c r="CP88" s="600"/>
      <c r="CQ88" s="600"/>
      <c r="CR88" s="600"/>
      <c r="CS88" s="600"/>
      <c r="CT88" s="600"/>
      <c r="CU88" s="600"/>
      <c r="CV88" s="600"/>
      <c r="CW88" s="600"/>
      <c r="CX88" s="600"/>
      <c r="CY88" s="600"/>
      <c r="CZ88" s="600"/>
      <c r="DA88" s="600"/>
      <c r="DB88" s="600"/>
      <c r="DC88" s="600"/>
      <c r="DD88" s="600"/>
      <c r="DE88" s="600"/>
      <c r="DF88" s="600"/>
      <c r="DG88" s="600"/>
      <c r="DH88" s="600"/>
      <c r="DI88" s="600"/>
      <c r="DJ88" s="600"/>
      <c r="DK88" s="600"/>
      <c r="DL88" s="600"/>
      <c r="DM88" s="601"/>
      <c r="DN88" s="601"/>
      <c r="DO88" s="710"/>
      <c r="DP88" s="710"/>
      <c r="DQ88" s="710"/>
    </row>
    <row r="89" spans="1:121" s="583" customFormat="1">
      <c r="A89" s="602" t="s">
        <v>1225</v>
      </c>
      <c r="B89" s="604">
        <f>P63+P65</f>
        <v>5022.5166666666664</v>
      </c>
      <c r="C89" s="604">
        <f>Y63+Y65</f>
        <v>4536.4666666666672</v>
      </c>
      <c r="D89" s="604">
        <f>AH63+AH65</f>
        <v>5306.8100628930815</v>
      </c>
      <c r="E89" s="604">
        <f>AQ63+AQ65</f>
        <v>4889.604790419161</v>
      </c>
      <c r="F89" s="604">
        <f>AZ63+AZ65</f>
        <v>1662.996026490066</v>
      </c>
      <c r="G89" s="604">
        <f>BI63+BI65</f>
        <v>1455.1616766467064</v>
      </c>
      <c r="H89" s="604">
        <f>BR63+BR65</f>
        <v>1364.7413043478261</v>
      </c>
      <c r="I89" s="605">
        <f>CA63+CA65</f>
        <v>1569.4524999999999</v>
      </c>
      <c r="J89" s="604">
        <f>CJ63+CJ65</f>
        <v>1380.75</v>
      </c>
      <c r="K89" s="604">
        <f>CS63+CS65</f>
        <v>4726.826086956522</v>
      </c>
      <c r="L89" s="604">
        <f>DB63+DB65</f>
        <v>5260.4999999999991</v>
      </c>
      <c r="M89" s="604">
        <f>DK63+DK65</f>
        <v>4752.6557377049176</v>
      </c>
      <c r="N89" s="603">
        <f t="shared" si="55"/>
        <v>14865.793396226414</v>
      </c>
      <c r="O89" s="603">
        <f t="shared" si="56"/>
        <v>8007.7624935559343</v>
      </c>
      <c r="P89" s="603">
        <f t="shared" si="57"/>
        <v>4314.9438043478258</v>
      </c>
      <c r="Q89" s="603">
        <f t="shared" si="58"/>
        <v>14739.981824661438</v>
      </c>
      <c r="R89" s="603">
        <f t="shared" si="59"/>
        <v>41928.48151879161</v>
      </c>
      <c r="S89" s="598"/>
      <c r="T89" s="598"/>
      <c r="U89" s="598"/>
      <c r="V89" s="598"/>
      <c r="W89" s="598"/>
      <c r="X89" s="598"/>
      <c r="Y89" s="598"/>
      <c r="Z89" s="598"/>
      <c r="AA89" s="598"/>
      <c r="AB89" s="598"/>
      <c r="AC89" s="598"/>
      <c r="AD89" s="598"/>
      <c r="AE89" s="598"/>
      <c r="AF89" s="598"/>
      <c r="AG89" s="599"/>
      <c r="AH89" s="598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600"/>
      <c r="BG89" s="600"/>
      <c r="BH89" s="600"/>
      <c r="BI89" s="600"/>
      <c r="BJ89" s="600"/>
      <c r="BK89" s="600"/>
      <c r="BL89" s="600"/>
      <c r="BM89" s="600"/>
      <c r="BN89" s="600"/>
      <c r="BO89" s="600"/>
      <c r="BP89" s="600"/>
      <c r="BQ89" s="600"/>
      <c r="BR89" s="600"/>
      <c r="BS89" s="600"/>
      <c r="BT89" s="600"/>
      <c r="BU89" s="600"/>
      <c r="BV89" s="600"/>
      <c r="BW89" s="600"/>
      <c r="BX89" s="600"/>
      <c r="BY89" s="600"/>
      <c r="BZ89" s="600"/>
      <c r="CA89" s="600"/>
      <c r="CB89" s="600"/>
      <c r="CC89" s="600"/>
      <c r="CD89" s="600"/>
      <c r="CE89" s="600"/>
      <c r="CF89" s="600"/>
      <c r="CG89" s="600"/>
      <c r="CH89" s="600"/>
      <c r="CI89" s="600"/>
      <c r="CJ89" s="600"/>
      <c r="CK89" s="600"/>
      <c r="CL89" s="600"/>
      <c r="CM89" s="600"/>
      <c r="CN89" s="600"/>
      <c r="CO89" s="600"/>
      <c r="CP89" s="600"/>
      <c r="CQ89" s="600"/>
      <c r="CR89" s="600"/>
      <c r="CS89" s="600"/>
      <c r="CT89" s="600"/>
      <c r="CU89" s="600"/>
      <c r="CV89" s="600"/>
      <c r="CW89" s="600"/>
      <c r="CX89" s="600"/>
      <c r="CY89" s="600"/>
      <c r="CZ89" s="600"/>
      <c r="DA89" s="600"/>
      <c r="DB89" s="600"/>
      <c r="DC89" s="600"/>
      <c r="DD89" s="600"/>
      <c r="DE89" s="600"/>
      <c r="DF89" s="600"/>
      <c r="DG89" s="600"/>
      <c r="DH89" s="600"/>
      <c r="DI89" s="600"/>
      <c r="DJ89" s="600"/>
      <c r="DK89" s="600"/>
      <c r="DL89" s="600"/>
      <c r="DM89" s="601"/>
      <c r="DN89" s="601"/>
      <c r="DO89" s="710"/>
      <c r="DP89" s="710"/>
      <c r="DQ89" s="710"/>
    </row>
    <row r="90" spans="1:121" s="583" customFormat="1">
      <c r="A90" s="606"/>
      <c r="B90" s="604">
        <f>SUM(B84:B89)</f>
        <v>79157.155772005761</v>
      </c>
      <c r="C90" s="604">
        <f t="shared" ref="C90:M90" si="60">SUM(C84:C89)</f>
        <v>71496.785858585848</v>
      </c>
      <c r="D90" s="604">
        <f t="shared" si="60"/>
        <v>83263.001029159524</v>
      </c>
      <c r="E90" s="604">
        <f t="shared" si="60"/>
        <v>76733.559271068254</v>
      </c>
      <c r="F90" s="604">
        <f t="shared" si="60"/>
        <v>83728.547752886123</v>
      </c>
      <c r="G90" s="604">
        <f t="shared" si="60"/>
        <v>80353.559680727267</v>
      </c>
      <c r="H90" s="604">
        <f t="shared" si="60"/>
        <v>69052.890052700925</v>
      </c>
      <c r="I90" s="604">
        <f t="shared" si="60"/>
        <v>79410.823560606063</v>
      </c>
      <c r="J90" s="604">
        <f t="shared" si="60"/>
        <v>69862.894628099166</v>
      </c>
      <c r="K90" s="604">
        <f t="shared" si="60"/>
        <v>74497.720600414075</v>
      </c>
      <c r="L90" s="604">
        <f t="shared" si="60"/>
        <v>82908.753571428562</v>
      </c>
      <c r="M90" s="604">
        <f t="shared" si="60"/>
        <v>74612.96746427723</v>
      </c>
      <c r="N90" s="603">
        <f t="shared" si="55"/>
        <v>233916.94265975113</v>
      </c>
      <c r="O90" s="603">
        <f t="shared" si="56"/>
        <v>240815.66670468164</v>
      </c>
      <c r="P90" s="603">
        <f t="shared" si="57"/>
        <v>218326.60824140615</v>
      </c>
      <c r="Q90" s="603">
        <f t="shared" si="58"/>
        <v>232019.44163611985</v>
      </c>
      <c r="R90" s="603">
        <f t="shared" si="59"/>
        <v>925078.65924195875</v>
      </c>
      <c r="S90" s="598"/>
      <c r="T90" s="598"/>
      <c r="U90" s="598"/>
      <c r="V90" s="598"/>
      <c r="W90" s="598"/>
      <c r="X90" s="598"/>
      <c r="Y90" s="598"/>
      <c r="Z90" s="598"/>
      <c r="AA90" s="598"/>
      <c r="AB90" s="598"/>
      <c r="AC90" s="598"/>
      <c r="AD90" s="598"/>
      <c r="AE90" s="598"/>
      <c r="AF90" s="598"/>
      <c r="AG90" s="599"/>
      <c r="AH90" s="598"/>
      <c r="AI90" s="600"/>
      <c r="AJ90" s="600"/>
      <c r="AK90" s="600"/>
      <c r="AL90" s="600"/>
      <c r="AM90" s="600"/>
      <c r="AN90" s="600"/>
      <c r="AO90" s="600"/>
      <c r="AP90" s="600"/>
      <c r="AQ90" s="600"/>
      <c r="AR90" s="600"/>
      <c r="AS90" s="600"/>
      <c r="AT90" s="600"/>
      <c r="AU90" s="600"/>
      <c r="AV90" s="600"/>
      <c r="AW90" s="600"/>
      <c r="AX90" s="600"/>
      <c r="AY90" s="600"/>
      <c r="AZ90" s="600"/>
      <c r="BA90" s="600"/>
      <c r="BB90" s="600"/>
      <c r="BC90" s="600"/>
      <c r="BD90" s="600"/>
      <c r="BE90" s="600"/>
      <c r="BF90" s="600"/>
      <c r="BG90" s="600"/>
      <c r="BH90" s="600"/>
      <c r="BI90" s="600"/>
      <c r="BJ90" s="600"/>
      <c r="BK90" s="600"/>
      <c r="BL90" s="600"/>
      <c r="BM90" s="600"/>
      <c r="BN90" s="600"/>
      <c r="BO90" s="600"/>
      <c r="BP90" s="600"/>
      <c r="BQ90" s="600"/>
      <c r="BR90" s="600"/>
      <c r="BS90" s="600"/>
      <c r="BT90" s="600"/>
      <c r="BU90" s="600"/>
      <c r="BV90" s="600"/>
      <c r="BW90" s="600"/>
      <c r="BX90" s="600"/>
      <c r="BY90" s="600"/>
      <c r="BZ90" s="600"/>
      <c r="CA90" s="600"/>
      <c r="CB90" s="600"/>
      <c r="CC90" s="600"/>
      <c r="CD90" s="600"/>
      <c r="CE90" s="600"/>
      <c r="CF90" s="600"/>
      <c r="CG90" s="600"/>
      <c r="CH90" s="600"/>
      <c r="CI90" s="600"/>
      <c r="CJ90" s="600"/>
      <c r="CK90" s="600"/>
      <c r="CL90" s="600"/>
      <c r="CM90" s="600"/>
      <c r="CN90" s="600"/>
      <c r="CO90" s="600"/>
      <c r="CP90" s="600"/>
      <c r="CQ90" s="600"/>
      <c r="CR90" s="600"/>
      <c r="CS90" s="600"/>
      <c r="CT90" s="600"/>
      <c r="CU90" s="600"/>
      <c r="CV90" s="600"/>
      <c r="CW90" s="600"/>
      <c r="CX90" s="600"/>
      <c r="CY90" s="600"/>
      <c r="CZ90" s="600"/>
      <c r="DA90" s="600"/>
      <c r="DB90" s="600"/>
      <c r="DC90" s="600"/>
      <c r="DD90" s="600"/>
      <c r="DE90" s="600"/>
      <c r="DF90" s="600"/>
      <c r="DG90" s="600"/>
      <c r="DH90" s="600"/>
      <c r="DI90" s="600"/>
      <c r="DJ90" s="600"/>
      <c r="DK90" s="600"/>
      <c r="DL90" s="600"/>
      <c r="DM90" s="601"/>
      <c r="DN90" s="601"/>
      <c r="DO90" s="710"/>
      <c r="DP90" s="710"/>
      <c r="DQ90" s="710"/>
    </row>
    <row r="91" spans="1:121" s="583" customFormat="1">
      <c r="A91" s="606"/>
      <c r="B91" s="595"/>
      <c r="C91" s="607"/>
      <c r="D91" s="608"/>
      <c r="E91" s="608"/>
      <c r="F91" s="608"/>
      <c r="G91" s="609"/>
      <c r="H91" s="610"/>
      <c r="I91" s="557"/>
      <c r="J91" s="611"/>
      <c r="K91" s="611"/>
      <c r="L91" s="611"/>
      <c r="M91" s="608"/>
      <c r="N91" s="603"/>
      <c r="O91" s="603"/>
      <c r="P91" s="603"/>
      <c r="Q91" s="603"/>
      <c r="R91" s="603">
        <f>R90-DN66</f>
        <v>0</v>
      </c>
      <c r="S91" s="598"/>
      <c r="T91" s="598"/>
      <c r="U91" s="598"/>
      <c r="V91" s="598"/>
      <c r="W91" s="598"/>
      <c r="X91" s="598"/>
      <c r="Y91" s="598"/>
      <c r="Z91" s="598"/>
      <c r="AA91" s="598"/>
      <c r="AB91" s="598"/>
      <c r="AC91" s="598"/>
      <c r="AD91" s="598"/>
      <c r="AE91" s="598"/>
      <c r="AF91" s="598"/>
      <c r="AG91" s="599"/>
      <c r="AH91" s="598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600"/>
      <c r="BG91" s="600"/>
      <c r="BH91" s="600"/>
      <c r="BI91" s="600"/>
      <c r="BJ91" s="600"/>
      <c r="BK91" s="600"/>
      <c r="BL91" s="600"/>
      <c r="BM91" s="600"/>
      <c r="BN91" s="600"/>
      <c r="BO91" s="600"/>
      <c r="BP91" s="600"/>
      <c r="BQ91" s="600"/>
      <c r="BR91" s="600"/>
      <c r="BS91" s="600"/>
      <c r="BT91" s="600"/>
      <c r="BU91" s="600"/>
      <c r="BV91" s="600"/>
      <c r="BW91" s="600"/>
      <c r="BX91" s="600"/>
      <c r="BY91" s="600"/>
      <c r="BZ91" s="600"/>
      <c r="CA91" s="600"/>
      <c r="CB91" s="600"/>
      <c r="CC91" s="600"/>
      <c r="CD91" s="600"/>
      <c r="CE91" s="600"/>
      <c r="CF91" s="600"/>
      <c r="CG91" s="600"/>
      <c r="CH91" s="600"/>
      <c r="CI91" s="600"/>
      <c r="CJ91" s="600"/>
      <c r="CK91" s="600"/>
      <c r="CL91" s="600"/>
      <c r="CM91" s="600"/>
      <c r="CN91" s="600"/>
      <c r="CO91" s="600"/>
      <c r="CP91" s="600"/>
      <c r="CQ91" s="600"/>
      <c r="CR91" s="600"/>
      <c r="CS91" s="600"/>
      <c r="CT91" s="600"/>
      <c r="CU91" s="600"/>
      <c r="CV91" s="600"/>
      <c r="CW91" s="600"/>
      <c r="CX91" s="600"/>
      <c r="CY91" s="600"/>
      <c r="CZ91" s="600"/>
      <c r="DA91" s="600"/>
      <c r="DB91" s="600"/>
      <c r="DC91" s="600"/>
      <c r="DD91" s="600"/>
      <c r="DE91" s="600"/>
      <c r="DF91" s="600"/>
      <c r="DG91" s="600"/>
      <c r="DH91" s="600"/>
      <c r="DI91" s="600"/>
      <c r="DJ91" s="600"/>
      <c r="DK91" s="600"/>
      <c r="DL91" s="600"/>
      <c r="DM91" s="601"/>
      <c r="DN91" s="601"/>
      <c r="DO91" s="710"/>
      <c r="DP91" s="710"/>
      <c r="DQ91" s="710"/>
    </row>
  </sheetData>
  <mergeCells count="26">
    <mergeCell ref="C32:G32"/>
    <mergeCell ref="DD2:DL2"/>
    <mergeCell ref="I2:Q2"/>
    <mergeCell ref="R2:Z2"/>
    <mergeCell ref="AA2:AI2"/>
    <mergeCell ref="AJ2:AR2"/>
    <mergeCell ref="AS2:BA2"/>
    <mergeCell ref="BB2:BJ2"/>
    <mergeCell ref="BK2:BS2"/>
    <mergeCell ref="BT2:CB2"/>
    <mergeCell ref="R50:Z50"/>
    <mergeCell ref="AA50:AI50"/>
    <mergeCell ref="CC2:CK2"/>
    <mergeCell ref="CL2:CT2"/>
    <mergeCell ref="CU2:DC2"/>
    <mergeCell ref="CU50:DC50"/>
    <mergeCell ref="AJ50:AR50"/>
    <mergeCell ref="AS50:BA50"/>
    <mergeCell ref="DD50:DL50"/>
    <mergeCell ref="BB50:BJ50"/>
    <mergeCell ref="CL50:CT50"/>
    <mergeCell ref="C68:G68"/>
    <mergeCell ref="BK50:BS50"/>
    <mergeCell ref="BT50:CB50"/>
    <mergeCell ref="CC50:CK50"/>
    <mergeCell ref="I50:Q50"/>
  </mergeCells>
  <phoneticPr fontId="73" type="noConversion"/>
  <pageMargins left="0" right="0" top="0" bottom="0" header="0" footer="0"/>
  <pageSetup paperSize="9" scale="29" fitToWidth="2" orientation="landscape" verticalDpi="200" r:id="rId1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!!! ФІНАНСОВИЙ ПЛАН ЗМІНИ !!!</vt:lpstr>
      <vt:lpstr>Доходи</vt:lpstr>
      <vt:lpstr>Видатки</vt:lpstr>
      <vt:lpstr>Деталізація</vt:lpstr>
      <vt:lpstr>Зведена Д-В</vt:lpstr>
      <vt:lpstr>ФОП</vt:lpstr>
      <vt:lpstr>01.01.2022</vt:lpstr>
      <vt:lpstr>01.10.2022</vt:lpstr>
      <vt:lpstr>НЧ - СД</vt:lpstr>
      <vt:lpstr>Енергоносії</vt:lpstr>
      <vt:lpstr>Програма МБ 2022 рік</vt:lpstr>
      <vt:lpstr>ОЗ</vt:lpstr>
      <vt:lpstr>0</vt:lpstr>
      <vt:lpstr>до_1_року</vt:lpstr>
      <vt:lpstr>'!!! ФІНАНСОВИЙ ПЛАН ЗМІНИ !!!'!Заголовки_для_печати</vt:lpstr>
      <vt:lpstr>лікарі</vt:lpstr>
      <vt:lpstr>'!!! ФІНАНСОВИЙ ПЛАН ЗМІНИ !!!'!Область_печати</vt:lpstr>
      <vt:lpstr>'01.01.2022'!Область_печати</vt:lpstr>
      <vt:lpstr>'01.10.2022'!Область_печати</vt:lpstr>
      <vt:lpstr>Видатки!Область_печати</vt:lpstr>
      <vt:lpstr>Деталізація!Область_печати</vt:lpstr>
      <vt:lpstr>Доходи!Область_печати</vt:lpstr>
      <vt:lpstr>Енергоносії!Область_печати</vt:lpstr>
      <vt:lpstr>'Зведена Д-В'!Область_печати</vt:lpstr>
      <vt:lpstr>'НЧ - СД'!Область_печати</vt:lpstr>
      <vt:lpstr>'Програма МБ 2022 рік'!Область_печати</vt:lpstr>
      <vt:lpstr>ФОП!Область_печати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2022-09-20T06:27:21Z</dcterms:modified>
</cp:coreProperties>
</file>